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<sst xmlns="http://schemas.openxmlformats.org/spreadsheetml/2006/main" count="372" uniqueCount="309">
  <si>
    <t xml:space="preserve">                Прочие  субсидии  бюджетам  субъектов  Российской Федерации на финансовое обеспечение оказания дополнительной медицинской помощи, оказываемой врачами - терапевтами участковыми, врачами-педиатрами участковыми, врачами общей практики (семейными врачами), медицинскими сестрами участковыми  врачей - терапевтов участковых, врачей – педиатров участковых, медицинскими сестрами врачей общей практики (семейных врачей)  </t>
  </si>
  <si>
    <t xml:space="preserve">               Прочие  субсидии  бюджетам  субъектов  Российской Федерации из бюджетов муниципальных образований</t>
  </si>
  <si>
    <t xml:space="preserve">           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</t>
  </si>
  <si>
    <t xml:space="preserve">                 Прочие 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</t>
  </si>
  <si>
    <t xml:space="preserve">               Прочие субвенции бюджетам субъектов Российской Федерации на осуществление переданных полномочий Российской Федерации по оформлению и ведению спортивных паспортов</t>
  </si>
  <si>
    <t xml:space="preserve">              Прчие субвенции бюджетам субъектов Российской Федерации на осуществление ежемесячной денежной выплаты Героям Советского Союза, Героям Российской Федерации и полным кавалерам ордена Трудовой Славы </t>
  </si>
  <si>
    <t xml:space="preserve">                Прочие межбюджетные трансферты, передаваемые бюджетам субъектов Российской Федерации на предоставление дотаций бюджетам закрытых административно-территориальных образований</t>
  </si>
  <si>
    <t xml:space="preserve">                Прочие межбюджетные трансферты, передаваемые бюджетам субъектов Российской Федерации на развитие и поддержку социальной и инженерной инфраструктуры закрытых административно-территориальных образований</t>
  </si>
  <si>
    <t xml:space="preserve">                Прочие межбюджетные трансферты, передаваемые бюджетам субъектов Российской Федерации на развитие и поддержку социальной, инженерной и инновационной инфраструктуры наукоградов Российской Федерации</t>
  </si>
  <si>
    <t xml:space="preserve">                Прочие межбюджетные трансферты, передаваемые бюджетам субъектов Российской Федерации из бюджета г.Москвы для компенсации выпадающих доходов транспортных организаций Московской области за проезд отдельных категорий граждан, имеющих место жительства в г.Москва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</si>
  <si>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</si>
  <si>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</si>
  <si>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Поступления от продажи земельных участков, государственная собственность на которые не разграничена</t>
  </si>
  <si>
    <t xml:space="preserve">          прочие неналоговые доходы, администрируемые Государственным учреждением Московской области "Управление автомобильных дорог Московской области "Мосавтодор" </t>
  </si>
  <si>
    <t xml:space="preserve">         прочие неналоговые доходы, администрируемые Министерством строительного комплекса Московской области</t>
  </si>
  <si>
    <t xml:space="preserve">          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</si>
  <si>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</si>
  <si>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 xml:space="preserve">        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</si>
  <si>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 xml:space="preserve">        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</si>
  <si>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 xml:space="preserve">     межбюджетные трансферты бюджетам государственных внебюджетных фондов</t>
  </si>
  <si>
    <t>Бюджетные кредиты от других бюджетов бюджетной системы Российской Федерации</t>
  </si>
  <si>
    <t xml:space="preserve">       Погашение бюджетных кредитов, полученных от других бюджетов бюджетной системы Российской Федерации в валюте Российской Федерации </t>
  </si>
  <si>
    <t xml:space="preserve">             Погашение бюджетами субъектов Российской Федерации кредитов, полученных от других бюджетов бюджетной системы Российской Федерации в валюте Российской Федерации</t>
  </si>
  <si>
    <t xml:space="preserve">          Средства продажи акций и иных форм участия в капитале, находящихся вгосударственной и муниципальной собственности</t>
  </si>
  <si>
    <t xml:space="preserve">              Средства от продажи акций и иных форм участия в капитале, находящихся в собственности субъектов Российской Федерации</t>
  </si>
  <si>
    <t>Сбор за выдачу органами государственной власти субъектов Российской Федерации лицензий на розничную продажу алкогольной продукции</t>
  </si>
  <si>
    <t xml:space="preserve">     система исполнения наказаний</t>
  </si>
  <si>
    <t xml:space="preserve">     органы по контролю за оборотом наркотических средств и психотропных веществ</t>
  </si>
  <si>
    <t xml:space="preserve">     профессиональная подготовка, переподготовка и повышение квалификации</t>
  </si>
  <si>
    <t xml:space="preserve">     высшее и послевузовское профессиональное образование</t>
  </si>
  <si>
    <t xml:space="preserve">     иные межбюджетные трансферты</t>
  </si>
  <si>
    <t xml:space="preserve">          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</si>
  <si>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       Субвенции бюджетам субъектов Российской Федерации на государственную регистрацию актов гражданского состояния</t>
  </si>
  <si>
    <t xml:space="preserve">           Субвенции бюджетам субъектов Российской Федерации на организацию, регулирование и охрану водных биологических ресурсов</t>
  </si>
  <si>
    <t xml:space="preserve">        Субвенции бюджетам субъектов Российской Федерации на охрану и использование объектов животного мира, отнесенных к объектам охоты</t>
  </si>
  <si>
    <t xml:space="preserve">           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</si>
  <si>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</si>
  <si>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 xml:space="preserve">          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</si>
  <si>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         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</si>
  <si>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         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</si>
  <si>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          Субвенции бюджетам субъектов Российской Федерации на осуществление отдельных полномочий в области водных отношений</t>
  </si>
  <si>
    <t xml:space="preserve">        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</si>
  <si>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         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</si>
  <si>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 xml:space="preserve">         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</si>
  <si>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          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</si>
  <si>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 xml:space="preserve">          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 </t>
  </si>
  <si>
    <t xml:space="preserve">          Субвенции бюджетам субъектов Российской Федерации на осуществление полномочий Российской Федерации по контролю, надзору и выдаче лицензий в области охраны здоровья граждан</t>
  </si>
  <si>
    <t xml:space="preserve">          Прочие субвенции бюджетам субъектов Российской Федерации</t>
  </si>
  <si>
    <t>Иные межбюджетные трансферты</t>
  </si>
  <si>
    <t xml:space="preserve">         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</si>
  <si>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 xml:space="preserve">          Межбюджетные трансферты, передаваемые бюджетам субъектов Российской Федерации на содержание членов Совета Федерации и их помощников</t>
  </si>
  <si>
    <t xml:space="preserve">          Межбюджетные трансферты, передаваемые бюджетам субъектов Российской Федерации на денежное довольствие и социальные выплаты сотрудникам, и заработную плату работников территориальных подразделений Государственной противопожарной службы, содержащихся за счет средств субъектов Российской Федерации, за исключением подразделений, созданных в субъектах Российской Федерации в соответствии со статьей 5 Федерального закона от 21 декабря 1994 года № 69-ФЗ "О пожарной безопасности"</t>
  </si>
  <si>
    <t xml:space="preserve">          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</si>
  <si>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          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</si>
  <si>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 xml:space="preserve">          Межбюджетные трансферты, передаваемые бюджетам субъектов Российской Федерации на переселение граждан из закрытых административно-территориальных образований</t>
  </si>
  <si>
    <t xml:space="preserve">          Межбюджетные 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</si>
  <si>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 xml:space="preserve">          Прочие межбюджетные трансферты, передаваемые бюджетам субъектов Российской Федерации</t>
  </si>
  <si>
    <t xml:space="preserve">         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</t>
  </si>
  <si>
    <t>Безвозмездные поступления от государственных Корпораций</t>
  </si>
  <si>
    <t xml:space="preserve">          Субсидии бюджетам субъектов  Российской Федерации на содержание ребенка в семье опекуна и приемной семье,  а  также  на оплату труда приемному родителю</t>
  </si>
  <si>
    <t xml:space="preserve">          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 </t>
  </si>
  <si>
    <t xml:space="preserve">          Субсидии бюджетам субъектов  Российской Федерации на государственную поддержку внедрения комплексных мер модернизации образования</t>
  </si>
  <si>
    <t xml:space="preserve">          Субсидии бюджетам субъектов Российской Федерации на реализацию мероприятий федеральных целевых программ </t>
  </si>
  <si>
    <t xml:space="preserve">       прочие доходы, взыскиваемые за проведение государственного технического осмотра транспортных средств </t>
  </si>
  <si>
    <t>Денежные взыскания (штрафы) за нарушения законодательства о налогах и сборах</t>
  </si>
  <si>
    <t>Денежные взыскания (штрафы) за нарушение бюджетного законодательства в части бюджетов субъектов Российской Федерации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</si>
  <si>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</si>
  <si>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Денежные взыскания (штрафы) за нарушение Федерального закона "О пожарной безопасности"</t>
  </si>
  <si>
    <t>БЕЗВОЗМЕЗДНЫЕ ПОСТУПЛЕНИЯ ОТ ДРУГИХ БЮДЖЕТОВ БЮДЖЕТНОЙ СИСТЕМЫ РОССИЙСКОЙ ФЕДЕРАЦИИ</t>
  </si>
  <si>
    <t xml:space="preserve">          Субвенции бюджетам субъектов Российской Федерации на оплату жилищно-коммунальных услуг отдельным категориям граждан</t>
  </si>
  <si>
    <t xml:space="preserve">          Дотации бюджетам субъектов Российской Федерации на предоставление дотаций бюджетам закрытых административно-территориальных образований</t>
  </si>
  <si>
    <t xml:space="preserve">          Субсидии бюджетам субъектов Российской Федерации на выплату ежемесячного пособия на ребенка</t>
  </si>
  <si>
    <t xml:space="preserve">          Субсидии бюджетам субъектов Российской Федерации на развитие социальной и инженерной инфраструктуры субъектов Российской Федерации и муниципальных образований</t>
  </si>
  <si>
    <t xml:space="preserve">          Субсидии бюджетам субъектов Российской Федерации на оздоровление детей</t>
  </si>
  <si>
    <t xml:space="preserve">           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</si>
  <si>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 xml:space="preserve">          Субсидии бюджетам субъектов Российской  Федерации на предоставление гражданам субсидий  на  оплату жилого помещения и коммунальных услуг</t>
  </si>
  <si>
    <t xml:space="preserve">          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 </t>
  </si>
  <si>
    <t xml:space="preserve">          Субсидии бюджетам субъектов Российской Федерации на внедрение инновационных образовательных программ</t>
  </si>
  <si>
    <t xml:space="preserve">           Субсидии бюджетам субъектов 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</si>
  <si>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 xml:space="preserve">           Субсидии бюджетам субъектов Российской Федерации на ежемесячное денежное вознаграждение за классное руководство </t>
  </si>
  <si>
    <t xml:space="preserve">         Субсидии бюджетам субъектов Российской Федерации на обеспечение мер социальной поддержки ветеранов труда и тружеников тыла</t>
  </si>
  <si>
    <t xml:space="preserve">          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</si>
  <si>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 xml:space="preserve">          Субсидии бюджетам субъектов Российской Федерации на подготовку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</si>
  <si>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 xml:space="preserve">          Субсидии бюджетам субъектов Российской Федерации на поощрение лучших учителей</t>
  </si>
  <si>
    <t xml:space="preserve">          Субсидии бюджетам субъектов Российской Федерации на комплектование книжных фондов библиотек муниципальных образований</t>
  </si>
  <si>
    <t xml:space="preserve">          Субсидии бюджетам субъектов Российской Федерации на создание технопарков</t>
  </si>
  <si>
    <t xml:space="preserve">          Субсидии бюджетам субъектов Российской Федерации на развитие и поддержку социальной и инженерной инфраструктуры закрытых административно-территориальных образований</t>
  </si>
  <si>
    <t xml:space="preserve">          Субсидии бюджетам субъектов Российской Федерации на развитие и поддержку социальной, инженерной и инновационной инфраструктуры наукоградов Российской Федерации</t>
  </si>
  <si>
    <t xml:space="preserve">          Субсидии бюджетам субъектов Российской Федерации для обеспечения земельных участков коммунальной инфраструктурой в целях жилищного строительства</t>
  </si>
  <si>
    <t xml:space="preserve">          Прочие  субсидии  бюджетам  субъектов  Российской Федерации</t>
  </si>
  <si>
    <t xml:space="preserve">     функционирование высшего должностного лица субъекта Российской Федерации и муниципального образования</t>
  </si>
  <si>
    <t xml:space="preserve">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</si>
  <si>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</si>
  <si>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международные отношения и международное сотрудничество</t>
  </si>
  <si>
    <t xml:space="preserve">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</si>
  <si>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предупреждение и ликвидация последствий чрезвычайных ситуаций природного и техногенного характера, гражданская оборона</t>
  </si>
  <si>
    <t xml:space="preserve">     обеспечение пожарной безопасности</t>
  </si>
  <si>
    <t xml:space="preserve">     стационарная медицинская помощь</t>
  </si>
  <si>
    <t xml:space="preserve">     амбулаторная помощь</t>
  </si>
  <si>
    <t xml:space="preserve">    санаторно-оздоровительная помощь</t>
  </si>
  <si>
    <t xml:space="preserve">     заготовка, переработка, хранение и обеспечение безопасности донорской крови и ее компонентов</t>
  </si>
  <si>
    <t xml:space="preserve">     физическая культура и спорт</t>
  </si>
  <si>
    <t xml:space="preserve">     прикладные научные исследования в области здравоохранения, физической культуры и спорта</t>
  </si>
  <si>
    <t>Плата за негативное воздействие на окружающую среду</t>
  </si>
  <si>
    <t xml:space="preserve">Плата за использование лесов </t>
  </si>
  <si>
    <t xml:space="preserve">Плата за использование лесов в части, превышающей минимальный размер платы по договору купли-продажи лесных насаждений  </t>
  </si>
  <si>
    <t xml:space="preserve">Плата за использование лесов в части, превышающей минимальный размер арендной платы  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</si>
  <si>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</t>
  </si>
  <si>
    <t xml:space="preserve">     другие вопросы в области здравоохранения, физической культуры и спорта</t>
  </si>
  <si>
    <t xml:space="preserve">     охрана семьи и детства</t>
  </si>
  <si>
    <t xml:space="preserve">     дотации бюджетам субъектов Российской Федерации и муниципальных образований</t>
  </si>
  <si>
    <t xml:space="preserve">     субсидии бюджетам субъектов Российской Федерации и муниципальных образований (межбюджетные субсидии)</t>
  </si>
  <si>
    <t xml:space="preserve">     субвенции бюджетам субъектов Российской Федерации и муниципальных образований</t>
  </si>
  <si>
    <t>Платежи за пользование недрами</t>
  </si>
  <si>
    <t>Декларационный платеж,уплачиваемый при упрощенном декларировании доходов</t>
  </si>
  <si>
    <t xml:space="preserve">     охрана объектов растительного и животного мира и среды их обитания</t>
  </si>
  <si>
    <t xml:space="preserve">     водные ресурсы</t>
  </si>
  <si>
    <t xml:space="preserve">     мобилизационная подготовка экономики</t>
  </si>
  <si>
    <t>Утвержденный план с учетом принятых изменений и дополнений</t>
  </si>
  <si>
    <t>Ожидаемое исполнение</t>
  </si>
  <si>
    <t>(+, -) тыс. руб.</t>
  </si>
  <si>
    <t>%</t>
  </si>
  <si>
    <t>НАЛОГИ НА ПРИБЫЛЬ, ДОХОДЫ</t>
  </si>
  <si>
    <t>Налог на доходы физических лиц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</si>
  <si>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</si>
  <si>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</si>
  <si>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 </t>
  </si>
  <si>
    <t xml:space="preserve">        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 </t>
  </si>
  <si>
    <t>Платежи от государственных и муниципальных унитарных предприятий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</si>
  <si>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</si>
  <si>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</si>
  <si>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</si>
  <si>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налог</t>
  </si>
  <si>
    <t>ГОСУДАРСТВЕННАЯ ПОШЛИНА</t>
  </si>
  <si>
    <t xml:space="preserve">Доходы от размещения средств бюджетов </t>
  </si>
  <si>
    <t>Проценты, полученные от предоставления бюджетных кредитов внутри страны</t>
  </si>
  <si>
    <t xml:space="preserve">               доходы от сдачи в аренду имущества, закрепленного за образовательными учреждениями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</si>
  <si>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</si>
  <si>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</si>
  <si>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</si>
  <si>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</si>
  <si>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Доходы от продажи квартир 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</si>
  <si>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</si>
  <si>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</si>
  <si>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государственными организациями субъектов Российской Федерации за выполнение определенных функций</t>
  </si>
  <si>
    <t xml:space="preserve">      средства, взыскиваемые с лиц, помещенных в медвытрезвители</t>
  </si>
  <si>
    <t xml:space="preserve">      сборы за аккредитацию хозяйствующих субъектов в Московской области </t>
  </si>
  <si>
    <t>Платежи, взимаемые  муниципальными организациями за выполнение определенных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</si>
  <si>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</si>
  <si>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</si>
  <si>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</si>
  <si>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     административные штрафы за правонарушения в сфере благоустройства</t>
  </si>
  <si>
    <t>ПРОЧИЕ НЕНАЛОГОВЫЕ ДОХОДЫ</t>
  </si>
  <si>
    <t xml:space="preserve">     Прочие неналоговые доходы бюджетов субъектов Российской Федерации</t>
  </si>
  <si>
    <t>БЕЗВОЗМЕЗДНЫЕ ПОСТУПЛЕНИЯ</t>
  </si>
  <si>
    <t xml:space="preserve">Субвенции от других бюджетов бюджетной системы Российской Федерации </t>
  </si>
  <si>
    <t>ВСЕГО ДОХОДОВ</t>
  </si>
  <si>
    <t>Оценка прироста муниципального имущества и стоимости выполненных работ и оказанных услуг за счет средств инвесторов</t>
  </si>
  <si>
    <t>ВСЕГО</t>
  </si>
  <si>
    <t>Превышение расходов над доходами (дефицит)</t>
  </si>
  <si>
    <t xml:space="preserve">     Увеличение прочих остатков денежных средств бюджетов субъектов Российской Федерации</t>
  </si>
  <si>
    <t xml:space="preserve">     Уменьшение прочих остатков денежных средств бюджетов субъектов Российской Федерации</t>
  </si>
  <si>
    <t>Общегосударственные вопросы,</t>
  </si>
  <si>
    <t>в том числе:</t>
  </si>
  <si>
    <t xml:space="preserve">     судебная система</t>
  </si>
  <si>
    <t xml:space="preserve">     обеспечение проведения выборов и референдумов</t>
  </si>
  <si>
    <t xml:space="preserve">     обслуживание государственного и муниципального долга</t>
  </si>
  <si>
    <t xml:space="preserve">     резервные фонды</t>
  </si>
  <si>
    <t xml:space="preserve">     другие общегосударственные вопросы</t>
  </si>
  <si>
    <t>Национальная безопасность и правоохранительная деятельность,</t>
  </si>
  <si>
    <t xml:space="preserve">     органы внутренних дел</t>
  </si>
  <si>
    <t xml:space="preserve">     другие вопросы в области национальной безопасности и правоохранительной деятельности</t>
  </si>
  <si>
    <t>Национальная экономика,</t>
  </si>
  <si>
    <t xml:space="preserve">     общеэкономические вопросы</t>
  </si>
  <si>
    <t xml:space="preserve">     сельское хозяйство и рыболовство</t>
  </si>
  <si>
    <t xml:space="preserve">     лесное хозяйство</t>
  </si>
  <si>
    <t xml:space="preserve">     транспорт</t>
  </si>
  <si>
    <t xml:space="preserve">     связь и информатика</t>
  </si>
  <si>
    <t xml:space="preserve">     прикладные научные исследования в области национальной экономики</t>
  </si>
  <si>
    <t xml:space="preserve">     другие вопросы в области национальной экономики</t>
  </si>
  <si>
    <t>Жилищно-коммунальное хозяйство,</t>
  </si>
  <si>
    <t xml:space="preserve">     жилищное хозяйство</t>
  </si>
  <si>
    <t xml:space="preserve">     коммунальное хозяйство</t>
  </si>
  <si>
    <t xml:space="preserve">     другие вопросы в области жилищно-коммунального хозяйства</t>
  </si>
  <si>
    <t>Охрана окружающей среды,</t>
  </si>
  <si>
    <t xml:space="preserve">     прикладные научные исследования в области охраны окружающей среды</t>
  </si>
  <si>
    <t xml:space="preserve">     другие вопросы в области охраны окружающей среды</t>
  </si>
  <si>
    <t>Образование,</t>
  </si>
  <si>
    <t xml:space="preserve">     общее образование</t>
  </si>
  <si>
    <t xml:space="preserve">     начальное профессиональное образование</t>
  </si>
  <si>
    <t xml:space="preserve">     топливно-энергетический комплекс</t>
  </si>
  <si>
    <t xml:space="preserve">    воспроизводство минерально-сырьевой базы</t>
  </si>
  <si>
    <t>Здравоохранение, физическая культура и спорт,</t>
  </si>
  <si>
    <t>Национальная оборона,</t>
  </si>
  <si>
    <t>ВСЕГО РАСХОДОВ</t>
  </si>
  <si>
    <t xml:space="preserve">     среднее профессиональное образование</t>
  </si>
  <si>
    <t xml:space="preserve">     молодежная политика и оздоровление детей</t>
  </si>
  <si>
    <t xml:space="preserve">     прикладные научные исследования в области образования</t>
  </si>
  <si>
    <t xml:space="preserve">     другие вопросы в области образования</t>
  </si>
  <si>
    <t>Культура, кинематография и средства массовой информации,</t>
  </si>
  <si>
    <t xml:space="preserve">     культура</t>
  </si>
  <si>
    <t xml:space="preserve">     телевидение и радиовещание</t>
  </si>
  <si>
    <t xml:space="preserve">     периодическая печать и издательства</t>
  </si>
  <si>
    <t xml:space="preserve">     другие вопросы в области культуры, кинематографии и средств массовой информации</t>
  </si>
  <si>
    <t>Социальная политика,</t>
  </si>
  <si>
    <t xml:space="preserve">     пенсионное обеспечение</t>
  </si>
  <si>
    <t xml:space="preserve">     социальное обслуживание населения</t>
  </si>
  <si>
    <t xml:space="preserve">     социальное обеспечение населения</t>
  </si>
  <si>
    <t xml:space="preserve">     другие вопросы в области социальной политики</t>
  </si>
  <si>
    <t>Межбюджетные трансферты,</t>
  </si>
  <si>
    <t xml:space="preserve">в % к общей сумме доходов без учета безвозмездных поступлений </t>
  </si>
  <si>
    <t>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</si>
  <si>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</si>
  <si>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</si>
  <si>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</si>
  <si>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</si>
  <si>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        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</si>
  <si>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</si>
  <si>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</si>
  <si>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 Погашение кредитов, предоставленных кредитными организациями в валюте Российской Федерации </t>
  </si>
  <si>
    <t xml:space="preserve">          Получение кредитов от кредитных организаций бюджетами субъектов Российской Федерации в валюте Российской Федерации</t>
  </si>
  <si>
    <t xml:space="preserve">          Погашение бюджетами субъектов Российской Федерации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</si>
  <si>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</si>
  <si>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           Увеличение прочих остатков средств бюджетов  субъектов Российской Федерации, временно размещенных в ценные бумаги</t>
  </si>
  <si>
    <t xml:space="preserve">          Уменьшение прочих остатков средств бюджетов субъектов Российской Федерации, временно размещенных в ценные бумаги</t>
  </si>
  <si>
    <t>Иные источники внутреннего финансирования дефицитов бюджетов</t>
  </si>
  <si>
    <t xml:space="preserve">     Акции и иные формы участия в капитале, находящиеся в государственной и муниципальной собственности</t>
  </si>
  <si>
    <t xml:space="preserve">     Исполнение государственных и муниципальных гарантий в валюте Российской Федерации</t>
  </si>
  <si>
    <t xml:space="preserve">          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</si>
  <si>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      Бюджетные кредиты, предоставленные внутри страны в валюте Российской Федерации </t>
  </si>
  <si>
    <t xml:space="preserve">           Возврат бюджетных кредитов, предоставленных внутри страны в валюте Российской Федерации </t>
  </si>
  <si>
    <t xml:space="preserve">              Исполнение государственных гарантий субъекта Российской Федерации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</si>
  <si>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              Возврат бюджетных кредитов, предоставленных юридическим лицам из бюджетов субъектов Российской Федерации в валюте Российской Федерации</t>
  </si>
  <si>
    <t xml:space="preserve">             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</si>
  <si>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         Предоставление бюджетных кредитов внутри страны в валюте Российской Федерации </t>
  </si>
  <si>
    <t xml:space="preserve">              Предоставление бюджетных кредитов юридическим лицам из бюджетов субъектов Российской Федерации в валюте Российской Федерации</t>
  </si>
  <si>
    <t xml:space="preserve">            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</si>
  <si>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Наименование</t>
  </si>
  <si>
    <t>ЗАДОЛЖЕННОСТЬ И ПЕРЕРАСЧЕТЫ  ПО ОТМЕНЕННЫМ НАЛОГАМ, СБОРАМ И ИНЫМ ОБЯЗАТЕЛЬНЫМ ПЛАТЕЖАМ</t>
  </si>
  <si>
    <t xml:space="preserve">         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</si>
  <si>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 xml:space="preserve">      сборы, взимаемые органами Гостехнадзора Московской области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</si>
  <si>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</si>
  <si>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субъектов Российской Федерации от возврата остатков субсидий и субвенций прошлых лет из местных бюджетов</t>
  </si>
  <si>
    <r>
      <t xml:space="preserve">РАСХОДЫ </t>
    </r>
    <r>
      <rPr>
        <sz val="10"/>
        <rFont val="Times New Roman Cyr"/>
        <family val="1"/>
      </rPr>
      <t>(по разделам и подразделам классификации расходов бюджетов)</t>
    </r>
  </si>
  <si>
    <t xml:space="preserve">     дорожное хозяйство</t>
  </si>
  <si>
    <t xml:space="preserve">      прочие поступления от денежных взысканий (штрафов) и иных сумм возмещения ущерба, зачисляемые в бюджеты субъектов Российской Федерации</t>
  </si>
  <si>
    <t xml:space="preserve">          Доходы, получаемые в виде арендной платы за земли после разграничения государственной собственности на 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</si>
  <si>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 xml:space="preserve">      прочие поступления от денежных взысканий (штрафов) и иных сумм в возмещение ущерба имуществу автомобильных дорог регионального и межмуниципального значения, расположенных вне населенных пунктов Московской области</t>
  </si>
  <si>
    <t xml:space="preserve">      прочие поступления от денежных взысканий (штрафов) и иных сумм в возмещение ущерба имуществу автомобильных дорог регионального и межмуниципального значения, расположенных в населенных пунктах Московской области</t>
  </si>
  <si>
    <t xml:space="preserve">                Прочие  субсидии  бюджетам  субъектов  Российской Федерации на реализацию мер социальной поддержки отдельных категорий граждан</t>
  </si>
  <si>
    <t>Проект бюджета на 2011 год</t>
  </si>
  <si>
    <t>Отклонение проекта бюджета на 2011 год</t>
  </si>
  <si>
    <t>от утвержденного плана на 2010 год с учетом принятых изменений и дополнений</t>
  </si>
  <si>
    <t>от ожидаемого исполнения за 2010 год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</si>
  <si>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</si>
  <si>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 МУНИЦИПАЛЬНОЙ СОБСТВЕННОСТИ</t>
  </si>
  <si>
    <t xml:space="preserve">          Доходы от сдачи в аренду имущества, находящегося в оперативном управлении  органов местного самоуправления и созданных ими учреждений (за исключением имущества автономных учреждений) </t>
  </si>
  <si>
    <t xml:space="preserve">     Прочие доходы от использования имущества и прав, находящихся в государственной и муниципальной собственности (плата за найм жилого фонда)         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</si>
  <si>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</si>
  <si>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 xml:space="preserve">          прочие неналоговые доходы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</si>
  <si>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</si>
  <si>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</si>
  <si>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городских округов</t>
  </si>
  <si>
    <t xml:space="preserve">Единый сельскохозяйственный налог </t>
  </si>
  <si>
    <t>Налог, взимаемый в виде стоимости патента в связи с применением упрощенной системы налогообложения</t>
  </si>
  <si>
    <t>Доходы от реализации иного имущества, находящегося в собственности городских округов  (в части реализации основных средств по указанному имуществу)</t>
  </si>
  <si>
    <t xml:space="preserve">     Прочие доходы от использования имущества и прав, находящихся в государственной и муниципальной собственности (плата за рекламу)         </t>
  </si>
  <si>
    <t>Акцизы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</t>
  </si>
  <si>
    <t xml:space="preserve">Налог, взимаемый в связи с применением упрощенной системы налогообложения </t>
  </si>
  <si>
    <t>Государственная пошлина по делам, рассматриваемым в судах общей юрисдикции, мировыми судьями (за искл.Верх. Суда РФ)</t>
  </si>
  <si>
    <t>НАЛОГИ НА ТОВАРЫ(РАБОТЫ,УСЛУГИ), РЕАЛИЗУЕМЫЕ НА ТЕРРИТОРИИ РФ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</si>
  <si>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</si>
  <si>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Возврат остатков субсидий, целевого назначения из бюджета</t>
  </si>
  <si>
    <t>НАЛОГОВЫЕ ДОХОДЫ</t>
  </si>
  <si>
    <t xml:space="preserve">НАЛОГОВЫЕ И НЕНАЛОГОВЫЕ ДОХОДЫ </t>
  </si>
  <si>
    <t>Невыясненные платежи</t>
  </si>
  <si>
    <t xml:space="preserve">Ожидаемый                     %                    исполнения </t>
  </si>
  <si>
    <t>НЕНАЛОГОВЫ ДОХОДЫ</t>
  </si>
  <si>
    <t xml:space="preserve">Субсидии бюджетам субъектов Российской Федерации и муниципальных образований </t>
  </si>
  <si>
    <t>Бюджет на 2019 год</t>
  </si>
  <si>
    <t xml:space="preserve">     Прочие доходы от использования имущества и прав, находящихся в государственной и муниципальной собственности (плата за размещение объектов, которые могут бытьразмещены без предоставления земельных участков и установления сервитутов)         </t>
  </si>
  <si>
    <t>Оценка ожидаемого исполнения бюджета городского округа Лыткарино
 в 2019 году</t>
  </si>
  <si>
    <t>РАСХОДЫ</t>
  </si>
  <si>
    <t>обеспечение  проведения  выборов  и  референдумов</t>
  </si>
  <si>
    <t xml:space="preserve">   мобилизационная  и  вневойсковая  подготовка</t>
  </si>
  <si>
    <t xml:space="preserve">   мобилизационная подготовка экономики</t>
  </si>
  <si>
    <t xml:space="preserve">   защита населения и территории от чрезвычайных ситуаций природного и техногенного характера, гражданская оборона</t>
  </si>
  <si>
    <t xml:space="preserve">   сельское хозяйство и рыболовство</t>
  </si>
  <si>
    <t xml:space="preserve">     связь  и  информатика</t>
  </si>
  <si>
    <t xml:space="preserve">      благоустройство</t>
  </si>
  <si>
    <t>"Охрана  окружающей среды"</t>
  </si>
  <si>
    <t>другие вопросы в области охраны окружающей  среды"</t>
  </si>
  <si>
    <t xml:space="preserve">     дошкольное образование</t>
  </si>
  <si>
    <t xml:space="preserve">    дополнительное  образование</t>
  </si>
  <si>
    <t xml:space="preserve">     другие вопросы в области здравоохранения,  физической культуры и спорта</t>
  </si>
  <si>
    <t xml:space="preserve">     другие  вопросы  в  области  социальной  политики</t>
  </si>
  <si>
    <t>Физическая  культура  и  спорт</t>
  </si>
  <si>
    <t xml:space="preserve">     физическая культура</t>
  </si>
  <si>
    <t xml:space="preserve">     массовый спорт</t>
  </si>
  <si>
    <t>Обслуживание  государственного  и  муниципального  долга</t>
  </si>
  <si>
    <t xml:space="preserve">     обслуживание  государственного  внутреннего  и  муниципального  долга</t>
  </si>
  <si>
    <t>Превышение расходов над доходами ((-)дефицит(+) профицит)</t>
  </si>
  <si>
    <t xml:space="preserve">          Получение кредитов от кредитных организаций бюджетами городского  округа в валюте Российской Федерации</t>
  </si>
  <si>
    <t xml:space="preserve">          Погашение бюджетами городских  округов кредитов от кредитных организаций в валюте Российской Федерации</t>
  </si>
  <si>
    <t xml:space="preserve">     Увеличение прочих остатков денежных средств бюджетов городских  округов </t>
  </si>
  <si>
    <t xml:space="preserve">     Уменьшение прочих остатков денежных средств бюджетов городских  округов</t>
  </si>
  <si>
    <t>Иные  источники  внутреннего  финансирования  дефицитов  бюджетов</t>
  </si>
  <si>
    <t xml:space="preserve">   исполнение  гарантий  городских  округов  в  валюте  Российской  Федерации, в  случае, если  исполнение  гарантом  государственных  и  муниципальных  гарантий  ведет  к  возникновению  права  регрессивного  требования  гаранта  к  принципалу,  либо  обусловлено  уступкой  гаранту  прав  требования  бенефициара  к  принципалу </t>
  </si>
  <si>
    <t>Здравоохранение,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</si>
</sst>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3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9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1"/>
    </font>
    <font>
      <sz val="12"/>
      <color indexed="10"/>
      <name val="Times New Roman Cyr"/>
      <family val="1"/>
    </font>
    <font>
      <b/>
      <sz val="16"/>
      <name val="Times New Roman Cyr"/>
      <family val="1"/>
    </font>
    <font>
      <b/>
      <sz val="16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172" fontId="1" fillId="0" borderId="11" xfId="0" applyNumberFormat="1" applyFont="1" applyBorder="1" applyAlignment="1">
      <alignment vertical="center" wrapText="1"/>
    </xf>
    <xf numFmtId="172" fontId="1" fillId="0" borderId="0" xfId="0" applyNumberFormat="1" applyFont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1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172" fontId="2" fillId="33" borderId="1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172" fontId="1" fillId="0" borderId="13" xfId="0" applyNumberFormat="1" applyFont="1" applyBorder="1" applyAlignment="1">
      <alignment horizontal="center" vertical="center" wrapText="1"/>
    </xf>
    <xf numFmtId="172" fontId="1" fillId="34" borderId="13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1" fillId="34" borderId="11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34" borderId="11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 wrapText="1"/>
    </xf>
    <xf numFmtId="172" fontId="2" fillId="35" borderId="13" xfId="0" applyNumberFormat="1" applyFont="1" applyFill="1" applyBorder="1" applyAlignment="1">
      <alignment horizontal="center" vertical="center" wrapText="1"/>
    </xf>
    <xf numFmtId="172" fontId="2" fillId="35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3" fontId="1" fillId="34" borderId="14" xfId="0" applyNumberFormat="1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35" borderId="0" xfId="0" applyNumberFormat="1" applyFont="1" applyFill="1" applyAlignment="1">
      <alignment horizontal="center" vertical="center" wrapText="1"/>
    </xf>
    <xf numFmtId="3" fontId="2" fillId="35" borderId="0" xfId="0" applyNumberFormat="1" applyFont="1" applyFill="1" applyAlignment="1">
      <alignment horizontal="center" vertical="center" wrapText="1"/>
    </xf>
    <xf numFmtId="3" fontId="1" fillId="35" borderId="0" xfId="0" applyNumberFormat="1" applyFont="1" applyFill="1" applyAlignment="1">
      <alignment horizontal="center" vertical="center" wrapText="1"/>
    </xf>
    <xf numFmtId="3" fontId="2" fillId="35" borderId="0" xfId="0" applyNumberFormat="1" applyFont="1" applyFill="1" applyAlignment="1">
      <alignment horizontal="center" vertical="center" wrapText="1"/>
    </xf>
    <xf numFmtId="3" fontId="11" fillId="35" borderId="0" xfId="0" applyNumberFormat="1" applyFont="1" applyFill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172" fontId="1" fillId="34" borderId="20" xfId="0" applyNumberFormat="1" applyFont="1" applyFill="1" applyBorder="1" applyAlignment="1">
      <alignment horizontal="center" vertical="center" wrapText="1"/>
    </xf>
    <xf numFmtId="172" fontId="2" fillId="33" borderId="20" xfId="0" applyNumberFormat="1" applyFont="1" applyFill="1" applyBorder="1" applyAlignment="1">
      <alignment horizontal="center" vertical="center" wrapText="1"/>
    </xf>
    <xf numFmtId="172" fontId="1" fillId="34" borderId="19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left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2" fontId="2" fillId="33" borderId="22" xfId="0" applyNumberFormat="1" applyFont="1" applyFill="1" applyBorder="1" applyAlignment="1">
      <alignment horizontal="left" vertical="center" wrapText="1"/>
    </xf>
    <xf numFmtId="172" fontId="2" fillId="33" borderId="23" xfId="0" applyNumberFormat="1" applyFont="1" applyFill="1" applyBorder="1" applyAlignment="1">
      <alignment horizontal="center" vertical="center" wrapText="1"/>
    </xf>
    <xf numFmtId="172" fontId="2" fillId="33" borderId="24" xfId="0" applyNumberFormat="1" applyFont="1" applyFill="1" applyBorder="1" applyAlignment="1">
      <alignment horizontal="center" vertical="center" wrapText="1"/>
    </xf>
    <xf numFmtId="172" fontId="2" fillId="33" borderId="25" xfId="0" applyNumberFormat="1" applyFont="1" applyFill="1" applyBorder="1" applyAlignment="1">
      <alignment horizontal="left" vertical="center" wrapText="1"/>
    </xf>
    <xf numFmtId="172" fontId="2" fillId="33" borderId="26" xfId="0" applyNumberFormat="1" applyFont="1" applyFill="1" applyBorder="1" applyAlignment="1">
      <alignment horizontal="center" vertical="center" wrapText="1"/>
    </xf>
    <xf numFmtId="172" fontId="3" fillId="33" borderId="27" xfId="0" applyNumberFormat="1" applyFont="1" applyFill="1" applyBorder="1" applyAlignment="1">
      <alignment horizontal="left" vertical="center" wrapText="1"/>
    </xf>
    <xf numFmtId="172" fontId="2" fillId="33" borderId="28" xfId="0" applyNumberFormat="1" applyFont="1" applyFill="1" applyBorder="1" applyAlignment="1">
      <alignment horizontal="center" vertical="center" wrapText="1"/>
    </xf>
    <xf numFmtId="172" fontId="9" fillId="0" borderId="27" xfId="0" applyNumberFormat="1" applyFont="1" applyFill="1" applyBorder="1" applyAlignment="1">
      <alignment horizontal="left" vertical="center" wrapText="1"/>
    </xf>
    <xf numFmtId="172" fontId="2" fillId="35" borderId="28" xfId="0" applyNumberFormat="1" applyFont="1" applyFill="1" applyBorder="1" applyAlignment="1">
      <alignment horizontal="center" vertical="center" wrapText="1"/>
    </xf>
    <xf numFmtId="172" fontId="10" fillId="36" borderId="27" xfId="0" applyNumberFormat="1" applyFont="1" applyFill="1" applyBorder="1" applyAlignment="1">
      <alignment horizontal="left" vertical="center" wrapText="1"/>
    </xf>
    <xf numFmtId="172" fontId="2" fillId="36" borderId="28" xfId="0" applyNumberFormat="1" applyFont="1" applyFill="1" applyBorder="1" applyAlignment="1">
      <alignment horizontal="center" vertical="center" wrapText="1"/>
    </xf>
    <xf numFmtId="172" fontId="3" fillId="33" borderId="27" xfId="0" applyNumberFormat="1" applyFont="1" applyFill="1" applyBorder="1" applyAlignment="1">
      <alignment vertical="center" wrapText="1"/>
    </xf>
    <xf numFmtId="0" fontId="8" fillId="37" borderId="27" xfId="0" applyFont="1" applyFill="1" applyBorder="1" applyAlignment="1">
      <alignment vertical="center" wrapText="1"/>
    </xf>
    <xf numFmtId="172" fontId="9" fillId="0" borderId="27" xfId="0" applyNumberFormat="1" applyFont="1" applyFill="1" applyBorder="1" applyAlignment="1">
      <alignment vertical="center" wrapText="1"/>
    </xf>
    <xf numFmtId="0" fontId="8" fillId="37" borderId="27" xfId="0" applyFont="1" applyFill="1" applyBorder="1" applyAlignment="1">
      <alignment horizontal="left" vertical="center" wrapText="1"/>
    </xf>
    <xf numFmtId="172" fontId="1" fillId="0" borderId="27" xfId="0" applyNumberFormat="1" applyFont="1" applyFill="1" applyBorder="1" applyAlignment="1">
      <alignment vertical="center" wrapText="1"/>
    </xf>
    <xf numFmtId="172" fontId="1" fillId="0" borderId="27" xfId="0" applyNumberFormat="1" applyFont="1" applyFill="1" applyBorder="1" applyAlignment="1">
      <alignment horizontal="left" vertical="center" wrapText="1"/>
    </xf>
    <xf numFmtId="172" fontId="9" fillId="0" borderId="29" xfId="0" applyNumberFormat="1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/>
    </xf>
    <xf numFmtId="172" fontId="12" fillId="33" borderId="27" xfId="0" applyNumberFormat="1" applyFont="1" applyFill="1" applyBorder="1" applyAlignment="1">
      <alignment vertical="center" wrapText="1"/>
    </xf>
    <xf numFmtId="172" fontId="13" fillId="0" borderId="27" xfId="0" applyNumberFormat="1" applyFont="1" applyFill="1" applyBorder="1" applyAlignment="1">
      <alignment vertical="center" wrapText="1"/>
    </xf>
    <xf numFmtId="172" fontId="12" fillId="0" borderId="27" xfId="0" applyNumberFormat="1" applyFont="1" applyFill="1" applyBorder="1" applyAlignment="1">
      <alignment vertical="center" wrapText="1"/>
    </xf>
    <xf numFmtId="3" fontId="1" fillId="35" borderId="0" xfId="0" applyNumberFormat="1" applyFont="1" applyFill="1" applyAlignment="1">
      <alignment horizontal="center" vertical="center" wrapText="1"/>
    </xf>
    <xf numFmtId="172" fontId="2" fillId="38" borderId="27" xfId="0" applyNumberFormat="1" applyFont="1" applyFill="1" applyBorder="1" applyAlignment="1">
      <alignment horizontal="left" vertical="center" wrapText="1"/>
    </xf>
    <xf numFmtId="172" fontId="2" fillId="38" borderId="11" xfId="0" applyNumberFormat="1" applyFont="1" applyFill="1" applyBorder="1" applyAlignment="1">
      <alignment horizontal="center" vertical="center" wrapText="1"/>
    </xf>
    <xf numFmtId="172" fontId="2" fillId="38" borderId="28" xfId="0" applyNumberFormat="1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left" vertical="center"/>
    </xf>
    <xf numFmtId="172" fontId="1" fillId="38" borderId="11" xfId="0" applyNumberFormat="1" applyFont="1" applyFill="1" applyBorder="1" applyAlignment="1">
      <alignment horizontal="center" vertical="center" wrapText="1"/>
    </xf>
    <xf numFmtId="172" fontId="1" fillId="38" borderId="28" xfId="0" applyNumberFormat="1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left" vertical="center"/>
    </xf>
    <xf numFmtId="172" fontId="1" fillId="0" borderId="28" xfId="0" applyNumberFormat="1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172" fontId="2" fillId="33" borderId="2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172" fontId="1" fillId="35" borderId="28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8" borderId="28" xfId="0" applyNumberFormat="1" applyFont="1" applyFill="1" applyBorder="1" applyAlignment="1">
      <alignment horizontal="center" vertical="center" wrapText="1"/>
    </xf>
    <xf numFmtId="172" fontId="1" fillId="37" borderId="11" xfId="0" applyNumberFormat="1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left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left" vertical="center"/>
    </xf>
    <xf numFmtId="172" fontId="2" fillId="33" borderId="27" xfId="0" applyNumberFormat="1" applyFont="1" applyFill="1" applyBorder="1" applyAlignment="1">
      <alignment horizontal="left" vertical="center" wrapText="1"/>
    </xf>
    <xf numFmtId="172" fontId="1" fillId="0" borderId="27" xfId="0" applyNumberFormat="1" applyFont="1" applyBorder="1" applyAlignment="1">
      <alignment vertical="center" wrapText="1"/>
    </xf>
    <xf numFmtId="172" fontId="2" fillId="33" borderId="27" xfId="0" applyNumberFormat="1" applyFont="1" applyFill="1" applyBorder="1" applyAlignment="1">
      <alignment vertical="center" wrapText="1"/>
    </xf>
    <xf numFmtId="172" fontId="1" fillId="33" borderId="28" xfId="0" applyNumberFormat="1" applyFont="1" applyFill="1" applyBorder="1" applyAlignment="1">
      <alignment horizontal="center" vertical="center" wrapText="1"/>
    </xf>
    <xf numFmtId="172" fontId="1" fillId="0" borderId="30" xfId="0" applyNumberFormat="1" applyFont="1" applyBorder="1" applyAlignment="1">
      <alignment vertical="center" wrapText="1"/>
    </xf>
    <xf numFmtId="172" fontId="1" fillId="0" borderId="31" xfId="0" applyNumberFormat="1" applyFont="1" applyBorder="1" applyAlignment="1">
      <alignment horizontal="center" vertical="center" wrapText="1"/>
    </xf>
    <xf numFmtId="172" fontId="1" fillId="0" borderId="3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35" borderId="0" xfId="0" applyNumberFormat="1" applyFont="1" applyFill="1" applyAlignment="1">
      <alignment horizontal="center" vertical="center" wrapText="1"/>
    </xf>
    <xf numFmtId="3" fontId="14" fillId="0" borderId="40" xfId="0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 wrapText="1"/>
    </xf>
    <xf numFmtId="3" fontId="2" fillId="34" borderId="43" xfId="0" applyNumberFormat="1" applyFont="1" applyFill="1" applyBorder="1" applyAlignment="1">
      <alignment horizontal="center" vertical="center" wrapText="1"/>
    </xf>
    <xf numFmtId="3" fontId="2" fillId="34" borderId="44" xfId="0" applyNumberFormat="1" applyFont="1" applyFill="1" applyBorder="1" applyAlignment="1">
      <alignment horizontal="center" vertical="center" wrapText="1"/>
    </xf>
    <xf numFmtId="172" fontId="2" fillId="38" borderId="30" xfId="0" applyNumberFormat="1" applyFont="1" applyFill="1" applyBorder="1" applyAlignment="1">
      <alignment horizontal="left" vertical="center" wrapText="1"/>
    </xf>
    <xf numFmtId="172" fontId="2" fillId="38" borderId="31" xfId="0" applyNumberFormat="1" applyFont="1" applyFill="1" applyBorder="1" applyAlignment="1">
      <alignment horizontal="center" vertical="center" wrapText="1"/>
    </xf>
    <xf numFmtId="172" fontId="2" fillId="38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3"/>
  <sheetViews>
    <sheetView tabSelected="1" zoomScale="95" zoomScaleNormal="9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08" sqref="B308"/>
    </sheetView>
  </sheetViews>
  <sheetFormatPr defaultColWidth="9.125" defaultRowHeight="12.75"/>
  <cols>
    <col min="1" max="1" width="67.875" style="11" customWidth="1"/>
    <col min="2" max="2" width="14.625" style="1" customWidth="1"/>
    <col min="3" max="3" width="14.50390625" style="1" customWidth="1"/>
    <col min="4" max="4" width="15.00390625" style="1" customWidth="1"/>
    <col min="5" max="5" width="14.00390625" style="1" hidden="1" customWidth="1"/>
    <col min="6" max="6" width="12.125" style="1" hidden="1" customWidth="1"/>
    <col min="7" max="7" width="11.00390625" style="15" hidden="1" customWidth="1"/>
    <col min="8" max="8" width="13.50390625" style="1" hidden="1" customWidth="1"/>
    <col min="9" max="9" width="11.50390625" style="15" hidden="1" customWidth="1"/>
    <col min="10" max="10" width="0.12890625" style="48" customWidth="1"/>
    <col min="11" max="11" width="0" style="48" hidden="1" customWidth="1"/>
    <col min="12" max="12" width="0.37109375" style="48" hidden="1" customWidth="1"/>
    <col min="13" max="13" width="0" style="48" hidden="1" customWidth="1"/>
    <col min="14" max="14" width="0.37109375" style="48" customWidth="1"/>
    <col min="15" max="16384" width="9.125" style="1" customWidth="1"/>
  </cols>
  <sheetData>
    <row r="1" spans="1:9" ht="22.5" customHeight="1">
      <c r="A1" s="127"/>
      <c r="B1" s="127"/>
      <c r="C1" s="127"/>
      <c r="D1" s="127"/>
      <c r="E1" s="38"/>
      <c r="F1" s="38"/>
      <c r="G1" s="38"/>
      <c r="H1" s="38"/>
      <c r="I1" s="38"/>
    </row>
    <row r="2" spans="1:9" ht="16.5">
      <c r="A2" s="127"/>
      <c r="B2" s="127"/>
      <c r="C2" s="127"/>
      <c r="D2" s="127"/>
      <c r="E2" s="127"/>
      <c r="F2" s="127"/>
      <c r="G2" s="127"/>
      <c r="H2" s="127"/>
      <c r="I2" s="127"/>
    </row>
    <row r="3" spans="1:4" ht="41.25" customHeight="1" thickBot="1">
      <c r="A3" s="125" t="s">
        <v>281</v>
      </c>
      <c r="B3" s="126"/>
      <c r="C3" s="126"/>
      <c r="D3" s="126"/>
    </row>
    <row r="4" spans="1:9" ht="31.5" customHeight="1">
      <c r="A4" s="113" t="s">
        <v>237</v>
      </c>
      <c r="B4" s="116" t="s">
        <v>279</v>
      </c>
      <c r="C4" s="117"/>
      <c r="D4" s="118"/>
      <c r="E4" s="130" t="s">
        <v>250</v>
      </c>
      <c r="F4" s="119" t="s">
        <v>251</v>
      </c>
      <c r="G4" s="120"/>
      <c r="H4" s="120"/>
      <c r="I4" s="121"/>
    </row>
    <row r="5" spans="1:14" ht="50.25" customHeight="1">
      <c r="A5" s="114"/>
      <c r="B5" s="122" t="s">
        <v>118</v>
      </c>
      <c r="C5" s="122" t="s">
        <v>119</v>
      </c>
      <c r="D5" s="128" t="s">
        <v>276</v>
      </c>
      <c r="E5" s="131"/>
      <c r="F5" s="111" t="s">
        <v>252</v>
      </c>
      <c r="G5" s="112"/>
      <c r="H5" s="111" t="s">
        <v>253</v>
      </c>
      <c r="I5" s="112"/>
      <c r="L5" s="124"/>
      <c r="M5" s="124"/>
      <c r="N5" s="124"/>
    </row>
    <row r="6" spans="1:14" ht="39" customHeight="1" thickBot="1">
      <c r="A6" s="115"/>
      <c r="B6" s="123"/>
      <c r="C6" s="123"/>
      <c r="D6" s="129"/>
      <c r="E6" s="132"/>
      <c r="F6" s="3" t="s">
        <v>120</v>
      </c>
      <c r="G6" s="7" t="s">
        <v>121</v>
      </c>
      <c r="H6" s="3" t="s">
        <v>120</v>
      </c>
      <c r="I6" s="7" t="s">
        <v>121</v>
      </c>
      <c r="L6" s="124"/>
      <c r="M6" s="124"/>
      <c r="N6" s="124"/>
    </row>
    <row r="7" spans="1:9" ht="13.5" thickBot="1">
      <c r="A7" s="45">
        <v>1</v>
      </c>
      <c r="B7" s="46">
        <v>2</v>
      </c>
      <c r="C7" s="46">
        <v>3</v>
      </c>
      <c r="D7" s="47">
        <v>4</v>
      </c>
      <c r="E7" s="43">
        <v>5</v>
      </c>
      <c r="F7" s="2">
        <v>6</v>
      </c>
      <c r="G7" s="2">
        <v>7</v>
      </c>
      <c r="H7" s="2">
        <v>8</v>
      </c>
      <c r="I7" s="2">
        <v>9</v>
      </c>
    </row>
    <row r="8" spans="1:14" s="5" customFormat="1" ht="28.5" customHeight="1">
      <c r="A8" s="61" t="s">
        <v>274</v>
      </c>
      <c r="B8" s="62">
        <f>B10+B12+B14+B19+B22+B25+B27+B42+B48+B54+B65+B76</f>
        <v>1104381</v>
      </c>
      <c r="C8" s="62">
        <f>C9+C26</f>
        <v>943998.5</v>
      </c>
      <c r="D8" s="63">
        <f aca="true" t="shared" si="0" ref="D8:D16">C8*100/B8</f>
        <v>85.47761144025476</v>
      </c>
      <c r="E8" s="54" t="e">
        <f>E10+#REF!+E14+E19+#REF!+E22+E25+E27+E42+E48+E54+E59+E65+E76+E82</f>
        <v>#REF!</v>
      </c>
      <c r="F8" s="16" t="e">
        <f>E8-B8</f>
        <v>#REF!</v>
      </c>
      <c r="G8" s="16" t="e">
        <f>E8*100/B8</f>
        <v>#REF!</v>
      </c>
      <c r="H8" s="16" t="e">
        <f>E8-C8</f>
        <v>#REF!</v>
      </c>
      <c r="I8" s="16" t="e">
        <f>E8*100/C8</f>
        <v>#REF!</v>
      </c>
      <c r="J8" s="49"/>
      <c r="K8" s="49"/>
      <c r="L8" s="49"/>
      <c r="M8" s="49"/>
      <c r="N8" s="48"/>
    </row>
    <row r="9" spans="1:14" s="5" customFormat="1" ht="23.25" customHeight="1">
      <c r="A9" s="64" t="s">
        <v>273</v>
      </c>
      <c r="B9" s="44">
        <f>B10+B12+B14+B19+B22+B25</f>
        <v>754386.5</v>
      </c>
      <c r="C9" s="44">
        <f>C10+C12+C14+C19+C22+C25</f>
        <v>752044.2</v>
      </c>
      <c r="D9" s="65">
        <f t="shared" si="0"/>
        <v>99.68950928999922</v>
      </c>
      <c r="E9" s="54"/>
      <c r="F9" s="16"/>
      <c r="G9" s="16"/>
      <c r="H9" s="16"/>
      <c r="I9" s="16"/>
      <c r="J9" s="49"/>
      <c r="K9" s="49"/>
      <c r="L9" s="49"/>
      <c r="M9" s="49"/>
      <c r="N9" s="48"/>
    </row>
    <row r="10" spans="1:14" s="5" customFormat="1" ht="18" customHeight="1">
      <c r="A10" s="66" t="s">
        <v>122</v>
      </c>
      <c r="B10" s="16">
        <f>B11</f>
        <v>444982</v>
      </c>
      <c r="C10" s="16">
        <f>C11</f>
        <v>428970</v>
      </c>
      <c r="D10" s="67">
        <f t="shared" si="0"/>
        <v>96.40165220166209</v>
      </c>
      <c r="E10" s="54">
        <f>SUM(E11:E11)</f>
        <v>180700</v>
      </c>
      <c r="F10" s="16">
        <f>E10-B10</f>
        <v>-264282</v>
      </c>
      <c r="G10" s="16">
        <f>E10*100/B10</f>
        <v>40.608384159359254</v>
      </c>
      <c r="H10" s="16">
        <f aca="true" t="shared" si="1" ref="H10:H31">E10-C10</f>
        <v>-248270</v>
      </c>
      <c r="I10" s="16">
        <f aca="true" t="shared" si="2" ref="I10:I31">E10*100/C10</f>
        <v>42.12415786651747</v>
      </c>
      <c r="J10" s="49"/>
      <c r="K10" s="49"/>
      <c r="L10" s="49"/>
      <c r="M10" s="49"/>
      <c r="N10" s="48"/>
    </row>
    <row r="11" spans="1:16" ht="22.5" customHeight="1">
      <c r="A11" s="68" t="s">
        <v>123</v>
      </c>
      <c r="B11" s="40">
        <v>444982</v>
      </c>
      <c r="C11" s="40">
        <v>428970</v>
      </c>
      <c r="D11" s="69">
        <f t="shared" si="0"/>
        <v>96.40165220166209</v>
      </c>
      <c r="E11" s="55">
        <v>180700</v>
      </c>
      <c r="F11" s="16">
        <f>E11-B11</f>
        <v>-264282</v>
      </c>
      <c r="G11" s="7">
        <f>E11*100/B11</f>
        <v>40.608384159359254</v>
      </c>
      <c r="H11" s="7">
        <f t="shared" si="1"/>
        <v>-248270</v>
      </c>
      <c r="I11" s="7">
        <f t="shared" si="2"/>
        <v>42.12415786651747</v>
      </c>
      <c r="P11" s="15"/>
    </row>
    <row r="12" spans="1:9" ht="28.5" customHeight="1">
      <c r="A12" s="70" t="s">
        <v>270</v>
      </c>
      <c r="B12" s="53">
        <f>B13</f>
        <v>6103.5</v>
      </c>
      <c r="C12" s="53">
        <f>C13</f>
        <v>6103.5</v>
      </c>
      <c r="D12" s="71">
        <f t="shared" si="0"/>
        <v>100</v>
      </c>
      <c r="E12" s="55"/>
      <c r="F12" s="16"/>
      <c r="G12" s="7"/>
      <c r="H12" s="7"/>
      <c r="I12" s="7"/>
    </row>
    <row r="13" spans="1:9" ht="75.75" customHeight="1">
      <c r="A13" s="68" t="s">
        <v>267</v>
      </c>
      <c r="B13" s="40">
        <v>6103.5</v>
      </c>
      <c r="C13" s="40">
        <v>6103.5</v>
      </c>
      <c r="D13" s="69">
        <f t="shared" si="0"/>
        <v>100</v>
      </c>
      <c r="E13" s="55"/>
      <c r="F13" s="16"/>
      <c r="G13" s="7"/>
      <c r="H13" s="7"/>
      <c r="I13" s="7"/>
    </row>
    <row r="14" spans="1:14" s="5" customFormat="1" ht="24.75" customHeight="1">
      <c r="A14" s="72" t="s">
        <v>129</v>
      </c>
      <c r="B14" s="29">
        <f>B15+B16+B17+B18</f>
        <v>114978</v>
      </c>
      <c r="C14" s="29">
        <f>C15+C16+C17+C18</f>
        <v>127625.5</v>
      </c>
      <c r="D14" s="67">
        <f t="shared" si="0"/>
        <v>110.99993042147193</v>
      </c>
      <c r="E14" s="56" t="e">
        <f>#REF!+#REF!+#REF!</f>
        <v>#REF!</v>
      </c>
      <c r="F14" s="16" t="e">
        <f>E14-B14</f>
        <v>#REF!</v>
      </c>
      <c r="G14" s="16" t="e">
        <f>E14*100/B14</f>
        <v>#REF!</v>
      </c>
      <c r="H14" s="16" t="e">
        <f t="shared" si="1"/>
        <v>#REF!</v>
      </c>
      <c r="I14" s="16" t="e">
        <f t="shared" si="2"/>
        <v>#REF!</v>
      </c>
      <c r="J14" s="49"/>
      <c r="K14" s="49"/>
      <c r="L14" s="49"/>
      <c r="M14" s="49"/>
      <c r="N14" s="48"/>
    </row>
    <row r="15" spans="1:14" s="5" customFormat="1" ht="33.75" customHeight="1">
      <c r="A15" s="73" t="s">
        <v>268</v>
      </c>
      <c r="B15" s="39">
        <v>86538</v>
      </c>
      <c r="C15" s="39">
        <v>104712</v>
      </c>
      <c r="D15" s="69">
        <f t="shared" si="0"/>
        <v>121.00117867295292</v>
      </c>
      <c r="E15" s="56"/>
      <c r="F15" s="16"/>
      <c r="G15" s="16"/>
      <c r="H15" s="16"/>
      <c r="I15" s="16"/>
      <c r="J15" s="49"/>
      <c r="K15" s="49"/>
      <c r="L15" s="49"/>
      <c r="M15" s="49"/>
      <c r="N15" s="48"/>
    </row>
    <row r="16" spans="1:14" s="5" customFormat="1" ht="34.5" customHeight="1">
      <c r="A16" s="74" t="s">
        <v>130</v>
      </c>
      <c r="B16" s="39">
        <v>19290</v>
      </c>
      <c r="C16" s="39">
        <v>15764</v>
      </c>
      <c r="D16" s="69">
        <f t="shared" si="0"/>
        <v>81.7210990150337</v>
      </c>
      <c r="E16" s="56"/>
      <c r="F16" s="16"/>
      <c r="G16" s="16"/>
      <c r="H16" s="16"/>
      <c r="I16" s="16"/>
      <c r="J16" s="49"/>
      <c r="K16" s="49"/>
      <c r="L16" s="49"/>
      <c r="M16" s="49"/>
      <c r="N16" s="48"/>
    </row>
    <row r="17" spans="1:14" s="5" customFormat="1" ht="25.5" customHeight="1">
      <c r="A17" s="75" t="s">
        <v>263</v>
      </c>
      <c r="B17" s="39">
        <v>0</v>
      </c>
      <c r="C17" s="39">
        <v>9.5</v>
      </c>
      <c r="D17" s="69"/>
      <c r="E17" s="56"/>
      <c r="F17" s="16"/>
      <c r="G17" s="16"/>
      <c r="H17" s="16"/>
      <c r="I17" s="16"/>
      <c r="J17" s="49"/>
      <c r="K17" s="49"/>
      <c r="L17" s="49"/>
      <c r="M17" s="49"/>
      <c r="N17" s="48"/>
    </row>
    <row r="18" spans="1:14" s="5" customFormat="1" ht="42" customHeight="1">
      <c r="A18" s="75" t="s">
        <v>264</v>
      </c>
      <c r="B18" s="39">
        <v>9150</v>
      </c>
      <c r="C18" s="39">
        <v>7140</v>
      </c>
      <c r="D18" s="69">
        <f aca="true" t="shared" si="3" ref="D18:D24">C18*100/B18</f>
        <v>78.0327868852459</v>
      </c>
      <c r="E18" s="56"/>
      <c r="F18" s="16"/>
      <c r="G18" s="16"/>
      <c r="H18" s="16"/>
      <c r="I18" s="16"/>
      <c r="J18" s="50"/>
      <c r="K18" s="49"/>
      <c r="L18" s="49"/>
      <c r="M18" s="49"/>
      <c r="N18" s="48"/>
    </row>
    <row r="19" spans="1:14" s="5" customFormat="1" ht="18" customHeight="1">
      <c r="A19" s="72" t="s">
        <v>131</v>
      </c>
      <c r="B19" s="16">
        <f>B20+B21</f>
        <v>182505</v>
      </c>
      <c r="C19" s="16">
        <f>C20+C21</f>
        <v>181920</v>
      </c>
      <c r="D19" s="67">
        <f t="shared" si="3"/>
        <v>99.6794608366894</v>
      </c>
      <c r="E19" s="54" t="e">
        <f>SUM(E20:E21,#REF!)</f>
        <v>#REF!</v>
      </c>
      <c r="F19" s="16" t="e">
        <f aca="true" t="shared" si="4" ref="F19:F25">E19-B19</f>
        <v>#REF!</v>
      </c>
      <c r="G19" s="16" t="e">
        <f aca="true" t="shared" si="5" ref="G19:G25">E19*100/B19</f>
        <v>#REF!</v>
      </c>
      <c r="H19" s="16" t="e">
        <f t="shared" si="1"/>
        <v>#REF!</v>
      </c>
      <c r="I19" s="16" t="e">
        <f t="shared" si="2"/>
        <v>#REF!</v>
      </c>
      <c r="J19" s="49"/>
      <c r="K19" s="49"/>
      <c r="L19" s="49"/>
      <c r="M19" s="49"/>
      <c r="N19" s="48"/>
    </row>
    <row r="20" spans="1:12" ht="57" customHeight="1">
      <c r="A20" s="75" t="s">
        <v>271</v>
      </c>
      <c r="B20" s="41">
        <v>22788</v>
      </c>
      <c r="C20" s="41">
        <v>22203</v>
      </c>
      <c r="D20" s="69">
        <f t="shared" si="3"/>
        <v>97.43285939968405</v>
      </c>
      <c r="E20" s="55">
        <v>350</v>
      </c>
      <c r="F20" s="16">
        <f t="shared" si="4"/>
        <v>-22438</v>
      </c>
      <c r="G20" s="7">
        <f t="shared" si="5"/>
        <v>1.5358960856591188</v>
      </c>
      <c r="H20" s="7">
        <f t="shared" si="1"/>
        <v>-21853</v>
      </c>
      <c r="I20" s="7">
        <f t="shared" si="2"/>
        <v>1.5763635544746206</v>
      </c>
      <c r="L20" s="49"/>
    </row>
    <row r="21" spans="1:12" ht="30" customHeight="1">
      <c r="A21" s="74" t="s">
        <v>132</v>
      </c>
      <c r="B21" s="41">
        <v>159717</v>
      </c>
      <c r="C21" s="41">
        <v>159717</v>
      </c>
      <c r="D21" s="69">
        <f t="shared" si="3"/>
        <v>100</v>
      </c>
      <c r="E21" s="55">
        <v>118746.2</v>
      </c>
      <c r="F21" s="16">
        <f t="shared" si="4"/>
        <v>-40970.8</v>
      </c>
      <c r="G21" s="7">
        <f t="shared" si="5"/>
        <v>74.34787780887444</v>
      </c>
      <c r="H21" s="7">
        <f t="shared" si="1"/>
        <v>-40970.8</v>
      </c>
      <c r="I21" s="7">
        <f t="shared" si="2"/>
        <v>74.34787780887444</v>
      </c>
      <c r="L21" s="49"/>
    </row>
    <row r="22" spans="1:14" s="5" customFormat="1" ht="19.5" customHeight="1">
      <c r="A22" s="72" t="s">
        <v>133</v>
      </c>
      <c r="B22" s="29">
        <f>B23+B24</f>
        <v>5818</v>
      </c>
      <c r="C22" s="29">
        <f>C23+C24</f>
        <v>7425</v>
      </c>
      <c r="D22" s="67">
        <f t="shared" si="3"/>
        <v>127.62117566173943</v>
      </c>
      <c r="E22" s="56">
        <f>SUM(E23:E24)</f>
        <v>2240</v>
      </c>
      <c r="F22" s="16">
        <f t="shared" si="4"/>
        <v>-3578</v>
      </c>
      <c r="G22" s="17">
        <f t="shared" si="5"/>
        <v>38.501203162598834</v>
      </c>
      <c r="H22" s="16">
        <f t="shared" si="1"/>
        <v>-5185</v>
      </c>
      <c r="I22" s="17">
        <f t="shared" si="2"/>
        <v>30.16835016835017</v>
      </c>
      <c r="J22" s="49"/>
      <c r="K22" s="49"/>
      <c r="L22" s="49"/>
      <c r="M22" s="49"/>
      <c r="N22" s="48"/>
    </row>
    <row r="23" spans="1:12" ht="45.75" customHeight="1">
      <c r="A23" s="74" t="s">
        <v>269</v>
      </c>
      <c r="B23" s="41">
        <v>5668</v>
      </c>
      <c r="C23" s="41">
        <v>7400</v>
      </c>
      <c r="D23" s="69">
        <f t="shared" si="3"/>
        <v>130.55751587861678</v>
      </c>
      <c r="E23" s="55">
        <v>2000</v>
      </c>
      <c r="F23" s="16">
        <f t="shared" si="4"/>
        <v>-3668</v>
      </c>
      <c r="G23" s="7">
        <f t="shared" si="5"/>
        <v>35.28581510232886</v>
      </c>
      <c r="H23" s="7">
        <f>E23-C23</f>
        <v>-5400</v>
      </c>
      <c r="I23" s="7">
        <f>E23*100/C23</f>
        <v>27.027027027027028</v>
      </c>
      <c r="L23" s="49"/>
    </row>
    <row r="24" spans="1:12" ht="39.75" customHeight="1">
      <c r="A24" s="74" t="s">
        <v>254</v>
      </c>
      <c r="B24" s="41">
        <v>150</v>
      </c>
      <c r="C24" s="41">
        <v>25</v>
      </c>
      <c r="D24" s="69">
        <f t="shared" si="3"/>
        <v>16.666666666666668</v>
      </c>
      <c r="E24" s="55">
        <v>240</v>
      </c>
      <c r="F24" s="16">
        <f t="shared" si="4"/>
        <v>90</v>
      </c>
      <c r="G24" s="7">
        <f t="shared" si="5"/>
        <v>160</v>
      </c>
      <c r="H24" s="7">
        <f>E24-C24</f>
        <v>215</v>
      </c>
      <c r="I24" s="7">
        <f>E24*100/C24</f>
        <v>960</v>
      </c>
      <c r="L24" s="49"/>
    </row>
    <row r="25" spans="1:14" s="5" customFormat="1" ht="33" customHeight="1">
      <c r="A25" s="72" t="s">
        <v>238</v>
      </c>
      <c r="B25" s="29">
        <v>0</v>
      </c>
      <c r="C25" s="29">
        <v>0.2</v>
      </c>
      <c r="D25" s="71">
        <v>0</v>
      </c>
      <c r="E25" s="56" t="e">
        <f>SUM(#REF!)</f>
        <v>#REF!</v>
      </c>
      <c r="F25" s="16" t="e">
        <f t="shared" si="4"/>
        <v>#REF!</v>
      </c>
      <c r="G25" s="16" t="e">
        <f t="shared" si="5"/>
        <v>#REF!</v>
      </c>
      <c r="H25" s="16" t="e">
        <f t="shared" si="1"/>
        <v>#REF!</v>
      </c>
      <c r="I25" s="16" t="e">
        <f t="shared" si="2"/>
        <v>#REF!</v>
      </c>
      <c r="J25" s="49"/>
      <c r="K25" s="49"/>
      <c r="L25" s="49"/>
      <c r="M25" s="49"/>
      <c r="N25" s="48"/>
    </row>
    <row r="26" spans="1:14" s="5" customFormat="1" ht="21" customHeight="1">
      <c r="A26" s="72" t="s">
        <v>277</v>
      </c>
      <c r="B26" s="29">
        <f>B27+B42+B48+B54+B65+B76</f>
        <v>349994.5</v>
      </c>
      <c r="C26" s="29">
        <f>C27+C42+C48+C54+C65+C76</f>
        <v>191954.3</v>
      </c>
      <c r="D26" s="71">
        <f aca="true" t="shared" si="6" ref="D26:D54">C26*100/B26</f>
        <v>54.84494756346171</v>
      </c>
      <c r="E26" s="56"/>
      <c r="F26" s="16"/>
      <c r="G26" s="16"/>
      <c r="H26" s="16"/>
      <c r="I26" s="16"/>
      <c r="J26" s="49"/>
      <c r="K26" s="49"/>
      <c r="L26" s="49"/>
      <c r="M26" s="49"/>
      <c r="N26" s="48"/>
    </row>
    <row r="27" spans="1:14" s="5" customFormat="1" ht="32.25" customHeight="1">
      <c r="A27" s="72" t="s">
        <v>255</v>
      </c>
      <c r="B27" s="29">
        <f>B32+B33+B34+B38+B39+B41</f>
        <v>115002.5</v>
      </c>
      <c r="C27" s="29">
        <f>C32+C33+C34+C38+C39+C41+C40</f>
        <v>119742.8</v>
      </c>
      <c r="D27" s="67">
        <f t="shared" si="6"/>
        <v>104.12191039325232</v>
      </c>
      <c r="E27" s="56">
        <f>SUM(E32+E33+E34+E38+E41)</f>
        <v>155293.8</v>
      </c>
      <c r="F27" s="16">
        <f aca="true" t="shared" si="7" ref="F27:F38">E27-B27</f>
        <v>40291.29999999999</v>
      </c>
      <c r="G27" s="16">
        <f aca="true" t="shared" si="8" ref="G27:G38">E27*100/B27</f>
        <v>135.03515140975193</v>
      </c>
      <c r="H27" s="16">
        <f t="shared" si="1"/>
        <v>35550.999999999985</v>
      </c>
      <c r="I27" s="16">
        <f t="shared" si="2"/>
        <v>129.6894677592306</v>
      </c>
      <c r="J27" s="49"/>
      <c r="K27" s="49"/>
      <c r="L27" s="49"/>
      <c r="M27" s="49"/>
      <c r="N27" s="48"/>
    </row>
    <row r="28" spans="1:12" ht="52.5" hidden="1">
      <c r="A28" s="76" t="s">
        <v>124</v>
      </c>
      <c r="B28" s="27"/>
      <c r="C28" s="27"/>
      <c r="D28" s="67" t="e">
        <f t="shared" si="6"/>
        <v>#DIV/0!</v>
      </c>
      <c r="E28" s="55"/>
      <c r="F28" s="16">
        <f t="shared" si="7"/>
        <v>0</v>
      </c>
      <c r="G28" s="7" t="e">
        <f t="shared" si="8"/>
        <v>#DIV/0!</v>
      </c>
      <c r="H28" s="7">
        <f t="shared" si="1"/>
        <v>0</v>
      </c>
      <c r="I28" s="7" t="e">
        <f t="shared" si="2"/>
        <v>#DIV/0!</v>
      </c>
      <c r="L28" s="49"/>
    </row>
    <row r="29" spans="1:12" ht="12.75" hidden="1">
      <c r="A29" s="77" t="s">
        <v>134</v>
      </c>
      <c r="B29" s="27"/>
      <c r="C29" s="27"/>
      <c r="D29" s="67" t="e">
        <f t="shared" si="6"/>
        <v>#DIV/0!</v>
      </c>
      <c r="E29" s="55"/>
      <c r="F29" s="16">
        <f t="shared" si="7"/>
        <v>0</v>
      </c>
      <c r="G29" s="7" t="e">
        <f t="shared" si="8"/>
        <v>#DIV/0!</v>
      </c>
      <c r="H29" s="7">
        <f t="shared" si="1"/>
        <v>0</v>
      </c>
      <c r="I29" s="7" t="e">
        <f t="shared" si="2"/>
        <v>#DIV/0!</v>
      </c>
      <c r="L29" s="49"/>
    </row>
    <row r="30" spans="1:12" ht="12.75" hidden="1">
      <c r="A30" s="77" t="s">
        <v>135</v>
      </c>
      <c r="B30" s="27"/>
      <c r="C30" s="27"/>
      <c r="D30" s="67" t="e">
        <f t="shared" si="6"/>
        <v>#DIV/0!</v>
      </c>
      <c r="E30" s="55"/>
      <c r="F30" s="16">
        <f t="shared" si="7"/>
        <v>0</v>
      </c>
      <c r="G30" s="7" t="e">
        <f t="shared" si="8"/>
        <v>#DIV/0!</v>
      </c>
      <c r="H30" s="7">
        <f t="shared" si="1"/>
        <v>0</v>
      </c>
      <c r="I30" s="7" t="e">
        <f t="shared" si="2"/>
        <v>#DIV/0!</v>
      </c>
      <c r="L30" s="49"/>
    </row>
    <row r="31" spans="1:12" ht="88.5" customHeight="1" hidden="1">
      <c r="A31" s="76" t="s">
        <v>125</v>
      </c>
      <c r="B31" s="27"/>
      <c r="C31" s="27"/>
      <c r="D31" s="67" t="e">
        <f t="shared" si="6"/>
        <v>#DIV/0!</v>
      </c>
      <c r="E31" s="55"/>
      <c r="F31" s="16">
        <f t="shared" si="7"/>
        <v>0</v>
      </c>
      <c r="G31" s="7" t="e">
        <f t="shared" si="8"/>
        <v>#DIV/0!</v>
      </c>
      <c r="H31" s="7">
        <f t="shared" si="1"/>
        <v>0</v>
      </c>
      <c r="I31" s="7" t="e">
        <f t="shared" si="2"/>
        <v>#DIV/0!</v>
      </c>
      <c r="L31" s="49"/>
    </row>
    <row r="32" spans="1:13" ht="75.75" customHeight="1">
      <c r="A32" s="74" t="s">
        <v>126</v>
      </c>
      <c r="B32" s="41">
        <v>55311.8</v>
      </c>
      <c r="C32" s="41">
        <v>53694.7</v>
      </c>
      <c r="D32" s="69">
        <f t="shared" si="6"/>
        <v>97.07639237920299</v>
      </c>
      <c r="E32" s="55">
        <v>81000</v>
      </c>
      <c r="F32" s="16">
        <f t="shared" si="7"/>
        <v>25688.199999999997</v>
      </c>
      <c r="G32" s="7">
        <f t="shared" si="8"/>
        <v>146.44253125011298</v>
      </c>
      <c r="H32" s="7">
        <f aca="true" t="shared" si="9" ref="H32:H54">E32-C32</f>
        <v>27305.300000000003</v>
      </c>
      <c r="I32" s="7">
        <f aca="true" t="shared" si="10" ref="I32:I51">E32*100/C32</f>
        <v>150.85287747207826</v>
      </c>
      <c r="L32" s="49"/>
      <c r="M32" s="51"/>
    </row>
    <row r="33" spans="1:12" ht="87" customHeight="1">
      <c r="A33" s="68" t="s">
        <v>246</v>
      </c>
      <c r="B33" s="41">
        <v>18036</v>
      </c>
      <c r="C33" s="41">
        <v>18393</v>
      </c>
      <c r="D33" s="69">
        <f t="shared" si="6"/>
        <v>101.979374584165</v>
      </c>
      <c r="E33" s="55">
        <v>7853.8</v>
      </c>
      <c r="F33" s="16">
        <f t="shared" si="7"/>
        <v>-10182.2</v>
      </c>
      <c r="G33" s="7">
        <f t="shared" si="8"/>
        <v>43.54513195830561</v>
      </c>
      <c r="H33" s="7">
        <f t="shared" si="9"/>
        <v>-10539.2</v>
      </c>
      <c r="I33" s="7">
        <f t="shared" si="10"/>
        <v>42.69994019463927</v>
      </c>
      <c r="L33" s="49"/>
    </row>
    <row r="34" spans="1:12" ht="75.75" customHeight="1">
      <c r="A34" s="68" t="s">
        <v>256</v>
      </c>
      <c r="B34" s="41">
        <v>28628.5</v>
      </c>
      <c r="C34" s="41">
        <v>34675.2</v>
      </c>
      <c r="D34" s="69">
        <f t="shared" si="6"/>
        <v>121.12126028258552</v>
      </c>
      <c r="E34" s="57">
        <v>59000</v>
      </c>
      <c r="F34" s="16">
        <f t="shared" si="7"/>
        <v>30371.5</v>
      </c>
      <c r="G34" s="7">
        <f t="shared" si="8"/>
        <v>206.08833854375885</v>
      </c>
      <c r="H34" s="7">
        <f t="shared" si="9"/>
        <v>24324.800000000003</v>
      </c>
      <c r="I34" s="7">
        <f t="shared" si="10"/>
        <v>170.15042451088965</v>
      </c>
      <c r="L34" s="49"/>
    </row>
    <row r="35" spans="1:12" ht="78" hidden="1">
      <c r="A35" s="74" t="s">
        <v>127</v>
      </c>
      <c r="B35" s="42"/>
      <c r="C35" s="42"/>
      <c r="D35" s="69" t="e">
        <f t="shared" si="6"/>
        <v>#DIV/0!</v>
      </c>
      <c r="E35" s="57"/>
      <c r="F35" s="16">
        <f t="shared" si="7"/>
        <v>0</v>
      </c>
      <c r="G35" s="7" t="e">
        <f t="shared" si="8"/>
        <v>#DIV/0!</v>
      </c>
      <c r="H35" s="7">
        <f t="shared" si="9"/>
        <v>0</v>
      </c>
      <c r="I35" s="7" t="e">
        <f t="shared" si="10"/>
        <v>#DIV/0!</v>
      </c>
      <c r="L35" s="49"/>
    </row>
    <row r="36" spans="1:12" ht="90" customHeight="1" hidden="1">
      <c r="A36" s="74" t="s">
        <v>239</v>
      </c>
      <c r="B36" s="41"/>
      <c r="C36" s="41"/>
      <c r="D36" s="69" t="e">
        <f t="shared" si="6"/>
        <v>#DIV/0!</v>
      </c>
      <c r="E36" s="55"/>
      <c r="F36" s="16">
        <f t="shared" si="7"/>
        <v>0</v>
      </c>
      <c r="G36" s="7" t="e">
        <f t="shared" si="8"/>
        <v>#DIV/0!</v>
      </c>
      <c r="H36" s="7">
        <f t="shared" si="9"/>
        <v>0</v>
      </c>
      <c r="I36" s="7" t="e">
        <f t="shared" si="10"/>
        <v>#DIV/0!</v>
      </c>
      <c r="L36" s="49"/>
    </row>
    <row r="37" spans="1:12" ht="30.75" hidden="1">
      <c r="A37" s="74" t="s">
        <v>136</v>
      </c>
      <c r="B37" s="41"/>
      <c r="C37" s="41"/>
      <c r="D37" s="69" t="e">
        <f t="shared" si="6"/>
        <v>#DIV/0!</v>
      </c>
      <c r="E37" s="55"/>
      <c r="F37" s="16">
        <f t="shared" si="7"/>
        <v>0</v>
      </c>
      <c r="G37" s="7" t="e">
        <f t="shared" si="8"/>
        <v>#DIV/0!</v>
      </c>
      <c r="H37" s="7">
        <f t="shared" si="9"/>
        <v>0</v>
      </c>
      <c r="I37" s="7" t="e">
        <f t="shared" si="10"/>
        <v>#DIV/0!</v>
      </c>
      <c r="L37" s="49"/>
    </row>
    <row r="38" spans="1:12" ht="63.75" customHeight="1">
      <c r="A38" s="74" t="s">
        <v>257</v>
      </c>
      <c r="B38" s="41">
        <v>11430</v>
      </c>
      <c r="C38" s="41">
        <v>11430</v>
      </c>
      <c r="D38" s="69">
        <f t="shared" si="6"/>
        <v>100</v>
      </c>
      <c r="E38" s="55">
        <v>2240</v>
      </c>
      <c r="F38" s="16">
        <f t="shared" si="7"/>
        <v>-9190</v>
      </c>
      <c r="G38" s="7">
        <f t="shared" si="8"/>
        <v>19.597550306211723</v>
      </c>
      <c r="H38" s="7">
        <f t="shared" si="9"/>
        <v>-9190</v>
      </c>
      <c r="I38" s="7">
        <f t="shared" si="10"/>
        <v>19.597550306211723</v>
      </c>
      <c r="L38" s="49"/>
    </row>
    <row r="39" spans="1:12" ht="46.5">
      <c r="A39" s="74" t="s">
        <v>266</v>
      </c>
      <c r="B39" s="41">
        <v>1096.2</v>
      </c>
      <c r="C39" s="41">
        <v>1177.8</v>
      </c>
      <c r="D39" s="69">
        <f t="shared" si="6"/>
        <v>107.4438970990695</v>
      </c>
      <c r="E39" s="55"/>
      <c r="F39" s="16"/>
      <c r="G39" s="7"/>
      <c r="H39" s="7"/>
      <c r="I39" s="7"/>
      <c r="L39" s="49"/>
    </row>
    <row r="40" spans="1:14" ht="62.25">
      <c r="A40" s="74" t="s">
        <v>280</v>
      </c>
      <c r="B40" s="41">
        <v>0</v>
      </c>
      <c r="C40" s="41">
        <v>100.1</v>
      </c>
      <c r="D40" s="69">
        <v>0</v>
      </c>
      <c r="E40" s="55"/>
      <c r="F40" s="16"/>
      <c r="G40" s="7"/>
      <c r="H40" s="7"/>
      <c r="I40" s="7"/>
      <c r="J40" s="83"/>
      <c r="K40" s="83"/>
      <c r="L40" s="49"/>
      <c r="M40" s="83"/>
      <c r="N40" s="83"/>
    </row>
    <row r="41" spans="1:12" ht="41.25" customHeight="1">
      <c r="A41" s="74" t="s">
        <v>128</v>
      </c>
      <c r="B41" s="41">
        <v>500</v>
      </c>
      <c r="C41" s="41">
        <v>272</v>
      </c>
      <c r="D41" s="69">
        <f t="shared" si="6"/>
        <v>54.4</v>
      </c>
      <c r="E41" s="55">
        <v>5200</v>
      </c>
      <c r="F41" s="16">
        <f aca="true" t="shared" si="11" ref="F41:F86">E41-B41</f>
        <v>4700</v>
      </c>
      <c r="G41" s="7">
        <f>E41*100/B41</f>
        <v>1040</v>
      </c>
      <c r="H41" s="7">
        <f t="shared" si="9"/>
        <v>4928</v>
      </c>
      <c r="I41" s="7">
        <f t="shared" si="10"/>
        <v>1911.764705882353</v>
      </c>
      <c r="L41" s="49"/>
    </row>
    <row r="42" spans="1:14" s="5" customFormat="1" ht="26.25" customHeight="1">
      <c r="A42" s="72" t="s">
        <v>137</v>
      </c>
      <c r="B42" s="29">
        <f>B43</f>
        <v>5000</v>
      </c>
      <c r="C42" s="29">
        <f>C43</f>
        <v>4000</v>
      </c>
      <c r="D42" s="67">
        <f t="shared" si="6"/>
        <v>80</v>
      </c>
      <c r="E42" s="56">
        <f>SUM(E43,E45)</f>
        <v>1116</v>
      </c>
      <c r="F42" s="16">
        <f t="shared" si="11"/>
        <v>-3884</v>
      </c>
      <c r="G42" s="16">
        <f>E42*100/B42</f>
        <v>22.32</v>
      </c>
      <c r="H42" s="16">
        <f t="shared" si="9"/>
        <v>-2884</v>
      </c>
      <c r="I42" s="16">
        <f t="shared" si="10"/>
        <v>27.9</v>
      </c>
      <c r="J42" s="49"/>
      <c r="K42" s="49"/>
      <c r="L42" s="49"/>
      <c r="M42" s="49"/>
      <c r="N42" s="48"/>
    </row>
    <row r="43" spans="1:12" ht="21.75" customHeight="1">
      <c r="A43" s="74" t="s">
        <v>103</v>
      </c>
      <c r="B43" s="41">
        <v>5000</v>
      </c>
      <c r="C43" s="41">
        <v>4000</v>
      </c>
      <c r="D43" s="69">
        <f t="shared" si="6"/>
        <v>80</v>
      </c>
      <c r="E43" s="55">
        <v>1116</v>
      </c>
      <c r="F43" s="16">
        <f t="shared" si="11"/>
        <v>-3884</v>
      </c>
      <c r="G43" s="7">
        <f>E43*100/B43</f>
        <v>22.32</v>
      </c>
      <c r="H43" s="7">
        <f t="shared" si="9"/>
        <v>-2884</v>
      </c>
      <c r="I43" s="7">
        <f t="shared" si="10"/>
        <v>27.9</v>
      </c>
      <c r="L43" s="49"/>
    </row>
    <row r="44" spans="1:12" ht="12.75" hidden="1">
      <c r="A44" s="76" t="s">
        <v>113</v>
      </c>
      <c r="B44" s="27"/>
      <c r="C44" s="27"/>
      <c r="D44" s="67" t="e">
        <f t="shared" si="6"/>
        <v>#DIV/0!</v>
      </c>
      <c r="E44" s="55"/>
      <c r="F44" s="16">
        <f t="shared" si="11"/>
        <v>0</v>
      </c>
      <c r="G44" s="7"/>
      <c r="H44" s="7"/>
      <c r="I44" s="7"/>
      <c r="L44" s="49"/>
    </row>
    <row r="45" spans="1:12" ht="12.75" hidden="1">
      <c r="A45" s="76" t="s">
        <v>104</v>
      </c>
      <c r="B45" s="27"/>
      <c r="C45" s="27"/>
      <c r="D45" s="67" t="e">
        <f t="shared" si="6"/>
        <v>#DIV/0!</v>
      </c>
      <c r="E45" s="55"/>
      <c r="F45" s="16">
        <f t="shared" si="11"/>
        <v>0</v>
      </c>
      <c r="G45" s="7"/>
      <c r="H45" s="7">
        <f t="shared" si="9"/>
        <v>0</v>
      </c>
      <c r="I45" s="7"/>
      <c r="L45" s="49"/>
    </row>
    <row r="46" spans="1:12" ht="26.25" hidden="1">
      <c r="A46" s="76" t="s">
        <v>105</v>
      </c>
      <c r="B46" s="27"/>
      <c r="C46" s="27"/>
      <c r="D46" s="67" t="e">
        <f t="shared" si="6"/>
        <v>#DIV/0!</v>
      </c>
      <c r="E46" s="55"/>
      <c r="F46" s="16">
        <f t="shared" si="11"/>
        <v>0</v>
      </c>
      <c r="G46" s="7"/>
      <c r="H46" s="7">
        <f t="shared" si="9"/>
        <v>0</v>
      </c>
      <c r="I46" s="7"/>
      <c r="L46" s="49"/>
    </row>
    <row r="47" spans="1:12" ht="26.25" hidden="1">
      <c r="A47" s="76" t="s">
        <v>106</v>
      </c>
      <c r="B47" s="27"/>
      <c r="C47" s="27"/>
      <c r="D47" s="67" t="e">
        <f t="shared" si="6"/>
        <v>#DIV/0!</v>
      </c>
      <c r="E47" s="55"/>
      <c r="F47" s="16">
        <f t="shared" si="11"/>
        <v>0</v>
      </c>
      <c r="G47" s="7"/>
      <c r="H47" s="7">
        <f t="shared" si="9"/>
        <v>0</v>
      </c>
      <c r="I47" s="7"/>
      <c r="L47" s="49"/>
    </row>
    <row r="48" spans="1:14" s="5" customFormat="1" ht="32.25" customHeight="1">
      <c r="A48" s="72" t="s">
        <v>138</v>
      </c>
      <c r="B48" s="29">
        <f>B50</f>
        <v>0</v>
      </c>
      <c r="C48" s="29">
        <f>C50</f>
        <v>165</v>
      </c>
      <c r="D48" s="67"/>
      <c r="E48" s="56">
        <f>E50+E49</f>
        <v>0</v>
      </c>
      <c r="F48" s="16">
        <f t="shared" si="11"/>
        <v>0</v>
      </c>
      <c r="G48" s="16" t="e">
        <f>E48*100/B48</f>
        <v>#DIV/0!</v>
      </c>
      <c r="H48" s="16">
        <f t="shared" si="9"/>
        <v>-165</v>
      </c>
      <c r="I48" s="16">
        <f t="shared" si="10"/>
        <v>0</v>
      </c>
      <c r="J48" s="49"/>
      <c r="K48" s="49"/>
      <c r="L48" s="49"/>
      <c r="M48" s="49"/>
      <c r="N48" s="48"/>
    </row>
    <row r="49" spans="1:12" ht="42" customHeight="1" hidden="1">
      <c r="A49" s="76" t="s">
        <v>25</v>
      </c>
      <c r="B49" s="27"/>
      <c r="C49" s="27"/>
      <c r="D49" s="67"/>
      <c r="E49" s="55"/>
      <c r="F49" s="16">
        <f t="shared" si="11"/>
        <v>0</v>
      </c>
      <c r="G49" s="7" t="e">
        <f>E49*100/B49</f>
        <v>#DIV/0!</v>
      </c>
      <c r="H49" s="7">
        <f t="shared" si="9"/>
        <v>0</v>
      </c>
      <c r="I49" s="7" t="e">
        <f t="shared" si="10"/>
        <v>#DIV/0!</v>
      </c>
      <c r="L49" s="49"/>
    </row>
    <row r="50" spans="1:12" ht="36" customHeight="1">
      <c r="A50" s="74" t="s">
        <v>139</v>
      </c>
      <c r="B50" s="41">
        <v>0</v>
      </c>
      <c r="C50" s="41">
        <v>165</v>
      </c>
      <c r="D50" s="69"/>
      <c r="E50" s="55"/>
      <c r="F50" s="16">
        <f t="shared" si="11"/>
        <v>0</v>
      </c>
      <c r="G50" s="7" t="e">
        <f>E50*100/B50</f>
        <v>#DIV/0!</v>
      </c>
      <c r="H50" s="7">
        <f t="shared" si="9"/>
        <v>-165</v>
      </c>
      <c r="I50" s="7">
        <f t="shared" si="10"/>
        <v>0</v>
      </c>
      <c r="L50" s="49"/>
    </row>
    <row r="51" spans="1:12" ht="46.5" hidden="1">
      <c r="A51" s="74" t="s">
        <v>107</v>
      </c>
      <c r="B51" s="41"/>
      <c r="C51" s="41"/>
      <c r="D51" s="69" t="e">
        <f t="shared" si="6"/>
        <v>#DIV/0!</v>
      </c>
      <c r="E51" s="55"/>
      <c r="F51" s="16">
        <f t="shared" si="11"/>
        <v>0</v>
      </c>
      <c r="G51" s="7" t="e">
        <f>E51*100/B51</f>
        <v>#DIV/0!</v>
      </c>
      <c r="H51" s="7">
        <f t="shared" si="9"/>
        <v>0</v>
      </c>
      <c r="I51" s="7" t="e">
        <f t="shared" si="10"/>
        <v>#DIV/0!</v>
      </c>
      <c r="L51" s="49"/>
    </row>
    <row r="52" spans="1:12" ht="30.75" hidden="1">
      <c r="A52" s="74" t="s">
        <v>63</v>
      </c>
      <c r="B52" s="41"/>
      <c r="C52" s="41"/>
      <c r="D52" s="69" t="e">
        <f t="shared" si="6"/>
        <v>#DIV/0!</v>
      </c>
      <c r="E52" s="55"/>
      <c r="F52" s="16">
        <f t="shared" si="11"/>
        <v>0</v>
      </c>
      <c r="G52" s="7"/>
      <c r="H52" s="7">
        <f t="shared" si="9"/>
        <v>0</v>
      </c>
      <c r="I52" s="7"/>
      <c r="L52" s="49"/>
    </row>
    <row r="53" spans="1:12" ht="15" hidden="1">
      <c r="A53" s="68" t="s">
        <v>145</v>
      </c>
      <c r="B53" s="41"/>
      <c r="C53" s="41"/>
      <c r="D53" s="69" t="e">
        <f t="shared" si="6"/>
        <v>#DIV/0!</v>
      </c>
      <c r="E53" s="55"/>
      <c r="F53" s="16">
        <f t="shared" si="11"/>
        <v>0</v>
      </c>
      <c r="G53" s="7" t="e">
        <f aca="true" t="shared" si="12" ref="G53:G63">E53*100/B53</f>
        <v>#DIV/0!</v>
      </c>
      <c r="H53" s="7">
        <f t="shared" si="9"/>
        <v>0</v>
      </c>
      <c r="I53" s="7" t="e">
        <f>E53*100/C53</f>
        <v>#DIV/0!</v>
      </c>
      <c r="L53" s="49"/>
    </row>
    <row r="54" spans="1:14" s="5" customFormat="1" ht="29.25" customHeight="1">
      <c r="A54" s="72" t="s">
        <v>140</v>
      </c>
      <c r="B54" s="29">
        <f>B55+B56+B57+B58</f>
        <v>23414.4</v>
      </c>
      <c r="C54" s="29">
        <f>C55+C56+C57+C58</f>
        <v>14330</v>
      </c>
      <c r="D54" s="67">
        <f t="shared" si="6"/>
        <v>61.201653683203496</v>
      </c>
      <c r="E54" s="56">
        <f>SUM(E55:E58)</f>
        <v>18500</v>
      </c>
      <c r="F54" s="16">
        <f t="shared" si="11"/>
        <v>-4914.4000000000015</v>
      </c>
      <c r="G54" s="16">
        <f t="shared" si="12"/>
        <v>79.01120677873445</v>
      </c>
      <c r="H54" s="16">
        <f t="shared" si="9"/>
        <v>4170</v>
      </c>
      <c r="I54" s="16">
        <f>E54*100/C54</f>
        <v>129.09979064898815</v>
      </c>
      <c r="J54" s="49"/>
      <c r="K54" s="49"/>
      <c r="L54" s="49"/>
      <c r="M54" s="49"/>
      <c r="N54" s="48"/>
    </row>
    <row r="55" spans="1:12" ht="24.75" customHeight="1" hidden="1">
      <c r="A55" s="74" t="s">
        <v>141</v>
      </c>
      <c r="B55" s="41">
        <v>0</v>
      </c>
      <c r="C55" s="41">
        <v>0</v>
      </c>
      <c r="D55" s="69"/>
      <c r="E55" s="55">
        <v>1500</v>
      </c>
      <c r="F55" s="16">
        <f t="shared" si="11"/>
        <v>1500</v>
      </c>
      <c r="G55" s="37" t="e">
        <f t="shared" si="12"/>
        <v>#DIV/0!</v>
      </c>
      <c r="H55" s="7">
        <f aca="true" t="shared" si="13" ref="H55:H63">E55-C55</f>
        <v>1500</v>
      </c>
      <c r="I55" s="37" t="e">
        <f>E55*100/C55</f>
        <v>#DIV/0!</v>
      </c>
      <c r="L55" s="49"/>
    </row>
    <row r="56" spans="1:12" ht="46.5">
      <c r="A56" s="68" t="s">
        <v>265</v>
      </c>
      <c r="B56" s="41">
        <v>22725.9</v>
      </c>
      <c r="C56" s="41">
        <v>12594.3</v>
      </c>
      <c r="D56" s="69">
        <f aca="true" t="shared" si="14" ref="D56:D86">C56*100/B56</f>
        <v>55.4182672633427</v>
      </c>
      <c r="E56" s="55">
        <v>12000</v>
      </c>
      <c r="F56" s="16">
        <f t="shared" si="11"/>
        <v>-10725.900000000001</v>
      </c>
      <c r="G56" s="7">
        <f t="shared" si="12"/>
        <v>52.80318931263448</v>
      </c>
      <c r="H56" s="7">
        <f t="shared" si="13"/>
        <v>-594.2999999999993</v>
      </c>
      <c r="I56" s="7">
        <f aca="true" t="shared" si="15" ref="I56:I63">E56*100/C56</f>
        <v>95.28119863747887</v>
      </c>
      <c r="L56" s="49"/>
    </row>
    <row r="57" spans="1:12" ht="30.75">
      <c r="A57" s="68" t="s">
        <v>12</v>
      </c>
      <c r="B57" s="41">
        <v>688.5</v>
      </c>
      <c r="C57" s="41">
        <v>1735.7</v>
      </c>
      <c r="D57" s="69">
        <f t="shared" si="14"/>
        <v>252.09876543209876</v>
      </c>
      <c r="E57" s="55">
        <v>5000</v>
      </c>
      <c r="F57" s="16">
        <f t="shared" si="11"/>
        <v>4311.5</v>
      </c>
      <c r="G57" s="7">
        <f t="shared" si="12"/>
        <v>726.2164124909223</v>
      </c>
      <c r="H57" s="7">
        <f t="shared" si="13"/>
        <v>3264.3</v>
      </c>
      <c r="I57" s="7">
        <f t="shared" si="15"/>
        <v>288.0682145532062</v>
      </c>
      <c r="L57" s="49"/>
    </row>
    <row r="58" spans="1:12" ht="68.25" customHeight="1">
      <c r="A58" s="68" t="s">
        <v>258</v>
      </c>
      <c r="B58" s="41">
        <v>0</v>
      </c>
      <c r="C58" s="41">
        <v>0</v>
      </c>
      <c r="D58" s="69"/>
      <c r="E58" s="55">
        <v>0</v>
      </c>
      <c r="F58" s="16">
        <f t="shared" si="11"/>
        <v>0</v>
      </c>
      <c r="G58" s="7" t="e">
        <f t="shared" si="12"/>
        <v>#DIV/0!</v>
      </c>
      <c r="H58" s="7">
        <f t="shared" si="13"/>
        <v>0</v>
      </c>
      <c r="I58" s="7" t="e">
        <f t="shared" si="15"/>
        <v>#DIV/0!</v>
      </c>
      <c r="L58" s="49"/>
    </row>
    <row r="59" spans="1:14" s="5" customFormat="1" ht="12.75" hidden="1">
      <c r="A59" s="72" t="s">
        <v>142</v>
      </c>
      <c r="B59" s="16"/>
      <c r="C59" s="16"/>
      <c r="D59" s="67" t="e">
        <f t="shared" si="14"/>
        <v>#DIV/0!</v>
      </c>
      <c r="E59" s="54">
        <f>E60</f>
        <v>0</v>
      </c>
      <c r="F59" s="16">
        <f t="shared" si="11"/>
        <v>0</v>
      </c>
      <c r="G59" s="16" t="e">
        <f t="shared" si="12"/>
        <v>#DIV/0!</v>
      </c>
      <c r="H59" s="16">
        <f t="shared" si="13"/>
        <v>0</v>
      </c>
      <c r="I59" s="16" t="e">
        <f t="shared" si="15"/>
        <v>#DIV/0!</v>
      </c>
      <c r="J59" s="49"/>
      <c r="K59" s="49"/>
      <c r="L59" s="49"/>
      <c r="M59" s="49"/>
      <c r="N59" s="48"/>
    </row>
    <row r="60" spans="1:12" ht="26.25" hidden="1">
      <c r="A60" s="76" t="s">
        <v>143</v>
      </c>
      <c r="B60" s="7"/>
      <c r="C60" s="7"/>
      <c r="D60" s="67" t="e">
        <f t="shared" si="14"/>
        <v>#DIV/0!</v>
      </c>
      <c r="E60" s="57">
        <f>E61+E64</f>
        <v>0</v>
      </c>
      <c r="F60" s="16">
        <f t="shared" si="11"/>
        <v>0</v>
      </c>
      <c r="G60" s="7" t="e">
        <f t="shared" si="12"/>
        <v>#DIV/0!</v>
      </c>
      <c r="H60" s="7">
        <f t="shared" si="13"/>
        <v>0</v>
      </c>
      <c r="I60" s="7" t="e">
        <f t="shared" si="15"/>
        <v>#DIV/0!</v>
      </c>
      <c r="L60" s="49"/>
    </row>
    <row r="61" spans="1:12" ht="26.25" hidden="1">
      <c r="A61" s="76" t="s">
        <v>144</v>
      </c>
      <c r="B61" s="27"/>
      <c r="C61" s="27"/>
      <c r="D61" s="67" t="e">
        <f t="shared" si="14"/>
        <v>#DIV/0!</v>
      </c>
      <c r="E61" s="55">
        <f>SUM(E62:E63)</f>
        <v>0</v>
      </c>
      <c r="F61" s="16">
        <f t="shared" si="11"/>
        <v>0</v>
      </c>
      <c r="G61" s="7" t="e">
        <f t="shared" si="12"/>
        <v>#DIV/0!</v>
      </c>
      <c r="H61" s="7">
        <f t="shared" si="13"/>
        <v>0</v>
      </c>
      <c r="I61" s="7" t="e">
        <f t="shared" si="15"/>
        <v>#DIV/0!</v>
      </c>
      <c r="L61" s="49"/>
    </row>
    <row r="62" spans="1:12" ht="12.75" hidden="1">
      <c r="A62" s="76" t="s">
        <v>240</v>
      </c>
      <c r="B62" s="27"/>
      <c r="C62" s="27"/>
      <c r="D62" s="67" t="e">
        <f t="shared" si="14"/>
        <v>#DIV/0!</v>
      </c>
      <c r="E62" s="55">
        <v>0</v>
      </c>
      <c r="F62" s="16">
        <f t="shared" si="11"/>
        <v>0</v>
      </c>
      <c r="G62" s="7" t="e">
        <f t="shared" si="12"/>
        <v>#DIV/0!</v>
      </c>
      <c r="H62" s="7">
        <f t="shared" si="13"/>
        <v>0</v>
      </c>
      <c r="I62" s="7" t="e">
        <f t="shared" si="15"/>
        <v>#DIV/0!</v>
      </c>
      <c r="L62" s="49"/>
    </row>
    <row r="63" spans="1:12" ht="12.75" hidden="1">
      <c r="A63" s="77" t="s">
        <v>146</v>
      </c>
      <c r="B63" s="27"/>
      <c r="C63" s="27"/>
      <c r="D63" s="67" t="e">
        <f t="shared" si="14"/>
        <v>#DIV/0!</v>
      </c>
      <c r="E63" s="55">
        <v>0</v>
      </c>
      <c r="F63" s="16">
        <f t="shared" si="11"/>
        <v>0</v>
      </c>
      <c r="G63" s="7" t="e">
        <f t="shared" si="12"/>
        <v>#DIV/0!</v>
      </c>
      <c r="H63" s="7">
        <f t="shared" si="13"/>
        <v>0</v>
      </c>
      <c r="I63" s="7" t="e">
        <f t="shared" si="15"/>
        <v>#DIV/0!</v>
      </c>
      <c r="L63" s="49"/>
    </row>
    <row r="64" spans="1:12" ht="28.5" customHeight="1" hidden="1">
      <c r="A64" s="77" t="s">
        <v>147</v>
      </c>
      <c r="B64" s="27"/>
      <c r="C64" s="27"/>
      <c r="D64" s="67" t="e">
        <f t="shared" si="14"/>
        <v>#DIV/0!</v>
      </c>
      <c r="E64" s="55"/>
      <c r="F64" s="16">
        <f t="shared" si="11"/>
        <v>0</v>
      </c>
      <c r="G64" s="7"/>
      <c r="H64" s="7"/>
      <c r="I64" s="7"/>
      <c r="L64" s="49"/>
    </row>
    <row r="65" spans="1:14" s="5" customFormat="1" ht="27.75" customHeight="1">
      <c r="A65" s="72" t="s">
        <v>148</v>
      </c>
      <c r="B65" s="29">
        <v>2516.5</v>
      </c>
      <c r="C65" s="29">
        <v>2516.5</v>
      </c>
      <c r="D65" s="67">
        <f t="shared" si="14"/>
        <v>100</v>
      </c>
      <c r="E65" s="56">
        <v>1000</v>
      </c>
      <c r="F65" s="16">
        <f t="shared" si="11"/>
        <v>-1516.5</v>
      </c>
      <c r="G65" s="16">
        <f>E65*100/B65</f>
        <v>39.7377309755613</v>
      </c>
      <c r="H65" s="16">
        <f aca="true" t="shared" si="16" ref="H65:H81">E65-C65</f>
        <v>-1516.5</v>
      </c>
      <c r="I65" s="16">
        <f aca="true" t="shared" si="17" ref="I65:I73">E65*100/C65</f>
        <v>39.7377309755613</v>
      </c>
      <c r="J65" s="49"/>
      <c r="K65" s="49"/>
      <c r="L65" s="49"/>
      <c r="M65" s="49"/>
      <c r="N65" s="48"/>
    </row>
    <row r="66" spans="1:12" ht="25.5" customHeight="1" hidden="1">
      <c r="A66" s="76" t="s">
        <v>64</v>
      </c>
      <c r="B66" s="27"/>
      <c r="C66" s="27"/>
      <c r="D66" s="67" t="e">
        <f t="shared" si="14"/>
        <v>#DIV/0!</v>
      </c>
      <c r="E66" s="55"/>
      <c r="F66" s="16">
        <f t="shared" si="11"/>
        <v>0</v>
      </c>
      <c r="G66" s="7"/>
      <c r="H66" s="7">
        <f t="shared" si="16"/>
        <v>0</v>
      </c>
      <c r="I66" s="7" t="e">
        <f t="shared" si="17"/>
        <v>#DIV/0!</v>
      </c>
      <c r="L66" s="49"/>
    </row>
    <row r="67" spans="1:12" ht="26.25" hidden="1">
      <c r="A67" s="76" t="s">
        <v>65</v>
      </c>
      <c r="B67" s="27"/>
      <c r="C67" s="27"/>
      <c r="D67" s="67" t="e">
        <f t="shared" si="14"/>
        <v>#DIV/0!</v>
      </c>
      <c r="E67" s="55"/>
      <c r="F67" s="16">
        <f t="shared" si="11"/>
        <v>0</v>
      </c>
      <c r="G67" s="7"/>
      <c r="H67" s="7">
        <f t="shared" si="16"/>
        <v>0</v>
      </c>
      <c r="I67" s="7" t="e">
        <f t="shared" si="17"/>
        <v>#DIV/0!</v>
      </c>
      <c r="L67" s="49"/>
    </row>
    <row r="68" spans="1:12" ht="39" hidden="1">
      <c r="A68" s="76" t="s">
        <v>66</v>
      </c>
      <c r="B68" s="27"/>
      <c r="C68" s="27"/>
      <c r="D68" s="67" t="e">
        <f t="shared" si="14"/>
        <v>#DIV/0!</v>
      </c>
      <c r="E68" s="55"/>
      <c r="F68" s="16">
        <f t="shared" si="11"/>
        <v>0</v>
      </c>
      <c r="G68" s="7"/>
      <c r="H68" s="7">
        <f t="shared" si="16"/>
        <v>0</v>
      </c>
      <c r="I68" s="7" t="e">
        <f t="shared" si="17"/>
        <v>#DIV/0!</v>
      </c>
      <c r="L68" s="49"/>
    </row>
    <row r="69" spans="1:12" ht="26.25" hidden="1">
      <c r="A69" s="76" t="s">
        <v>67</v>
      </c>
      <c r="B69" s="27"/>
      <c r="C69" s="27"/>
      <c r="D69" s="67" t="e">
        <f t="shared" si="14"/>
        <v>#DIV/0!</v>
      </c>
      <c r="E69" s="55"/>
      <c r="F69" s="16">
        <f t="shared" si="11"/>
        <v>0</v>
      </c>
      <c r="G69" s="7"/>
      <c r="H69" s="7">
        <f t="shared" si="16"/>
        <v>0</v>
      </c>
      <c r="I69" s="7" t="e">
        <f t="shared" si="17"/>
        <v>#DIV/0!</v>
      </c>
      <c r="L69" s="49"/>
    </row>
    <row r="70" spans="1:12" ht="26.25" hidden="1">
      <c r="A70" s="76" t="s">
        <v>149</v>
      </c>
      <c r="B70" s="27"/>
      <c r="C70" s="27"/>
      <c r="D70" s="67" t="e">
        <f t="shared" si="14"/>
        <v>#DIV/0!</v>
      </c>
      <c r="E70" s="55"/>
      <c r="F70" s="16">
        <f t="shared" si="11"/>
        <v>0</v>
      </c>
      <c r="G70" s="7" t="e">
        <f>E70*100/B70</f>
        <v>#DIV/0!</v>
      </c>
      <c r="H70" s="7">
        <f t="shared" si="16"/>
        <v>0</v>
      </c>
      <c r="I70" s="7" t="e">
        <f t="shared" si="17"/>
        <v>#DIV/0!</v>
      </c>
      <c r="L70" s="49"/>
    </row>
    <row r="71" spans="1:12" ht="26.25" hidden="1">
      <c r="A71" s="76" t="s">
        <v>150</v>
      </c>
      <c r="B71" s="27"/>
      <c r="C71" s="27"/>
      <c r="D71" s="67" t="e">
        <f t="shared" si="14"/>
        <v>#DIV/0!</v>
      </c>
      <c r="E71" s="55"/>
      <c r="F71" s="16">
        <f t="shared" si="11"/>
        <v>0</v>
      </c>
      <c r="G71" s="7" t="e">
        <f>E71*100/B71</f>
        <v>#DIV/0!</v>
      </c>
      <c r="H71" s="7">
        <f t="shared" si="16"/>
        <v>0</v>
      </c>
      <c r="I71" s="7" t="e">
        <f t="shared" si="17"/>
        <v>#DIV/0!</v>
      </c>
      <c r="L71" s="49"/>
    </row>
    <row r="72" spans="1:12" ht="12.75" hidden="1">
      <c r="A72" s="76" t="s">
        <v>151</v>
      </c>
      <c r="B72" s="27"/>
      <c r="C72" s="27"/>
      <c r="D72" s="67" t="e">
        <f t="shared" si="14"/>
        <v>#DIV/0!</v>
      </c>
      <c r="E72" s="55"/>
      <c r="F72" s="16">
        <f t="shared" si="11"/>
        <v>0</v>
      </c>
      <c r="G72" s="7" t="e">
        <f>E72*100/B72</f>
        <v>#DIV/0!</v>
      </c>
      <c r="H72" s="7">
        <f t="shared" si="16"/>
        <v>0</v>
      </c>
      <c r="I72" s="7" t="e">
        <f t="shared" si="17"/>
        <v>#DIV/0!</v>
      </c>
      <c r="L72" s="49"/>
    </row>
    <row r="73" spans="1:12" ht="26.25" hidden="1">
      <c r="A73" s="76" t="s">
        <v>245</v>
      </c>
      <c r="B73" s="27"/>
      <c r="C73" s="33"/>
      <c r="D73" s="67" t="e">
        <f t="shared" si="14"/>
        <v>#DIV/0!</v>
      </c>
      <c r="E73" s="55"/>
      <c r="F73" s="16">
        <f t="shared" si="11"/>
        <v>0</v>
      </c>
      <c r="G73" s="7"/>
      <c r="H73" s="7">
        <f t="shared" si="16"/>
        <v>0</v>
      </c>
      <c r="I73" s="7" t="e">
        <f t="shared" si="17"/>
        <v>#DIV/0!</v>
      </c>
      <c r="L73" s="49"/>
    </row>
    <row r="74" spans="1:12" ht="52.5" hidden="1">
      <c r="A74" s="76" t="s">
        <v>247</v>
      </c>
      <c r="B74" s="27"/>
      <c r="C74" s="33"/>
      <c r="D74" s="67" t="e">
        <f t="shared" si="14"/>
        <v>#DIV/0!</v>
      </c>
      <c r="E74" s="55"/>
      <c r="F74" s="16">
        <f t="shared" si="11"/>
        <v>0</v>
      </c>
      <c r="G74" s="7"/>
      <c r="H74" s="7">
        <f t="shared" si="16"/>
        <v>0</v>
      </c>
      <c r="I74" s="7"/>
      <c r="L74" s="49"/>
    </row>
    <row r="75" spans="1:12" ht="52.5" hidden="1">
      <c r="A75" s="76" t="s">
        <v>248</v>
      </c>
      <c r="B75" s="27"/>
      <c r="C75" s="33"/>
      <c r="D75" s="67" t="e">
        <f t="shared" si="14"/>
        <v>#DIV/0!</v>
      </c>
      <c r="E75" s="55"/>
      <c r="F75" s="16">
        <f t="shared" si="11"/>
        <v>0</v>
      </c>
      <c r="G75" s="7"/>
      <c r="H75" s="7">
        <f t="shared" si="16"/>
        <v>0</v>
      </c>
      <c r="I75" s="7"/>
      <c r="L75" s="49"/>
    </row>
    <row r="76" spans="1:14" s="5" customFormat="1" ht="24.75" customHeight="1">
      <c r="A76" s="72" t="s">
        <v>152</v>
      </c>
      <c r="B76" s="16">
        <v>204061.1</v>
      </c>
      <c r="C76" s="16">
        <v>51200</v>
      </c>
      <c r="D76" s="67">
        <f t="shared" si="14"/>
        <v>25.090524357655624</v>
      </c>
      <c r="E76" s="54" t="e">
        <f>SUM(#REF!,E81)</f>
        <v>#REF!</v>
      </c>
      <c r="F76" s="16" t="e">
        <f t="shared" si="11"/>
        <v>#REF!</v>
      </c>
      <c r="G76" s="16" t="e">
        <f>E76*100/B76</f>
        <v>#REF!</v>
      </c>
      <c r="H76" s="16" t="e">
        <f t="shared" si="16"/>
        <v>#REF!</v>
      </c>
      <c r="I76" s="16" t="e">
        <f>E76*100/C76</f>
        <v>#REF!</v>
      </c>
      <c r="J76" s="52"/>
      <c r="K76" s="49"/>
      <c r="L76" s="49"/>
      <c r="M76" s="49"/>
      <c r="N76" s="48"/>
    </row>
    <row r="77" spans="1:12" ht="12.75" hidden="1">
      <c r="A77" s="76" t="s">
        <v>153</v>
      </c>
      <c r="B77" s="27"/>
      <c r="C77" s="27"/>
      <c r="D77" s="67" t="e">
        <f t="shared" si="14"/>
        <v>#DIV/0!</v>
      </c>
      <c r="E77" s="55"/>
      <c r="F77" s="16">
        <f t="shared" si="11"/>
        <v>0</v>
      </c>
      <c r="G77" s="7" t="e">
        <f>E77*100/B77</f>
        <v>#DIV/0!</v>
      </c>
      <c r="H77" s="7">
        <f t="shared" si="16"/>
        <v>0</v>
      </c>
      <c r="I77" s="7" t="e">
        <f>E77*100/C77</f>
        <v>#DIV/0!</v>
      </c>
      <c r="L77" s="49"/>
    </row>
    <row r="78" spans="1:12" ht="12.75" hidden="1">
      <c r="A78" s="76" t="s">
        <v>259</v>
      </c>
      <c r="B78" s="27"/>
      <c r="C78" s="27"/>
      <c r="D78" s="67" t="e">
        <f t="shared" si="14"/>
        <v>#DIV/0!</v>
      </c>
      <c r="E78" s="55">
        <v>30200</v>
      </c>
      <c r="F78" s="16">
        <f t="shared" si="11"/>
        <v>30200</v>
      </c>
      <c r="G78" s="7" t="e">
        <f>E78*100/B78</f>
        <v>#DIV/0!</v>
      </c>
      <c r="H78" s="7">
        <f t="shared" si="16"/>
        <v>30200</v>
      </c>
      <c r="I78" s="7" t="e">
        <f>E78*100/C78</f>
        <v>#DIV/0!</v>
      </c>
      <c r="L78" s="49"/>
    </row>
    <row r="79" spans="1:12" ht="39" hidden="1">
      <c r="A79" s="76" t="s">
        <v>13</v>
      </c>
      <c r="B79" s="27"/>
      <c r="C79" s="27"/>
      <c r="D79" s="67" t="e">
        <f t="shared" si="14"/>
        <v>#DIV/0!</v>
      </c>
      <c r="E79" s="55"/>
      <c r="F79" s="16">
        <f t="shared" si="11"/>
        <v>0</v>
      </c>
      <c r="G79" s="7"/>
      <c r="H79" s="7">
        <f t="shared" si="16"/>
        <v>0</v>
      </c>
      <c r="I79" s="7"/>
      <c r="L79" s="49"/>
    </row>
    <row r="80" spans="1:12" ht="26.25" hidden="1">
      <c r="A80" s="76" t="s">
        <v>14</v>
      </c>
      <c r="B80" s="27"/>
      <c r="C80" s="27"/>
      <c r="D80" s="67" t="e">
        <f t="shared" si="14"/>
        <v>#DIV/0!</v>
      </c>
      <c r="E80" s="55"/>
      <c r="F80" s="16">
        <f t="shared" si="11"/>
        <v>0</v>
      </c>
      <c r="G80" s="7"/>
      <c r="H80" s="7">
        <f t="shared" si="16"/>
        <v>0</v>
      </c>
      <c r="I80" s="7"/>
      <c r="L80" s="49"/>
    </row>
    <row r="81" spans="1:12" ht="12.75" hidden="1">
      <c r="A81" s="77" t="s">
        <v>114</v>
      </c>
      <c r="B81" s="27"/>
      <c r="C81" s="27"/>
      <c r="D81" s="67" t="e">
        <f t="shared" si="14"/>
        <v>#DIV/0!</v>
      </c>
      <c r="E81" s="55"/>
      <c r="F81" s="16">
        <f t="shared" si="11"/>
        <v>0</v>
      </c>
      <c r="G81" s="7"/>
      <c r="H81" s="7">
        <f t="shared" si="16"/>
        <v>0</v>
      </c>
      <c r="I81" s="7"/>
      <c r="L81" s="49"/>
    </row>
    <row r="82" spans="1:14" s="5" customFormat="1" ht="22.5" hidden="1">
      <c r="A82" s="66" t="s">
        <v>241</v>
      </c>
      <c r="B82" s="29"/>
      <c r="C82" s="29"/>
      <c r="D82" s="67" t="e">
        <f t="shared" si="14"/>
        <v>#DIV/0!</v>
      </c>
      <c r="E82" s="56">
        <f>E83</f>
        <v>0</v>
      </c>
      <c r="F82" s="16">
        <f t="shared" si="11"/>
        <v>0</v>
      </c>
      <c r="G82" s="16"/>
      <c r="H82" s="16">
        <f>E82-C82</f>
        <v>0</v>
      </c>
      <c r="I82" s="16"/>
      <c r="J82" s="49"/>
      <c r="K82" s="49"/>
      <c r="L82" s="49"/>
      <c r="M82" s="49"/>
      <c r="N82" s="49"/>
    </row>
    <row r="83" spans="1:12" ht="26.25" hidden="1">
      <c r="A83" s="77" t="s">
        <v>242</v>
      </c>
      <c r="B83" s="27"/>
      <c r="C83" s="27"/>
      <c r="D83" s="67" t="e">
        <f t="shared" si="14"/>
        <v>#DIV/0!</v>
      </c>
      <c r="E83" s="55"/>
      <c r="F83" s="16">
        <f t="shared" si="11"/>
        <v>0</v>
      </c>
      <c r="G83" s="7"/>
      <c r="H83" s="7">
        <f>E83-C83</f>
        <v>0</v>
      </c>
      <c r="I83" s="7"/>
      <c r="L83" s="49"/>
    </row>
    <row r="84" spans="1:14" s="5" customFormat="1" ht="22.5" hidden="1">
      <c r="A84" s="66" t="s">
        <v>261</v>
      </c>
      <c r="B84" s="29"/>
      <c r="C84" s="29"/>
      <c r="D84" s="67" t="e">
        <f t="shared" si="14"/>
        <v>#DIV/0!</v>
      </c>
      <c r="E84" s="56">
        <f>E85</f>
        <v>0</v>
      </c>
      <c r="F84" s="16">
        <f t="shared" si="11"/>
        <v>0</v>
      </c>
      <c r="G84" s="16"/>
      <c r="H84" s="16">
        <f>E84-C84</f>
        <v>0</v>
      </c>
      <c r="I84" s="16"/>
      <c r="J84" s="49"/>
      <c r="K84" s="49"/>
      <c r="L84" s="49"/>
      <c r="M84" s="49"/>
      <c r="N84" s="49"/>
    </row>
    <row r="85" spans="1:12" ht="26.25" hidden="1">
      <c r="A85" s="77" t="s">
        <v>260</v>
      </c>
      <c r="B85" s="27"/>
      <c r="C85" s="27"/>
      <c r="D85" s="67" t="e">
        <f t="shared" si="14"/>
        <v>#DIV/0!</v>
      </c>
      <c r="E85" s="55">
        <v>0</v>
      </c>
      <c r="F85" s="16">
        <f t="shared" si="11"/>
        <v>0</v>
      </c>
      <c r="G85" s="7"/>
      <c r="H85" s="7">
        <f>E85-C85</f>
        <v>0</v>
      </c>
      <c r="I85" s="7"/>
      <c r="L85" s="49"/>
    </row>
    <row r="86" spans="1:12" ht="12.75" hidden="1">
      <c r="A86" s="77"/>
      <c r="B86" s="27"/>
      <c r="C86" s="27"/>
      <c r="D86" s="67" t="e">
        <f t="shared" si="14"/>
        <v>#DIV/0!</v>
      </c>
      <c r="E86" s="55"/>
      <c r="F86" s="16">
        <f t="shared" si="11"/>
        <v>0</v>
      </c>
      <c r="G86" s="7"/>
      <c r="H86" s="7"/>
      <c r="I86" s="7"/>
      <c r="L86" s="49"/>
    </row>
    <row r="87" spans="1:12" ht="23.25" customHeight="1" hidden="1">
      <c r="A87" s="78" t="s">
        <v>275</v>
      </c>
      <c r="B87" s="27"/>
      <c r="C87" s="27"/>
      <c r="D87" s="67"/>
      <c r="E87" s="55"/>
      <c r="F87" s="16"/>
      <c r="G87" s="7"/>
      <c r="H87" s="7"/>
      <c r="I87" s="7"/>
      <c r="L87" s="49"/>
    </row>
    <row r="88" spans="1:14" s="5" customFormat="1" ht="21" customHeight="1">
      <c r="A88" s="79" t="s">
        <v>154</v>
      </c>
      <c r="B88" s="29">
        <f>B89+B164</f>
        <v>926599.8999999999</v>
      </c>
      <c r="C88" s="29">
        <f>C89+C164</f>
        <v>923478.8999999999</v>
      </c>
      <c r="D88" s="67">
        <f aca="true" t="shared" si="18" ref="D88:D119">C88*100/B88</f>
        <v>99.6631771706429</v>
      </c>
      <c r="E88" s="56" t="e">
        <f>SUM(E89,E157,E161)</f>
        <v>#REF!</v>
      </c>
      <c r="F88" s="16" t="e">
        <f aca="true" t="shared" si="19" ref="F88:F119">E88-B88</f>
        <v>#REF!</v>
      </c>
      <c r="G88" s="16" t="e">
        <f aca="true" t="shared" si="20" ref="G88:G93">E88*100/B88</f>
        <v>#REF!</v>
      </c>
      <c r="H88" s="16" t="e">
        <f aca="true" t="shared" si="21" ref="H88:H125">E88-C88</f>
        <v>#REF!</v>
      </c>
      <c r="I88" s="16" t="e">
        <f aca="true" t="shared" si="22" ref="I88:I121">E88*100/C88</f>
        <v>#REF!</v>
      </c>
      <c r="J88" s="49"/>
      <c r="K88" s="49"/>
      <c r="L88" s="49"/>
      <c r="M88" s="49"/>
      <c r="N88" s="49"/>
    </row>
    <row r="89" spans="1:14" s="5" customFormat="1" ht="30" customHeight="1">
      <c r="A89" s="72" t="s">
        <v>68</v>
      </c>
      <c r="B89" s="29">
        <f>B90+B92+B120+B143</f>
        <v>926599.8999999999</v>
      </c>
      <c r="C89" s="29">
        <f>C90+C92+C120+C143</f>
        <v>926599.8999999999</v>
      </c>
      <c r="D89" s="67">
        <f t="shared" si="18"/>
        <v>100</v>
      </c>
      <c r="E89" s="56" t="e">
        <f>E90+E92+E120+E143+#REF!</f>
        <v>#REF!</v>
      </c>
      <c r="F89" s="16" t="e">
        <f t="shared" si="19"/>
        <v>#REF!</v>
      </c>
      <c r="G89" s="16" t="e">
        <f t="shared" si="20"/>
        <v>#REF!</v>
      </c>
      <c r="H89" s="16" t="e">
        <f t="shared" si="21"/>
        <v>#REF!</v>
      </c>
      <c r="I89" s="16" t="e">
        <f t="shared" si="22"/>
        <v>#REF!</v>
      </c>
      <c r="J89" s="49"/>
      <c r="K89" s="49"/>
      <c r="L89" s="49"/>
      <c r="M89" s="49"/>
      <c r="N89" s="49"/>
    </row>
    <row r="90" spans="1:14" s="5" customFormat="1" ht="23.25" customHeight="1">
      <c r="A90" s="80" t="s">
        <v>262</v>
      </c>
      <c r="B90" s="29">
        <v>241</v>
      </c>
      <c r="C90" s="29">
        <v>241</v>
      </c>
      <c r="D90" s="67">
        <f t="shared" si="18"/>
        <v>100</v>
      </c>
      <c r="E90" s="56">
        <f>SUM(E91:E91)</f>
        <v>0</v>
      </c>
      <c r="F90" s="16">
        <f t="shared" si="19"/>
        <v>-241</v>
      </c>
      <c r="G90" s="16">
        <f t="shared" si="20"/>
        <v>0</v>
      </c>
      <c r="H90" s="16">
        <f t="shared" si="21"/>
        <v>-241</v>
      </c>
      <c r="I90" s="16">
        <f t="shared" si="22"/>
        <v>0</v>
      </c>
      <c r="J90" s="49"/>
      <c r="K90" s="49"/>
      <c r="L90" s="49"/>
      <c r="M90" s="49"/>
      <c r="N90" s="49"/>
    </row>
    <row r="91" spans="1:12" ht="46.5" hidden="1">
      <c r="A91" s="81" t="s">
        <v>70</v>
      </c>
      <c r="B91" s="33"/>
      <c r="C91" s="33"/>
      <c r="D91" s="67" t="e">
        <f t="shared" si="18"/>
        <v>#DIV/0!</v>
      </c>
      <c r="E91" s="55"/>
      <c r="F91" s="16">
        <f t="shared" si="19"/>
        <v>0</v>
      </c>
      <c r="G91" s="7" t="e">
        <f t="shared" si="20"/>
        <v>#DIV/0!</v>
      </c>
      <c r="H91" s="7">
        <f t="shared" si="21"/>
        <v>0</v>
      </c>
      <c r="I91" s="7" t="e">
        <f t="shared" si="22"/>
        <v>#DIV/0!</v>
      </c>
      <c r="L91" s="49"/>
    </row>
    <row r="92" spans="1:14" s="5" customFormat="1" ht="33.75" customHeight="1">
      <c r="A92" s="80" t="s">
        <v>278</v>
      </c>
      <c r="B92" s="29">
        <v>147690.7</v>
      </c>
      <c r="C92" s="29">
        <v>147690.7</v>
      </c>
      <c r="D92" s="67">
        <f t="shared" si="18"/>
        <v>100</v>
      </c>
      <c r="E92" s="56">
        <v>140</v>
      </c>
      <c r="F92" s="16">
        <f t="shared" si="19"/>
        <v>-147550.7</v>
      </c>
      <c r="G92" s="16">
        <f t="shared" si="20"/>
        <v>0.09479269852468705</v>
      </c>
      <c r="H92" s="16">
        <f t="shared" si="21"/>
        <v>-147550.7</v>
      </c>
      <c r="I92" s="16">
        <f t="shared" si="22"/>
        <v>0.09479269852468705</v>
      </c>
      <c r="J92" s="49"/>
      <c r="K92" s="49"/>
      <c r="L92" s="49"/>
      <c r="M92" s="49"/>
      <c r="N92" s="49"/>
    </row>
    <row r="93" spans="1:12" ht="30.75" hidden="1">
      <c r="A93" s="81" t="s">
        <v>71</v>
      </c>
      <c r="B93" s="33"/>
      <c r="C93" s="33"/>
      <c r="D93" s="67" t="e">
        <f t="shared" si="18"/>
        <v>#DIV/0!</v>
      </c>
      <c r="E93" s="55"/>
      <c r="F93" s="16">
        <f t="shared" si="19"/>
        <v>0</v>
      </c>
      <c r="G93" s="7" t="e">
        <f t="shared" si="20"/>
        <v>#DIV/0!</v>
      </c>
      <c r="H93" s="7">
        <f t="shared" si="21"/>
        <v>0</v>
      </c>
      <c r="I93" s="7" t="e">
        <f t="shared" si="22"/>
        <v>#DIV/0!</v>
      </c>
      <c r="L93" s="49"/>
    </row>
    <row r="94" spans="1:12" ht="46.5" hidden="1">
      <c r="A94" s="74" t="s">
        <v>72</v>
      </c>
      <c r="B94" s="33"/>
      <c r="C94" s="33"/>
      <c r="D94" s="67" t="e">
        <f t="shared" si="18"/>
        <v>#DIV/0!</v>
      </c>
      <c r="E94" s="55"/>
      <c r="F94" s="16">
        <f t="shared" si="19"/>
        <v>0</v>
      </c>
      <c r="G94" s="7"/>
      <c r="H94" s="7">
        <f t="shared" si="21"/>
        <v>0</v>
      </c>
      <c r="I94" s="7"/>
      <c r="L94" s="49"/>
    </row>
    <row r="95" spans="1:12" ht="30.75" hidden="1">
      <c r="A95" s="74" t="s">
        <v>73</v>
      </c>
      <c r="B95" s="33"/>
      <c r="C95" s="33"/>
      <c r="D95" s="67" t="e">
        <f t="shared" si="18"/>
        <v>#DIV/0!</v>
      </c>
      <c r="E95" s="55"/>
      <c r="F95" s="16">
        <f t="shared" si="19"/>
        <v>0</v>
      </c>
      <c r="G95" s="7" t="e">
        <f>E95*100/B95</f>
        <v>#DIV/0!</v>
      </c>
      <c r="H95" s="7">
        <f t="shared" si="21"/>
        <v>0</v>
      </c>
      <c r="I95" s="7" t="e">
        <f t="shared" si="22"/>
        <v>#DIV/0!</v>
      </c>
      <c r="L95" s="49"/>
    </row>
    <row r="96" spans="1:12" ht="46.5" hidden="1">
      <c r="A96" s="81" t="s">
        <v>74</v>
      </c>
      <c r="B96" s="33"/>
      <c r="C96" s="33"/>
      <c r="D96" s="67" t="e">
        <f t="shared" si="18"/>
        <v>#DIV/0!</v>
      </c>
      <c r="E96" s="55"/>
      <c r="F96" s="16">
        <f t="shared" si="19"/>
        <v>0</v>
      </c>
      <c r="G96" s="7" t="e">
        <f>E96*100/B96</f>
        <v>#DIV/0!</v>
      </c>
      <c r="H96" s="7">
        <f t="shared" si="21"/>
        <v>0</v>
      </c>
      <c r="I96" s="7" t="e">
        <f t="shared" si="22"/>
        <v>#DIV/0!</v>
      </c>
      <c r="L96" s="49"/>
    </row>
    <row r="97" spans="1:12" ht="52.5" customHeight="1" hidden="1">
      <c r="A97" s="74" t="s">
        <v>75</v>
      </c>
      <c r="B97" s="33"/>
      <c r="C97" s="33"/>
      <c r="D97" s="67" t="e">
        <f t="shared" si="18"/>
        <v>#DIV/0!</v>
      </c>
      <c r="E97" s="55"/>
      <c r="F97" s="16">
        <f t="shared" si="19"/>
        <v>0</v>
      </c>
      <c r="G97" s="7"/>
      <c r="H97" s="7">
        <f t="shared" si="21"/>
        <v>0</v>
      </c>
      <c r="I97" s="7"/>
      <c r="L97" s="49"/>
    </row>
    <row r="98" spans="1:12" ht="62.25" hidden="1">
      <c r="A98" s="74" t="s">
        <v>76</v>
      </c>
      <c r="B98" s="33"/>
      <c r="C98" s="33"/>
      <c r="D98" s="67" t="e">
        <f t="shared" si="18"/>
        <v>#DIV/0!</v>
      </c>
      <c r="E98" s="55"/>
      <c r="F98" s="16">
        <f t="shared" si="19"/>
        <v>0</v>
      </c>
      <c r="G98" s="7" t="e">
        <f>E98*100/B98</f>
        <v>#DIV/0!</v>
      </c>
      <c r="H98" s="7">
        <f t="shared" si="21"/>
        <v>0</v>
      </c>
      <c r="I98" s="7" t="e">
        <f t="shared" si="22"/>
        <v>#DIV/0!</v>
      </c>
      <c r="L98" s="49"/>
    </row>
    <row r="99" spans="1:12" ht="30.75" hidden="1">
      <c r="A99" s="74" t="s">
        <v>77</v>
      </c>
      <c r="B99" s="33"/>
      <c r="C99" s="33"/>
      <c r="D99" s="67" t="e">
        <f t="shared" si="18"/>
        <v>#DIV/0!</v>
      </c>
      <c r="E99" s="55"/>
      <c r="F99" s="16">
        <f t="shared" si="19"/>
        <v>0</v>
      </c>
      <c r="G99" s="7"/>
      <c r="H99" s="7">
        <f t="shared" si="21"/>
        <v>0</v>
      </c>
      <c r="I99" s="7"/>
      <c r="L99" s="49"/>
    </row>
    <row r="100" spans="1:12" ht="62.25" hidden="1">
      <c r="A100" s="74" t="s">
        <v>31</v>
      </c>
      <c r="B100" s="33"/>
      <c r="C100" s="33"/>
      <c r="D100" s="67" t="e">
        <f t="shared" si="18"/>
        <v>#DIV/0!</v>
      </c>
      <c r="E100" s="55"/>
      <c r="F100" s="16">
        <f t="shared" si="19"/>
        <v>0</v>
      </c>
      <c r="G100" s="7" t="e">
        <f aca="true" t="shared" si="23" ref="G100:G106">E100*100/B100</f>
        <v>#DIV/0!</v>
      </c>
      <c r="H100" s="7">
        <f t="shared" si="21"/>
        <v>0</v>
      </c>
      <c r="I100" s="7" t="e">
        <f t="shared" si="22"/>
        <v>#DIV/0!</v>
      </c>
      <c r="L100" s="49"/>
    </row>
    <row r="101" spans="1:12" ht="46.5" hidden="1">
      <c r="A101" s="74" t="s">
        <v>59</v>
      </c>
      <c r="B101" s="33"/>
      <c r="C101" s="33"/>
      <c r="D101" s="67" t="e">
        <f t="shared" si="18"/>
        <v>#DIV/0!</v>
      </c>
      <c r="E101" s="55"/>
      <c r="F101" s="16">
        <f t="shared" si="19"/>
        <v>0</v>
      </c>
      <c r="G101" s="7" t="e">
        <f t="shared" si="23"/>
        <v>#DIV/0!</v>
      </c>
      <c r="H101" s="7">
        <f t="shared" si="21"/>
        <v>0</v>
      </c>
      <c r="I101" s="7" t="e">
        <f t="shared" si="22"/>
        <v>#DIV/0!</v>
      </c>
      <c r="L101" s="49"/>
    </row>
    <row r="102" spans="1:12" ht="78" hidden="1">
      <c r="A102" s="74" t="s">
        <v>78</v>
      </c>
      <c r="B102" s="33"/>
      <c r="C102" s="33"/>
      <c r="D102" s="67" t="e">
        <f t="shared" si="18"/>
        <v>#DIV/0!</v>
      </c>
      <c r="E102" s="55"/>
      <c r="F102" s="16">
        <f t="shared" si="19"/>
        <v>0</v>
      </c>
      <c r="G102" s="7" t="e">
        <f t="shared" si="23"/>
        <v>#DIV/0!</v>
      </c>
      <c r="H102" s="7">
        <f t="shared" si="21"/>
        <v>0</v>
      </c>
      <c r="I102" s="7" t="e">
        <f t="shared" si="22"/>
        <v>#DIV/0!</v>
      </c>
      <c r="L102" s="49"/>
    </row>
    <row r="103" spans="1:12" ht="30.75" hidden="1">
      <c r="A103" s="74" t="s">
        <v>79</v>
      </c>
      <c r="B103" s="33"/>
      <c r="C103" s="33"/>
      <c r="D103" s="67" t="e">
        <f t="shared" si="18"/>
        <v>#DIV/0!</v>
      </c>
      <c r="E103" s="55"/>
      <c r="F103" s="16">
        <f t="shared" si="19"/>
        <v>0</v>
      </c>
      <c r="G103" s="7" t="e">
        <f t="shared" si="23"/>
        <v>#DIV/0!</v>
      </c>
      <c r="H103" s="7">
        <f t="shared" si="21"/>
        <v>0</v>
      </c>
      <c r="I103" s="7" t="e">
        <f t="shared" si="22"/>
        <v>#DIV/0!</v>
      </c>
      <c r="L103" s="49"/>
    </row>
    <row r="104" spans="1:12" ht="62.25" hidden="1">
      <c r="A104" s="74" t="s">
        <v>60</v>
      </c>
      <c r="B104" s="33"/>
      <c r="C104" s="33"/>
      <c r="D104" s="67" t="e">
        <f t="shared" si="18"/>
        <v>#DIV/0!</v>
      </c>
      <c r="E104" s="55"/>
      <c r="F104" s="16">
        <f t="shared" si="19"/>
        <v>0</v>
      </c>
      <c r="G104" s="7" t="e">
        <f t="shared" si="23"/>
        <v>#DIV/0!</v>
      </c>
      <c r="H104" s="7">
        <f t="shared" si="21"/>
        <v>0</v>
      </c>
      <c r="I104" s="7" t="e">
        <f t="shared" si="22"/>
        <v>#DIV/0!</v>
      </c>
      <c r="L104" s="49"/>
    </row>
    <row r="105" spans="1:12" ht="46.5" hidden="1">
      <c r="A105" s="74" t="s">
        <v>61</v>
      </c>
      <c r="B105" s="33"/>
      <c r="C105" s="33"/>
      <c r="D105" s="67" t="e">
        <f t="shared" si="18"/>
        <v>#DIV/0!</v>
      </c>
      <c r="E105" s="55"/>
      <c r="F105" s="16">
        <f t="shared" si="19"/>
        <v>0</v>
      </c>
      <c r="G105" s="7" t="e">
        <f t="shared" si="23"/>
        <v>#DIV/0!</v>
      </c>
      <c r="H105" s="7">
        <f t="shared" si="21"/>
        <v>0</v>
      </c>
      <c r="I105" s="7" t="e">
        <f t="shared" si="22"/>
        <v>#DIV/0!</v>
      </c>
      <c r="L105" s="49"/>
    </row>
    <row r="106" spans="1:12" ht="46.5" hidden="1">
      <c r="A106" s="81" t="s">
        <v>80</v>
      </c>
      <c r="B106" s="33"/>
      <c r="C106" s="33"/>
      <c r="D106" s="67" t="e">
        <f t="shared" si="18"/>
        <v>#DIV/0!</v>
      </c>
      <c r="E106" s="55"/>
      <c r="F106" s="16">
        <f t="shared" si="19"/>
        <v>0</v>
      </c>
      <c r="G106" s="7" t="e">
        <f t="shared" si="23"/>
        <v>#DIV/0!</v>
      </c>
      <c r="H106" s="7">
        <f t="shared" si="21"/>
        <v>0</v>
      </c>
      <c r="I106" s="7" t="e">
        <f t="shared" si="22"/>
        <v>#DIV/0!</v>
      </c>
      <c r="L106" s="49"/>
    </row>
    <row r="107" spans="1:12" ht="62.25" hidden="1">
      <c r="A107" s="74" t="s">
        <v>81</v>
      </c>
      <c r="B107" s="33"/>
      <c r="C107" s="33"/>
      <c r="D107" s="67" t="e">
        <f t="shared" si="18"/>
        <v>#DIV/0!</v>
      </c>
      <c r="E107" s="55"/>
      <c r="F107" s="16">
        <f t="shared" si="19"/>
        <v>0</v>
      </c>
      <c r="G107" s="7"/>
      <c r="H107" s="7">
        <f t="shared" si="21"/>
        <v>0</v>
      </c>
      <c r="I107" s="7"/>
      <c r="L107" s="49"/>
    </row>
    <row r="108" spans="1:12" ht="78" hidden="1">
      <c r="A108" s="74" t="s">
        <v>82</v>
      </c>
      <c r="B108" s="33"/>
      <c r="C108" s="33"/>
      <c r="D108" s="67" t="e">
        <f t="shared" si="18"/>
        <v>#DIV/0!</v>
      </c>
      <c r="E108" s="55"/>
      <c r="F108" s="16">
        <f t="shared" si="19"/>
        <v>0</v>
      </c>
      <c r="G108" s="7"/>
      <c r="H108" s="7">
        <f t="shared" si="21"/>
        <v>0</v>
      </c>
      <c r="I108" s="7"/>
      <c r="L108" s="49"/>
    </row>
    <row r="109" spans="1:12" ht="30.75" hidden="1">
      <c r="A109" s="74" t="s">
        <v>62</v>
      </c>
      <c r="B109" s="33"/>
      <c r="C109" s="33"/>
      <c r="D109" s="67" t="e">
        <f t="shared" si="18"/>
        <v>#DIV/0!</v>
      </c>
      <c r="E109" s="55"/>
      <c r="F109" s="16">
        <f t="shared" si="19"/>
        <v>0</v>
      </c>
      <c r="G109" s="7" t="e">
        <f aca="true" t="shared" si="24" ref="G109:G117">E109*100/B109</f>
        <v>#DIV/0!</v>
      </c>
      <c r="H109" s="7">
        <f t="shared" si="21"/>
        <v>0</v>
      </c>
      <c r="I109" s="7" t="e">
        <f t="shared" si="22"/>
        <v>#DIV/0!</v>
      </c>
      <c r="L109" s="49"/>
    </row>
    <row r="110" spans="1:12" ht="30.75" hidden="1">
      <c r="A110" s="74" t="s">
        <v>83</v>
      </c>
      <c r="B110" s="33"/>
      <c r="C110" s="33"/>
      <c r="D110" s="67" t="e">
        <f t="shared" si="18"/>
        <v>#DIV/0!</v>
      </c>
      <c r="E110" s="55"/>
      <c r="F110" s="16">
        <f t="shared" si="19"/>
        <v>0</v>
      </c>
      <c r="G110" s="7" t="e">
        <f t="shared" si="24"/>
        <v>#DIV/0!</v>
      </c>
      <c r="H110" s="7">
        <f t="shared" si="21"/>
        <v>0</v>
      </c>
      <c r="I110" s="7" t="e">
        <f t="shared" si="22"/>
        <v>#DIV/0!</v>
      </c>
      <c r="L110" s="49"/>
    </row>
    <row r="111" spans="1:12" ht="46.5" hidden="1">
      <c r="A111" s="74" t="s">
        <v>84</v>
      </c>
      <c r="B111" s="33"/>
      <c r="C111" s="33"/>
      <c r="D111" s="67" t="e">
        <f t="shared" si="18"/>
        <v>#DIV/0!</v>
      </c>
      <c r="E111" s="55"/>
      <c r="F111" s="16">
        <f t="shared" si="19"/>
        <v>0</v>
      </c>
      <c r="G111" s="7" t="e">
        <f t="shared" si="24"/>
        <v>#DIV/0!</v>
      </c>
      <c r="H111" s="7">
        <f t="shared" si="21"/>
        <v>0</v>
      </c>
      <c r="I111" s="7" t="e">
        <f t="shared" si="22"/>
        <v>#DIV/0!</v>
      </c>
      <c r="L111" s="49"/>
    </row>
    <row r="112" spans="1:12" ht="30.75" hidden="1">
      <c r="A112" s="74" t="s">
        <v>85</v>
      </c>
      <c r="B112" s="33"/>
      <c r="C112" s="33"/>
      <c r="D112" s="67" t="e">
        <f t="shared" si="18"/>
        <v>#DIV/0!</v>
      </c>
      <c r="E112" s="55"/>
      <c r="F112" s="16">
        <f t="shared" si="19"/>
        <v>0</v>
      </c>
      <c r="G112" s="7" t="e">
        <f t="shared" si="24"/>
        <v>#DIV/0!</v>
      </c>
      <c r="H112" s="7">
        <f t="shared" si="21"/>
        <v>0</v>
      </c>
      <c r="I112" s="7" t="e">
        <f t="shared" si="22"/>
        <v>#DIV/0!</v>
      </c>
      <c r="L112" s="49"/>
    </row>
    <row r="113" spans="1:12" ht="46.5" hidden="1">
      <c r="A113" s="81" t="s">
        <v>86</v>
      </c>
      <c r="B113" s="33"/>
      <c r="C113" s="33"/>
      <c r="D113" s="67" t="e">
        <f t="shared" si="18"/>
        <v>#DIV/0!</v>
      </c>
      <c r="E113" s="55"/>
      <c r="F113" s="16">
        <f t="shared" si="19"/>
        <v>0</v>
      </c>
      <c r="G113" s="7" t="e">
        <f t="shared" si="24"/>
        <v>#DIV/0!</v>
      </c>
      <c r="H113" s="7">
        <f t="shared" si="21"/>
        <v>0</v>
      </c>
      <c r="I113" s="7" t="e">
        <f t="shared" si="22"/>
        <v>#DIV/0!</v>
      </c>
      <c r="L113" s="49"/>
    </row>
    <row r="114" spans="1:12" ht="46.5" hidden="1">
      <c r="A114" s="81" t="s">
        <v>87</v>
      </c>
      <c r="B114" s="33"/>
      <c r="C114" s="33"/>
      <c r="D114" s="67" t="e">
        <f t="shared" si="18"/>
        <v>#DIV/0!</v>
      </c>
      <c r="E114" s="55"/>
      <c r="F114" s="16">
        <f t="shared" si="19"/>
        <v>0</v>
      </c>
      <c r="G114" s="7" t="e">
        <f t="shared" si="24"/>
        <v>#DIV/0!</v>
      </c>
      <c r="H114" s="7">
        <f t="shared" si="21"/>
        <v>0</v>
      </c>
      <c r="I114" s="7" t="e">
        <f t="shared" si="22"/>
        <v>#DIV/0!</v>
      </c>
      <c r="L114" s="49"/>
    </row>
    <row r="115" spans="1:12" ht="46.5" hidden="1">
      <c r="A115" s="74" t="s">
        <v>88</v>
      </c>
      <c r="B115" s="33"/>
      <c r="C115" s="33"/>
      <c r="D115" s="67" t="e">
        <f t="shared" si="18"/>
        <v>#DIV/0!</v>
      </c>
      <c r="E115" s="55"/>
      <c r="F115" s="16">
        <f t="shared" si="19"/>
        <v>0</v>
      </c>
      <c r="G115" s="7" t="e">
        <f t="shared" si="24"/>
        <v>#DIV/0!</v>
      </c>
      <c r="H115" s="7">
        <f t="shared" si="21"/>
        <v>0</v>
      </c>
      <c r="I115" s="7" t="e">
        <f t="shared" si="22"/>
        <v>#DIV/0!</v>
      </c>
      <c r="L115" s="49"/>
    </row>
    <row r="116" spans="1:12" ht="30.75" hidden="1">
      <c r="A116" s="74" t="s">
        <v>89</v>
      </c>
      <c r="B116" s="33"/>
      <c r="C116" s="33"/>
      <c r="D116" s="67" t="e">
        <f t="shared" si="18"/>
        <v>#DIV/0!</v>
      </c>
      <c r="E116" s="55"/>
      <c r="F116" s="16">
        <f t="shared" si="19"/>
        <v>0</v>
      </c>
      <c r="G116" s="7" t="e">
        <f t="shared" si="24"/>
        <v>#DIV/0!</v>
      </c>
      <c r="H116" s="7">
        <f t="shared" si="21"/>
        <v>0</v>
      </c>
      <c r="I116" s="7" t="e">
        <f t="shared" si="22"/>
        <v>#DIV/0!</v>
      </c>
      <c r="L116" s="49"/>
    </row>
    <row r="117" spans="1:12" ht="46.5" hidden="1">
      <c r="A117" s="74" t="s">
        <v>249</v>
      </c>
      <c r="B117" s="33"/>
      <c r="C117" s="33"/>
      <c r="D117" s="67" t="e">
        <f t="shared" si="18"/>
        <v>#DIV/0!</v>
      </c>
      <c r="E117" s="55"/>
      <c r="F117" s="16">
        <f t="shared" si="19"/>
        <v>0</v>
      </c>
      <c r="G117" s="7" t="e">
        <f t="shared" si="24"/>
        <v>#DIV/0!</v>
      </c>
      <c r="H117" s="7">
        <f>E117-C117</f>
        <v>0</v>
      </c>
      <c r="I117" s="7" t="e">
        <f>E117*100/C117</f>
        <v>#DIV/0!</v>
      </c>
      <c r="L117" s="49"/>
    </row>
    <row r="118" spans="1:12" ht="124.5" hidden="1">
      <c r="A118" s="74" t="s">
        <v>0</v>
      </c>
      <c r="B118" s="33"/>
      <c r="C118" s="33"/>
      <c r="D118" s="67" t="e">
        <f t="shared" si="18"/>
        <v>#DIV/0!</v>
      </c>
      <c r="E118" s="55"/>
      <c r="F118" s="16">
        <f t="shared" si="19"/>
        <v>0</v>
      </c>
      <c r="G118" s="7"/>
      <c r="H118" s="7">
        <f>E118-C118</f>
        <v>0</v>
      </c>
      <c r="I118" s="7"/>
      <c r="L118" s="49"/>
    </row>
    <row r="119" spans="1:12" ht="30.75" hidden="1">
      <c r="A119" s="74" t="s">
        <v>1</v>
      </c>
      <c r="B119" s="33"/>
      <c r="C119" s="33"/>
      <c r="D119" s="67" t="e">
        <f t="shared" si="18"/>
        <v>#DIV/0!</v>
      </c>
      <c r="E119" s="55"/>
      <c r="F119" s="16">
        <f t="shared" si="19"/>
        <v>0</v>
      </c>
      <c r="G119" s="7" t="e">
        <f aca="true" t="shared" si="25" ref="G119:G125">E119*100/B119</f>
        <v>#DIV/0!</v>
      </c>
      <c r="H119" s="7">
        <f>E119-C119</f>
        <v>0</v>
      </c>
      <c r="I119" s="7" t="e">
        <f>E119*100/C119</f>
        <v>#DIV/0!</v>
      </c>
      <c r="L119" s="49"/>
    </row>
    <row r="120" spans="1:14" s="5" customFormat="1" ht="36" customHeight="1">
      <c r="A120" s="80" t="s">
        <v>155</v>
      </c>
      <c r="B120" s="29">
        <v>760811</v>
      </c>
      <c r="C120" s="29">
        <v>760811</v>
      </c>
      <c r="D120" s="67">
        <f aca="true" t="shared" si="26" ref="D120:D151">C120*100/B120</f>
        <v>100</v>
      </c>
      <c r="E120" s="56">
        <v>208745</v>
      </c>
      <c r="F120" s="16">
        <f aca="true" t="shared" si="27" ref="F120:F151">E120-B120</f>
        <v>-552066</v>
      </c>
      <c r="G120" s="16">
        <f t="shared" si="25"/>
        <v>27.43716902095264</v>
      </c>
      <c r="H120" s="16">
        <f t="shared" si="21"/>
        <v>-552066</v>
      </c>
      <c r="I120" s="16">
        <f t="shared" si="22"/>
        <v>27.43716902095264</v>
      </c>
      <c r="J120" s="49"/>
      <c r="K120" s="49"/>
      <c r="L120" s="49"/>
      <c r="M120" s="49"/>
      <c r="N120" s="49"/>
    </row>
    <row r="121" spans="1:12" ht="39.75" customHeight="1" hidden="1">
      <c r="A121" s="74" t="s">
        <v>69</v>
      </c>
      <c r="B121" s="27"/>
      <c r="C121" s="27"/>
      <c r="D121" s="67" t="e">
        <f t="shared" si="26"/>
        <v>#DIV/0!</v>
      </c>
      <c r="E121" s="55"/>
      <c r="F121" s="16">
        <f t="shared" si="27"/>
        <v>0</v>
      </c>
      <c r="G121" s="7" t="e">
        <f t="shared" si="25"/>
        <v>#DIV/0!</v>
      </c>
      <c r="H121" s="7">
        <f t="shared" si="21"/>
        <v>0</v>
      </c>
      <c r="I121" s="7" t="e">
        <f t="shared" si="22"/>
        <v>#DIV/0!</v>
      </c>
      <c r="L121" s="49"/>
    </row>
    <row r="122" spans="1:12" ht="30.75" hidden="1">
      <c r="A122" s="74" t="s">
        <v>32</v>
      </c>
      <c r="B122" s="27"/>
      <c r="C122" s="27"/>
      <c r="D122" s="67" t="e">
        <f t="shared" si="26"/>
        <v>#DIV/0!</v>
      </c>
      <c r="E122" s="55"/>
      <c r="F122" s="16">
        <f t="shared" si="27"/>
        <v>0</v>
      </c>
      <c r="G122" s="7" t="e">
        <f t="shared" si="25"/>
        <v>#DIV/0!</v>
      </c>
      <c r="H122" s="7">
        <f t="shared" si="21"/>
        <v>0</v>
      </c>
      <c r="I122" s="7" t="e">
        <f aca="true" t="shared" si="28" ref="I122:I129">E122*100/C122</f>
        <v>#DIV/0!</v>
      </c>
      <c r="L122" s="49"/>
    </row>
    <row r="123" spans="1:12" ht="46.5" hidden="1">
      <c r="A123" s="68" t="s">
        <v>15</v>
      </c>
      <c r="B123" s="27"/>
      <c r="C123" s="27"/>
      <c r="D123" s="67" t="e">
        <f t="shared" si="26"/>
        <v>#DIV/0!</v>
      </c>
      <c r="E123" s="55"/>
      <c r="F123" s="16">
        <f t="shared" si="27"/>
        <v>0</v>
      </c>
      <c r="G123" s="7" t="e">
        <f t="shared" si="25"/>
        <v>#DIV/0!</v>
      </c>
      <c r="H123" s="7">
        <f t="shared" si="21"/>
        <v>0</v>
      </c>
      <c r="I123" s="7" t="e">
        <f t="shared" si="28"/>
        <v>#DIV/0!</v>
      </c>
      <c r="L123" s="49"/>
    </row>
    <row r="124" spans="1:12" ht="46.5" hidden="1">
      <c r="A124" s="68" t="s">
        <v>33</v>
      </c>
      <c r="B124" s="27"/>
      <c r="C124" s="27"/>
      <c r="D124" s="67" t="e">
        <f t="shared" si="26"/>
        <v>#DIV/0!</v>
      </c>
      <c r="E124" s="55"/>
      <c r="F124" s="16">
        <f t="shared" si="27"/>
        <v>0</v>
      </c>
      <c r="G124" s="7" t="e">
        <f t="shared" si="25"/>
        <v>#DIV/0!</v>
      </c>
      <c r="H124" s="7">
        <f t="shared" si="21"/>
        <v>0</v>
      </c>
      <c r="I124" s="7" t="e">
        <f t="shared" si="28"/>
        <v>#DIV/0!</v>
      </c>
      <c r="L124" s="49"/>
    </row>
    <row r="125" spans="1:12" ht="46.5" hidden="1">
      <c r="A125" s="68" t="s">
        <v>34</v>
      </c>
      <c r="B125" s="27"/>
      <c r="C125" s="27"/>
      <c r="D125" s="67" t="e">
        <f t="shared" si="26"/>
        <v>#DIV/0!</v>
      </c>
      <c r="E125" s="55"/>
      <c r="F125" s="16">
        <f t="shared" si="27"/>
        <v>0</v>
      </c>
      <c r="G125" s="7" t="e">
        <f t="shared" si="25"/>
        <v>#DIV/0!</v>
      </c>
      <c r="H125" s="7">
        <f t="shared" si="21"/>
        <v>0</v>
      </c>
      <c r="I125" s="7" t="e">
        <f t="shared" si="28"/>
        <v>#DIV/0!</v>
      </c>
      <c r="L125" s="49"/>
    </row>
    <row r="126" spans="1:12" ht="62.25" hidden="1">
      <c r="A126" s="74" t="s">
        <v>35</v>
      </c>
      <c r="B126" s="27"/>
      <c r="C126" s="27"/>
      <c r="D126" s="67" t="e">
        <f t="shared" si="26"/>
        <v>#DIV/0!</v>
      </c>
      <c r="E126" s="55"/>
      <c r="F126" s="16">
        <f t="shared" si="27"/>
        <v>0</v>
      </c>
      <c r="G126" s="7"/>
      <c r="H126" s="7">
        <f aca="true" t="shared" si="29" ref="H126:H134">E126-C126</f>
        <v>0</v>
      </c>
      <c r="I126" s="7"/>
      <c r="L126" s="49"/>
    </row>
    <row r="127" spans="1:12" ht="62.25" hidden="1">
      <c r="A127" s="74" t="s">
        <v>37</v>
      </c>
      <c r="B127" s="27"/>
      <c r="C127" s="27"/>
      <c r="D127" s="67" t="e">
        <f t="shared" si="26"/>
        <v>#DIV/0!</v>
      </c>
      <c r="E127" s="55"/>
      <c r="F127" s="16">
        <f t="shared" si="27"/>
        <v>0</v>
      </c>
      <c r="G127" s="7" t="e">
        <f aca="true" t="shared" si="30" ref="G127:G136">E127*100/B127</f>
        <v>#DIV/0!</v>
      </c>
      <c r="H127" s="7">
        <f>E127-C127</f>
        <v>0</v>
      </c>
      <c r="I127" s="7" t="e">
        <f t="shared" si="28"/>
        <v>#DIV/0!</v>
      </c>
      <c r="L127" s="49"/>
    </row>
    <row r="128" spans="1:12" ht="62.25" hidden="1">
      <c r="A128" s="74" t="s">
        <v>36</v>
      </c>
      <c r="B128" s="27"/>
      <c r="C128" s="27"/>
      <c r="D128" s="67" t="e">
        <f t="shared" si="26"/>
        <v>#DIV/0!</v>
      </c>
      <c r="E128" s="55"/>
      <c r="F128" s="16">
        <f t="shared" si="27"/>
        <v>0</v>
      </c>
      <c r="G128" s="7" t="e">
        <f t="shared" si="30"/>
        <v>#DIV/0!</v>
      </c>
      <c r="H128" s="7">
        <f t="shared" si="29"/>
        <v>0</v>
      </c>
      <c r="I128" s="7" t="e">
        <f t="shared" si="28"/>
        <v>#DIV/0!</v>
      </c>
      <c r="L128" s="49"/>
    </row>
    <row r="129" spans="1:12" ht="62.25" hidden="1">
      <c r="A129" s="74" t="s">
        <v>38</v>
      </c>
      <c r="B129" s="27"/>
      <c r="C129" s="27"/>
      <c r="D129" s="67" t="e">
        <f t="shared" si="26"/>
        <v>#DIV/0!</v>
      </c>
      <c r="E129" s="55"/>
      <c r="F129" s="16">
        <f t="shared" si="27"/>
        <v>0</v>
      </c>
      <c r="G129" s="7" t="e">
        <f t="shared" si="30"/>
        <v>#DIV/0!</v>
      </c>
      <c r="H129" s="7">
        <f t="shared" si="29"/>
        <v>0</v>
      </c>
      <c r="I129" s="7" t="e">
        <f t="shared" si="28"/>
        <v>#DIV/0!</v>
      </c>
      <c r="L129" s="49"/>
    </row>
    <row r="130" spans="1:12" ht="46.5" hidden="1">
      <c r="A130" s="74" t="s">
        <v>39</v>
      </c>
      <c r="B130" s="27"/>
      <c r="C130" s="27"/>
      <c r="D130" s="67" t="e">
        <f t="shared" si="26"/>
        <v>#DIV/0!</v>
      </c>
      <c r="E130" s="55"/>
      <c r="F130" s="16">
        <f t="shared" si="27"/>
        <v>0</v>
      </c>
      <c r="G130" s="7" t="e">
        <f t="shared" si="30"/>
        <v>#DIV/0!</v>
      </c>
      <c r="H130" s="7">
        <f>E130-C130</f>
        <v>0</v>
      </c>
      <c r="I130" s="7" t="e">
        <f aca="true" t="shared" si="31" ref="I130:I136">E130*100/C130</f>
        <v>#DIV/0!</v>
      </c>
      <c r="L130" s="49"/>
    </row>
    <row r="131" spans="1:12" ht="46.5" hidden="1">
      <c r="A131" s="74" t="s">
        <v>40</v>
      </c>
      <c r="B131" s="27"/>
      <c r="C131" s="27"/>
      <c r="D131" s="67" t="e">
        <f t="shared" si="26"/>
        <v>#DIV/0!</v>
      </c>
      <c r="E131" s="55"/>
      <c r="F131" s="16">
        <f t="shared" si="27"/>
        <v>0</v>
      </c>
      <c r="G131" s="7" t="e">
        <f t="shared" si="30"/>
        <v>#DIV/0!</v>
      </c>
      <c r="H131" s="7">
        <f>E131-C131</f>
        <v>0</v>
      </c>
      <c r="I131" s="7" t="e">
        <f t="shared" si="31"/>
        <v>#DIV/0!</v>
      </c>
      <c r="L131" s="49"/>
    </row>
    <row r="132" spans="1:12" ht="46.5" hidden="1">
      <c r="A132" s="74" t="s">
        <v>41</v>
      </c>
      <c r="B132" s="27"/>
      <c r="C132" s="27"/>
      <c r="D132" s="67" t="e">
        <f t="shared" si="26"/>
        <v>#DIV/0!</v>
      </c>
      <c r="E132" s="55"/>
      <c r="F132" s="16">
        <f t="shared" si="27"/>
        <v>0</v>
      </c>
      <c r="G132" s="7" t="e">
        <f t="shared" si="30"/>
        <v>#DIV/0!</v>
      </c>
      <c r="H132" s="7">
        <f t="shared" si="29"/>
        <v>0</v>
      </c>
      <c r="I132" s="7" t="e">
        <f t="shared" si="31"/>
        <v>#DIV/0!</v>
      </c>
      <c r="L132" s="49"/>
    </row>
    <row r="133" spans="1:12" ht="62.25" hidden="1">
      <c r="A133" s="74" t="s">
        <v>42</v>
      </c>
      <c r="B133" s="27"/>
      <c r="C133" s="27"/>
      <c r="D133" s="67" t="e">
        <f t="shared" si="26"/>
        <v>#DIV/0!</v>
      </c>
      <c r="E133" s="55"/>
      <c r="F133" s="16">
        <f t="shared" si="27"/>
        <v>0</v>
      </c>
      <c r="G133" s="7" t="e">
        <f t="shared" si="30"/>
        <v>#DIV/0!</v>
      </c>
      <c r="H133" s="7">
        <f t="shared" si="29"/>
        <v>0</v>
      </c>
      <c r="I133" s="7" t="e">
        <f t="shared" si="31"/>
        <v>#DIV/0!</v>
      </c>
      <c r="L133" s="49"/>
    </row>
    <row r="134" spans="1:12" ht="156" hidden="1">
      <c r="A134" s="74" t="s">
        <v>43</v>
      </c>
      <c r="B134" s="27"/>
      <c r="C134" s="27"/>
      <c r="D134" s="67" t="e">
        <f t="shared" si="26"/>
        <v>#DIV/0!</v>
      </c>
      <c r="E134" s="55"/>
      <c r="F134" s="16">
        <f t="shared" si="27"/>
        <v>0</v>
      </c>
      <c r="G134" s="7" t="e">
        <f t="shared" si="30"/>
        <v>#DIV/0!</v>
      </c>
      <c r="H134" s="7">
        <f t="shared" si="29"/>
        <v>0</v>
      </c>
      <c r="I134" s="7" t="e">
        <f t="shared" si="31"/>
        <v>#DIV/0!</v>
      </c>
      <c r="L134" s="49"/>
    </row>
    <row r="135" spans="1:12" ht="62.25" hidden="1">
      <c r="A135" s="74" t="s">
        <v>44</v>
      </c>
      <c r="B135" s="27"/>
      <c r="C135" s="27"/>
      <c r="D135" s="67" t="e">
        <f t="shared" si="26"/>
        <v>#DIV/0!</v>
      </c>
      <c r="E135" s="55"/>
      <c r="F135" s="16">
        <f t="shared" si="27"/>
        <v>0</v>
      </c>
      <c r="G135" s="7" t="e">
        <f t="shared" si="30"/>
        <v>#DIV/0!</v>
      </c>
      <c r="H135" s="7">
        <f aca="true" t="shared" si="32" ref="H135:H142">E135-C135</f>
        <v>0</v>
      </c>
      <c r="I135" s="7" t="e">
        <f t="shared" si="31"/>
        <v>#DIV/0!</v>
      </c>
      <c r="L135" s="49"/>
    </row>
    <row r="136" spans="1:12" ht="62.25" hidden="1">
      <c r="A136" s="74" t="s">
        <v>45</v>
      </c>
      <c r="B136" s="27"/>
      <c r="C136" s="27"/>
      <c r="D136" s="67" t="e">
        <f t="shared" si="26"/>
        <v>#DIV/0!</v>
      </c>
      <c r="E136" s="55"/>
      <c r="F136" s="16">
        <f t="shared" si="27"/>
        <v>0</v>
      </c>
      <c r="G136" s="7" t="e">
        <f t="shared" si="30"/>
        <v>#DIV/0!</v>
      </c>
      <c r="H136" s="7">
        <f t="shared" si="32"/>
        <v>0</v>
      </c>
      <c r="I136" s="7" t="e">
        <f t="shared" si="31"/>
        <v>#DIV/0!</v>
      </c>
      <c r="L136" s="49"/>
    </row>
    <row r="137" spans="1:12" ht="78" hidden="1">
      <c r="A137" s="74" t="s">
        <v>2</v>
      </c>
      <c r="B137" s="27"/>
      <c r="C137" s="27"/>
      <c r="D137" s="67" t="e">
        <f t="shared" si="26"/>
        <v>#DIV/0!</v>
      </c>
      <c r="E137" s="55"/>
      <c r="F137" s="16">
        <f t="shared" si="27"/>
        <v>0</v>
      </c>
      <c r="G137" s="7"/>
      <c r="H137" s="7">
        <f t="shared" si="32"/>
        <v>0</v>
      </c>
      <c r="I137" s="7"/>
      <c r="L137" s="49"/>
    </row>
    <row r="138" spans="1:12" ht="57" customHeight="1" hidden="1">
      <c r="A138" s="74" t="s">
        <v>46</v>
      </c>
      <c r="B138" s="27"/>
      <c r="C138" s="27"/>
      <c r="D138" s="67" t="e">
        <f t="shared" si="26"/>
        <v>#DIV/0!</v>
      </c>
      <c r="E138" s="55"/>
      <c r="F138" s="16">
        <f t="shared" si="27"/>
        <v>0</v>
      </c>
      <c r="G138" s="7"/>
      <c r="H138" s="7">
        <f t="shared" si="32"/>
        <v>0</v>
      </c>
      <c r="I138" s="7"/>
      <c r="L138" s="49"/>
    </row>
    <row r="139" spans="1:12" ht="30.75" hidden="1">
      <c r="A139" s="74" t="s">
        <v>47</v>
      </c>
      <c r="B139" s="27"/>
      <c r="C139" s="27"/>
      <c r="D139" s="67" t="e">
        <f t="shared" si="26"/>
        <v>#DIV/0!</v>
      </c>
      <c r="E139" s="55"/>
      <c r="F139" s="16">
        <f t="shared" si="27"/>
        <v>0</v>
      </c>
      <c r="G139" s="7" t="e">
        <f>E139*100/B139</f>
        <v>#DIV/0!</v>
      </c>
      <c r="H139" s="7">
        <f t="shared" si="32"/>
        <v>0</v>
      </c>
      <c r="I139" s="7" t="e">
        <f>E139*100/C139</f>
        <v>#DIV/0!</v>
      </c>
      <c r="L139" s="49"/>
    </row>
    <row r="140" spans="1:12" ht="93" hidden="1">
      <c r="A140" s="74" t="s">
        <v>3</v>
      </c>
      <c r="B140" s="27"/>
      <c r="C140" s="27"/>
      <c r="D140" s="67" t="e">
        <f t="shared" si="26"/>
        <v>#DIV/0!</v>
      </c>
      <c r="E140" s="55"/>
      <c r="F140" s="16">
        <f t="shared" si="27"/>
        <v>0</v>
      </c>
      <c r="G140" s="7"/>
      <c r="H140" s="7">
        <f t="shared" si="32"/>
        <v>0</v>
      </c>
      <c r="I140" s="7"/>
      <c r="L140" s="49"/>
    </row>
    <row r="141" spans="1:12" ht="46.5" hidden="1">
      <c r="A141" s="74" t="s">
        <v>4</v>
      </c>
      <c r="B141" s="27"/>
      <c r="C141" s="27"/>
      <c r="D141" s="67" t="e">
        <f t="shared" si="26"/>
        <v>#DIV/0!</v>
      </c>
      <c r="E141" s="55"/>
      <c r="F141" s="16">
        <f t="shared" si="27"/>
        <v>0</v>
      </c>
      <c r="G141" s="7"/>
      <c r="H141" s="7">
        <f t="shared" si="32"/>
        <v>0</v>
      </c>
      <c r="I141" s="7"/>
      <c r="L141" s="49"/>
    </row>
    <row r="142" spans="1:12" ht="62.25" hidden="1">
      <c r="A142" s="74" t="s">
        <v>5</v>
      </c>
      <c r="B142" s="27"/>
      <c r="C142" s="27"/>
      <c r="D142" s="67" t="e">
        <f t="shared" si="26"/>
        <v>#DIV/0!</v>
      </c>
      <c r="E142" s="55"/>
      <c r="F142" s="16">
        <f t="shared" si="27"/>
        <v>0</v>
      </c>
      <c r="G142" s="7"/>
      <c r="H142" s="7">
        <f t="shared" si="32"/>
        <v>0</v>
      </c>
      <c r="I142" s="7"/>
      <c r="L142" s="49"/>
    </row>
    <row r="143" spans="1:14" s="5" customFormat="1" ht="27" customHeight="1">
      <c r="A143" s="80" t="s">
        <v>48</v>
      </c>
      <c r="B143" s="29">
        <v>17857.2</v>
      </c>
      <c r="C143" s="29">
        <v>17857.2</v>
      </c>
      <c r="D143" s="67">
        <f t="shared" si="26"/>
        <v>100</v>
      </c>
      <c r="E143" s="56">
        <v>0</v>
      </c>
      <c r="F143" s="16">
        <f t="shared" si="27"/>
        <v>-17857.2</v>
      </c>
      <c r="G143" s="16">
        <f>E143*100/B143</f>
        <v>0</v>
      </c>
      <c r="H143" s="16">
        <f aca="true" t="shared" si="33" ref="H143:H150">E143-C143</f>
        <v>-17857.2</v>
      </c>
      <c r="I143" s="16">
        <f aca="true" t="shared" si="34" ref="I143:I149">E143*100/C143</f>
        <v>0</v>
      </c>
      <c r="J143" s="49"/>
      <c r="K143" s="49"/>
      <c r="L143" s="49"/>
      <c r="M143" s="49"/>
      <c r="N143" s="49"/>
    </row>
    <row r="144" spans="1:12" ht="46.5" hidden="1">
      <c r="A144" s="74" t="s">
        <v>49</v>
      </c>
      <c r="B144" s="27"/>
      <c r="C144" s="27"/>
      <c r="D144" s="67" t="e">
        <f t="shared" si="26"/>
        <v>#DIV/0!</v>
      </c>
      <c r="E144" s="55"/>
      <c r="F144" s="16">
        <f t="shared" si="27"/>
        <v>0</v>
      </c>
      <c r="G144" s="7" t="e">
        <f>E144*100/B144</f>
        <v>#DIV/0!</v>
      </c>
      <c r="H144" s="7">
        <f t="shared" si="33"/>
        <v>0</v>
      </c>
      <c r="I144" s="7" t="e">
        <f t="shared" si="34"/>
        <v>#DIV/0!</v>
      </c>
      <c r="L144" s="49"/>
    </row>
    <row r="145" spans="1:12" ht="46.5" hidden="1">
      <c r="A145" s="74" t="s">
        <v>50</v>
      </c>
      <c r="B145" s="27"/>
      <c r="C145" s="27"/>
      <c r="D145" s="67" t="e">
        <f t="shared" si="26"/>
        <v>#DIV/0!</v>
      </c>
      <c r="E145" s="55"/>
      <c r="F145" s="16">
        <f t="shared" si="27"/>
        <v>0</v>
      </c>
      <c r="G145" s="7" t="e">
        <f>E145*100/B145</f>
        <v>#DIV/0!</v>
      </c>
      <c r="H145" s="7">
        <f t="shared" si="33"/>
        <v>0</v>
      </c>
      <c r="I145" s="7" t="e">
        <f t="shared" si="34"/>
        <v>#DIV/0!</v>
      </c>
      <c r="L145" s="49"/>
    </row>
    <row r="146" spans="1:12" ht="140.25" hidden="1">
      <c r="A146" s="74" t="s">
        <v>51</v>
      </c>
      <c r="B146" s="27"/>
      <c r="C146" s="27"/>
      <c r="D146" s="67" t="e">
        <f t="shared" si="26"/>
        <v>#DIV/0!</v>
      </c>
      <c r="E146" s="55"/>
      <c r="F146" s="16">
        <f t="shared" si="27"/>
        <v>0</v>
      </c>
      <c r="G146" s="7"/>
      <c r="H146" s="7">
        <f t="shared" si="33"/>
        <v>0</v>
      </c>
      <c r="I146" s="7"/>
      <c r="L146" s="49"/>
    </row>
    <row r="147" spans="1:12" ht="93" hidden="1">
      <c r="A147" s="74" t="s">
        <v>52</v>
      </c>
      <c r="B147" s="27"/>
      <c r="C147" s="27"/>
      <c r="D147" s="67" t="e">
        <f t="shared" si="26"/>
        <v>#DIV/0!</v>
      </c>
      <c r="E147" s="55"/>
      <c r="F147" s="16">
        <f t="shared" si="27"/>
        <v>0</v>
      </c>
      <c r="G147" s="7" t="e">
        <f>E147*100/B147</f>
        <v>#DIV/0!</v>
      </c>
      <c r="H147" s="7">
        <f>E147-C147</f>
        <v>0</v>
      </c>
      <c r="I147" s="7" t="e">
        <f>E147*100/C147</f>
        <v>#DIV/0!</v>
      </c>
      <c r="L147" s="49"/>
    </row>
    <row r="148" spans="1:12" ht="93" hidden="1">
      <c r="A148" s="74" t="s">
        <v>53</v>
      </c>
      <c r="B148" s="27"/>
      <c r="C148" s="27"/>
      <c r="D148" s="67" t="e">
        <f t="shared" si="26"/>
        <v>#DIV/0!</v>
      </c>
      <c r="E148" s="55"/>
      <c r="F148" s="16">
        <f t="shared" si="27"/>
        <v>0</v>
      </c>
      <c r="G148" s="7" t="e">
        <f>E148*100/B148</f>
        <v>#DIV/0!</v>
      </c>
      <c r="H148" s="7">
        <f t="shared" si="33"/>
        <v>0</v>
      </c>
      <c r="I148" s="7" t="e">
        <f>E148*100/C148</f>
        <v>#DIV/0!</v>
      </c>
      <c r="L148" s="49"/>
    </row>
    <row r="149" spans="1:12" ht="46.5" hidden="1">
      <c r="A149" s="74" t="s">
        <v>54</v>
      </c>
      <c r="B149" s="27"/>
      <c r="C149" s="27"/>
      <c r="D149" s="67" t="e">
        <f t="shared" si="26"/>
        <v>#DIV/0!</v>
      </c>
      <c r="E149" s="55"/>
      <c r="F149" s="16">
        <f t="shared" si="27"/>
        <v>0</v>
      </c>
      <c r="G149" s="7" t="e">
        <f>E149*100/B149</f>
        <v>#DIV/0!</v>
      </c>
      <c r="H149" s="7">
        <f t="shared" si="33"/>
        <v>0</v>
      </c>
      <c r="I149" s="7" t="e">
        <f t="shared" si="34"/>
        <v>#DIV/0!</v>
      </c>
      <c r="L149" s="49"/>
    </row>
    <row r="150" spans="1:12" ht="62.25" hidden="1">
      <c r="A150" s="74" t="s">
        <v>55</v>
      </c>
      <c r="B150" s="27"/>
      <c r="C150" s="27"/>
      <c r="D150" s="67" t="e">
        <f t="shared" si="26"/>
        <v>#DIV/0!</v>
      </c>
      <c r="E150" s="55"/>
      <c r="F150" s="16">
        <f t="shared" si="27"/>
        <v>0</v>
      </c>
      <c r="G150" s="7"/>
      <c r="H150" s="7">
        <f t="shared" si="33"/>
        <v>0</v>
      </c>
      <c r="I150" s="7"/>
      <c r="L150" s="49"/>
    </row>
    <row r="151" spans="1:12" ht="30.75" hidden="1">
      <c r="A151" s="74" t="s">
        <v>56</v>
      </c>
      <c r="B151" s="27"/>
      <c r="C151" s="27"/>
      <c r="D151" s="67" t="e">
        <f t="shared" si="26"/>
        <v>#DIV/0!</v>
      </c>
      <c r="E151" s="55"/>
      <c r="F151" s="16">
        <f t="shared" si="27"/>
        <v>0</v>
      </c>
      <c r="G151" s="7" t="e">
        <f aca="true" t="shared" si="35" ref="G151:G159">E151*100/B151</f>
        <v>#DIV/0!</v>
      </c>
      <c r="H151" s="7">
        <f aca="true" t="shared" si="36" ref="H151:H162">E151-C151</f>
        <v>0</v>
      </c>
      <c r="I151" s="7" t="e">
        <f aca="true" t="shared" si="37" ref="I151:I159">E151*100/C151</f>
        <v>#DIV/0!</v>
      </c>
      <c r="L151" s="49"/>
    </row>
    <row r="152" spans="1:12" ht="62.25" hidden="1">
      <c r="A152" s="74" t="s">
        <v>6</v>
      </c>
      <c r="B152" s="27"/>
      <c r="C152" s="27"/>
      <c r="D152" s="67" t="e">
        <f aca="true" t="shared" si="38" ref="D152:D163">C152*100/B152</f>
        <v>#DIV/0!</v>
      </c>
      <c r="E152" s="55"/>
      <c r="F152" s="16">
        <f aca="true" t="shared" si="39" ref="F152:F163">E152-B152</f>
        <v>0</v>
      </c>
      <c r="G152" s="7" t="e">
        <f t="shared" si="35"/>
        <v>#DIV/0!</v>
      </c>
      <c r="H152" s="7">
        <f t="shared" si="36"/>
        <v>0</v>
      </c>
      <c r="I152" s="7" t="e">
        <f t="shared" si="37"/>
        <v>#DIV/0!</v>
      </c>
      <c r="L152" s="49"/>
    </row>
    <row r="153" spans="1:12" ht="62.25" hidden="1">
      <c r="A153" s="74" t="s">
        <v>7</v>
      </c>
      <c r="B153" s="27"/>
      <c r="C153" s="27"/>
      <c r="D153" s="67" t="e">
        <f t="shared" si="38"/>
        <v>#DIV/0!</v>
      </c>
      <c r="E153" s="55"/>
      <c r="F153" s="16">
        <f t="shared" si="39"/>
        <v>0</v>
      </c>
      <c r="G153" s="7" t="e">
        <f t="shared" si="35"/>
        <v>#DIV/0!</v>
      </c>
      <c r="H153" s="7">
        <f t="shared" si="36"/>
        <v>0</v>
      </c>
      <c r="I153" s="7" t="e">
        <f t="shared" si="37"/>
        <v>#DIV/0!</v>
      </c>
      <c r="L153" s="49"/>
    </row>
    <row r="154" spans="1:12" ht="62.25" hidden="1">
      <c r="A154" s="74" t="s">
        <v>8</v>
      </c>
      <c r="B154" s="27"/>
      <c r="C154" s="27"/>
      <c r="D154" s="67" t="e">
        <f t="shared" si="38"/>
        <v>#DIV/0!</v>
      </c>
      <c r="E154" s="55"/>
      <c r="F154" s="16">
        <f t="shared" si="39"/>
        <v>0</v>
      </c>
      <c r="G154" s="7" t="e">
        <f t="shared" si="35"/>
        <v>#DIV/0!</v>
      </c>
      <c r="H154" s="7">
        <f t="shared" si="36"/>
        <v>0</v>
      </c>
      <c r="I154" s="7" t="e">
        <f t="shared" si="37"/>
        <v>#DIV/0!</v>
      </c>
      <c r="L154" s="49"/>
    </row>
    <row r="155" spans="1:12" ht="78" hidden="1">
      <c r="A155" s="74" t="s">
        <v>9</v>
      </c>
      <c r="B155" s="27"/>
      <c r="C155" s="33"/>
      <c r="D155" s="67" t="e">
        <f t="shared" si="38"/>
        <v>#DIV/0!</v>
      </c>
      <c r="E155" s="55"/>
      <c r="F155" s="16">
        <f t="shared" si="39"/>
        <v>0</v>
      </c>
      <c r="G155" s="7" t="e">
        <f t="shared" si="35"/>
        <v>#DIV/0!</v>
      </c>
      <c r="H155" s="7">
        <f t="shared" si="36"/>
        <v>0</v>
      </c>
      <c r="I155" s="7" t="e">
        <f t="shared" si="37"/>
        <v>#DIV/0!</v>
      </c>
      <c r="L155" s="49"/>
    </row>
    <row r="156" spans="1:12" ht="46.5" hidden="1">
      <c r="A156" s="74" t="s">
        <v>57</v>
      </c>
      <c r="B156" s="27"/>
      <c r="C156" s="27"/>
      <c r="D156" s="67" t="e">
        <f t="shared" si="38"/>
        <v>#DIV/0!</v>
      </c>
      <c r="E156" s="55"/>
      <c r="F156" s="16">
        <f t="shared" si="39"/>
        <v>0</v>
      </c>
      <c r="G156" s="7" t="e">
        <f t="shared" si="35"/>
        <v>#DIV/0!</v>
      </c>
      <c r="H156" s="7">
        <f t="shared" si="36"/>
        <v>0</v>
      </c>
      <c r="I156" s="7" t="e">
        <f t="shared" si="37"/>
        <v>#DIV/0!</v>
      </c>
      <c r="L156" s="49"/>
    </row>
    <row r="157" spans="1:14" s="5" customFormat="1" ht="15" hidden="1">
      <c r="A157" s="80" t="s">
        <v>58</v>
      </c>
      <c r="B157" s="29"/>
      <c r="C157" s="29"/>
      <c r="D157" s="67" t="e">
        <f t="shared" si="38"/>
        <v>#DIV/0!</v>
      </c>
      <c r="E157" s="56">
        <f>E158</f>
        <v>0</v>
      </c>
      <c r="F157" s="16">
        <f t="shared" si="39"/>
        <v>0</v>
      </c>
      <c r="G157" s="16" t="e">
        <f t="shared" si="35"/>
        <v>#DIV/0!</v>
      </c>
      <c r="H157" s="16">
        <f t="shared" si="36"/>
        <v>0</v>
      </c>
      <c r="I157" s="16" t="e">
        <f t="shared" si="37"/>
        <v>#DIV/0!</v>
      </c>
      <c r="J157" s="49"/>
      <c r="K157" s="49"/>
      <c r="L157" s="49"/>
      <c r="M157" s="49"/>
      <c r="N157" s="49"/>
    </row>
    <row r="158" spans="1:12" ht="52.5" customHeight="1" hidden="1">
      <c r="A158" s="74" t="s">
        <v>16</v>
      </c>
      <c r="B158" s="27"/>
      <c r="C158" s="27"/>
      <c r="D158" s="67" t="e">
        <f t="shared" si="38"/>
        <v>#DIV/0!</v>
      </c>
      <c r="E158" s="55"/>
      <c r="F158" s="16">
        <f t="shared" si="39"/>
        <v>0</v>
      </c>
      <c r="G158" s="7" t="e">
        <f t="shared" si="35"/>
        <v>#DIV/0!</v>
      </c>
      <c r="H158" s="7">
        <f t="shared" si="36"/>
        <v>0</v>
      </c>
      <c r="I158" s="7" t="e">
        <f t="shared" si="37"/>
        <v>#DIV/0!</v>
      </c>
      <c r="L158" s="49"/>
    </row>
    <row r="159" spans="1:12" ht="78" hidden="1">
      <c r="A159" s="74" t="s">
        <v>18</v>
      </c>
      <c r="B159" s="27"/>
      <c r="C159" s="27"/>
      <c r="D159" s="67" t="e">
        <f t="shared" si="38"/>
        <v>#DIV/0!</v>
      </c>
      <c r="E159" s="55"/>
      <c r="F159" s="16">
        <f t="shared" si="39"/>
        <v>0</v>
      </c>
      <c r="G159" s="7" t="e">
        <f t="shared" si="35"/>
        <v>#DIV/0!</v>
      </c>
      <c r="H159" s="7">
        <f t="shared" si="36"/>
        <v>0</v>
      </c>
      <c r="I159" s="7" t="e">
        <f t="shared" si="37"/>
        <v>#DIV/0!</v>
      </c>
      <c r="L159" s="49"/>
    </row>
    <row r="160" spans="1:12" ht="78" hidden="1">
      <c r="A160" s="74" t="s">
        <v>17</v>
      </c>
      <c r="B160" s="27"/>
      <c r="C160" s="27"/>
      <c r="D160" s="67" t="e">
        <f t="shared" si="38"/>
        <v>#DIV/0!</v>
      </c>
      <c r="E160" s="55"/>
      <c r="F160" s="16">
        <f t="shared" si="39"/>
        <v>0</v>
      </c>
      <c r="G160" s="7"/>
      <c r="H160" s="7">
        <f t="shared" si="36"/>
        <v>0</v>
      </c>
      <c r="I160" s="7"/>
      <c r="L160" s="49"/>
    </row>
    <row r="161" spans="1:14" s="5" customFormat="1" ht="20.25" customHeight="1" hidden="1">
      <c r="A161" s="80" t="s">
        <v>10</v>
      </c>
      <c r="B161" s="29"/>
      <c r="C161" s="29"/>
      <c r="D161" s="67" t="e">
        <f t="shared" si="38"/>
        <v>#DIV/0!</v>
      </c>
      <c r="E161" s="56">
        <f>E162</f>
        <v>0</v>
      </c>
      <c r="F161" s="16">
        <f t="shared" si="39"/>
        <v>0</v>
      </c>
      <c r="G161" s="16"/>
      <c r="H161" s="16">
        <f t="shared" si="36"/>
        <v>0</v>
      </c>
      <c r="I161" s="16"/>
      <c r="J161" s="49"/>
      <c r="K161" s="49"/>
      <c r="L161" s="49"/>
      <c r="M161" s="49"/>
      <c r="N161" s="49"/>
    </row>
    <row r="162" spans="1:12" ht="30.75" hidden="1">
      <c r="A162" s="74" t="s">
        <v>11</v>
      </c>
      <c r="B162" s="27"/>
      <c r="C162" s="27"/>
      <c r="D162" s="67" t="e">
        <f t="shared" si="38"/>
        <v>#DIV/0!</v>
      </c>
      <c r="E162" s="55"/>
      <c r="F162" s="16">
        <f t="shared" si="39"/>
        <v>0</v>
      </c>
      <c r="G162" s="7"/>
      <c r="H162" s="7">
        <f t="shared" si="36"/>
        <v>0</v>
      </c>
      <c r="I162" s="7"/>
      <c r="L162" s="49"/>
    </row>
    <row r="163" spans="1:12" ht="15" hidden="1">
      <c r="A163" s="74"/>
      <c r="B163" s="27"/>
      <c r="C163" s="27"/>
      <c r="D163" s="67" t="e">
        <f t="shared" si="38"/>
        <v>#DIV/0!</v>
      </c>
      <c r="E163" s="55"/>
      <c r="F163" s="16">
        <f t="shared" si="39"/>
        <v>0</v>
      </c>
      <c r="G163" s="7"/>
      <c r="H163" s="7"/>
      <c r="I163" s="7"/>
      <c r="L163" s="49"/>
    </row>
    <row r="164" spans="1:12" ht="27.75" customHeight="1">
      <c r="A164" s="82" t="s">
        <v>272</v>
      </c>
      <c r="B164" s="27"/>
      <c r="C164" s="41">
        <v>-3121</v>
      </c>
      <c r="D164" s="69"/>
      <c r="E164" s="55"/>
      <c r="F164" s="16"/>
      <c r="G164" s="7"/>
      <c r="H164" s="7"/>
      <c r="I164" s="7"/>
      <c r="L164" s="49"/>
    </row>
    <row r="165" spans="1:14" s="5" customFormat="1" ht="29.25" customHeight="1" thickBot="1">
      <c r="A165" s="133" t="s">
        <v>156</v>
      </c>
      <c r="B165" s="134">
        <f>B8+B88</f>
        <v>2030980.9</v>
      </c>
      <c r="C165" s="134">
        <f>C8+C88</f>
        <v>1867477.4</v>
      </c>
      <c r="D165" s="135">
        <f>C165*100/B165</f>
        <v>91.9495303968639</v>
      </c>
      <c r="E165" s="54" t="e">
        <f>SUM(#REF!,#REF!)+#REF!</f>
        <v>#REF!</v>
      </c>
      <c r="F165" s="16" t="e">
        <f>E165-B165</f>
        <v>#REF!</v>
      </c>
      <c r="G165" s="16" t="e">
        <f>E165*100/B165</f>
        <v>#REF!</v>
      </c>
      <c r="H165" s="16" t="e">
        <f>E165-C165</f>
        <v>#REF!</v>
      </c>
      <c r="I165" s="16" t="e">
        <f>E165*100/C165</f>
        <v>#REF!</v>
      </c>
      <c r="J165" s="49"/>
      <c r="K165" s="49"/>
      <c r="L165" s="49"/>
      <c r="M165" s="49"/>
      <c r="N165" s="49"/>
    </row>
    <row r="166" spans="1:14" s="5" customFormat="1" ht="26.25" hidden="1">
      <c r="A166" s="58" t="s">
        <v>157</v>
      </c>
      <c r="B166" s="59"/>
      <c r="C166" s="59"/>
      <c r="D166" s="60"/>
      <c r="E166" s="32"/>
      <c r="F166" s="4"/>
      <c r="G166" s="4"/>
      <c r="H166" s="4"/>
      <c r="I166" s="4"/>
      <c r="J166" s="49"/>
      <c r="K166" s="49"/>
      <c r="L166" s="49"/>
      <c r="M166" s="49"/>
      <c r="N166" s="49"/>
    </row>
    <row r="167" spans="1:9" ht="12.75" hidden="1">
      <c r="A167" s="10"/>
      <c r="B167" s="31"/>
      <c r="C167" s="31"/>
      <c r="D167" s="7"/>
      <c r="E167" s="32"/>
      <c r="F167" s="7"/>
      <c r="G167" s="7"/>
      <c r="H167" s="7"/>
      <c r="I167" s="7"/>
    </row>
    <row r="168" spans="1:14" s="5" customFormat="1" ht="12.75" hidden="1">
      <c r="A168" s="19" t="s">
        <v>158</v>
      </c>
      <c r="B168" s="29">
        <f>B165+B166</f>
        <v>2030980.9</v>
      </c>
      <c r="C168" s="29">
        <f>C165+C166</f>
        <v>1867477.4</v>
      </c>
      <c r="D168" s="16">
        <f>C168*100/B168</f>
        <v>91.9495303968639</v>
      </c>
      <c r="E168" s="29" t="e">
        <f>E165+E166</f>
        <v>#REF!</v>
      </c>
      <c r="F168" s="16" t="e">
        <f>E168-B168</f>
        <v>#REF!</v>
      </c>
      <c r="G168" s="16" t="e">
        <f>E168*100/B168</f>
        <v>#REF!</v>
      </c>
      <c r="H168" s="16" t="e">
        <f>E168-C168</f>
        <v>#REF!</v>
      </c>
      <c r="I168" s="16" t="e">
        <f>E168*100/C168</f>
        <v>#REF!</v>
      </c>
      <c r="J168" s="49"/>
      <c r="K168" s="49"/>
      <c r="L168" s="49"/>
      <c r="M168" s="49"/>
      <c r="N168" s="49"/>
    </row>
    <row r="169" spans="1:14" s="5" customFormat="1" ht="12.75" hidden="1">
      <c r="A169" s="10" t="s">
        <v>243</v>
      </c>
      <c r="B169" s="31"/>
      <c r="C169" s="31"/>
      <c r="D169" s="4"/>
      <c r="E169" s="32"/>
      <c r="F169" s="4"/>
      <c r="G169" s="4"/>
      <c r="H169" s="4"/>
      <c r="I169" s="4"/>
      <c r="J169" s="49"/>
      <c r="K169" s="49"/>
      <c r="L169" s="49"/>
      <c r="M169" s="49"/>
      <c r="N169" s="49"/>
    </row>
    <row r="170" spans="1:9" ht="12.75" hidden="1">
      <c r="A170" s="6"/>
      <c r="B170" s="27"/>
      <c r="C170" s="27"/>
      <c r="D170" s="7"/>
      <c r="E170" s="28"/>
      <c r="F170" s="7"/>
      <c r="G170" s="7"/>
      <c r="H170" s="7"/>
      <c r="I170" s="7"/>
    </row>
    <row r="171" spans="1:14" s="5" customFormat="1" ht="12.75" hidden="1">
      <c r="A171" s="20" t="s">
        <v>162</v>
      </c>
      <c r="B171" s="16">
        <f>B173+B174+B175+B176+B177+B178+B179+B180+B181+B182</f>
        <v>28708986</v>
      </c>
      <c r="C171" s="16">
        <f>C173+C174+C175+C176+C177+C178+C179+C180+C181+C182</f>
        <v>28182417</v>
      </c>
      <c r="D171" s="16">
        <f>C171*100/B171</f>
        <v>98.16583908606177</v>
      </c>
      <c r="E171" s="16">
        <f>SUM(E173:E182)</f>
        <v>36606731</v>
      </c>
      <c r="F171" s="16">
        <f>E171-B171</f>
        <v>7897745</v>
      </c>
      <c r="G171" s="16">
        <f>E171*100/B171</f>
        <v>127.50966195740943</v>
      </c>
      <c r="H171" s="16">
        <f>E171-C171</f>
        <v>8424314</v>
      </c>
      <c r="I171" s="16">
        <f>E171*100/C171</f>
        <v>129.89209193803356</v>
      </c>
      <c r="J171" s="49"/>
      <c r="K171" s="49"/>
      <c r="L171" s="49"/>
      <c r="M171" s="49"/>
      <c r="N171" s="49"/>
    </row>
    <row r="172" spans="1:9" ht="12.75" hidden="1">
      <c r="A172" s="12" t="s">
        <v>163</v>
      </c>
      <c r="B172" s="34"/>
      <c r="C172" s="34"/>
      <c r="D172" s="7"/>
      <c r="E172" s="30"/>
      <c r="F172" s="7"/>
      <c r="G172" s="7"/>
      <c r="H172" s="7"/>
      <c r="I172" s="7"/>
    </row>
    <row r="173" spans="1:9" ht="26.25" hidden="1">
      <c r="A173" s="12" t="s">
        <v>90</v>
      </c>
      <c r="B173" s="34">
        <v>2114</v>
      </c>
      <c r="C173" s="34">
        <v>2114</v>
      </c>
      <c r="D173" s="7">
        <f aca="true" t="shared" si="40" ref="D173:D182">C173*100/B173</f>
        <v>100</v>
      </c>
      <c r="E173" s="30">
        <v>3259</v>
      </c>
      <c r="F173" s="7">
        <f aca="true" t="shared" si="41" ref="F173:F182">E173-B173</f>
        <v>1145</v>
      </c>
      <c r="G173" s="7">
        <f aca="true" t="shared" si="42" ref="G173:G182">E173*100/B173</f>
        <v>154.162724692526</v>
      </c>
      <c r="H173" s="7">
        <f aca="true" t="shared" si="43" ref="H173:H181">E173-C173</f>
        <v>1145</v>
      </c>
      <c r="I173" s="7">
        <f aca="true" t="shared" si="44" ref="I173:I181">E173*100/C173</f>
        <v>154.162724692526</v>
      </c>
    </row>
    <row r="174" spans="1:9" ht="26.25" hidden="1">
      <c r="A174" s="12" t="s">
        <v>91</v>
      </c>
      <c r="B174" s="34">
        <v>894360</v>
      </c>
      <c r="C174" s="34">
        <f>885881+8479</f>
        <v>894360</v>
      </c>
      <c r="D174" s="7">
        <f t="shared" si="40"/>
        <v>100</v>
      </c>
      <c r="E174" s="30">
        <v>1094101</v>
      </c>
      <c r="F174" s="7">
        <f t="shared" si="41"/>
        <v>199741</v>
      </c>
      <c r="G174" s="7">
        <f t="shared" si="42"/>
        <v>122.33340042041236</v>
      </c>
      <c r="H174" s="7">
        <f t="shared" si="43"/>
        <v>199741</v>
      </c>
      <c r="I174" s="7">
        <f t="shared" si="44"/>
        <v>122.33340042041236</v>
      </c>
    </row>
    <row r="175" spans="1:9" ht="39" hidden="1">
      <c r="A175" s="12" t="s">
        <v>94</v>
      </c>
      <c r="B175" s="34">
        <v>900186</v>
      </c>
      <c r="C175" s="34">
        <f>890517+9669</f>
        <v>900186</v>
      </c>
      <c r="D175" s="7">
        <f t="shared" si="40"/>
        <v>100</v>
      </c>
      <c r="E175" s="30">
        <v>1277717</v>
      </c>
      <c r="F175" s="7">
        <f t="shared" si="41"/>
        <v>377531</v>
      </c>
      <c r="G175" s="7">
        <f t="shared" si="42"/>
        <v>141.93922144978927</v>
      </c>
      <c r="H175" s="7">
        <f t="shared" si="43"/>
        <v>377531</v>
      </c>
      <c r="I175" s="7">
        <f t="shared" si="44"/>
        <v>141.93922144978927</v>
      </c>
    </row>
    <row r="176" spans="1:9" ht="12.75" hidden="1">
      <c r="A176" s="12" t="s">
        <v>164</v>
      </c>
      <c r="B176" s="34">
        <v>1151718</v>
      </c>
      <c r="C176" s="34">
        <v>1151718</v>
      </c>
      <c r="D176" s="7">
        <f t="shared" si="40"/>
        <v>100</v>
      </c>
      <c r="E176" s="30">
        <v>1592344</v>
      </c>
      <c r="F176" s="7">
        <f t="shared" si="41"/>
        <v>440626</v>
      </c>
      <c r="G176" s="7">
        <f t="shared" si="42"/>
        <v>138.25814999852395</v>
      </c>
      <c r="H176" s="7">
        <f t="shared" si="43"/>
        <v>440626</v>
      </c>
      <c r="I176" s="7">
        <f t="shared" si="44"/>
        <v>138.25814999852395</v>
      </c>
    </row>
    <row r="177" spans="1:9" ht="26.25" hidden="1">
      <c r="A177" s="12" t="s">
        <v>92</v>
      </c>
      <c r="B177" s="34">
        <v>2394370</v>
      </c>
      <c r="C177" s="34">
        <f>2389320+5050</f>
        <v>2394370</v>
      </c>
      <c r="D177" s="7">
        <f t="shared" si="40"/>
        <v>100</v>
      </c>
      <c r="E177" s="30">
        <v>3221741</v>
      </c>
      <c r="F177" s="7">
        <f t="shared" si="41"/>
        <v>827371</v>
      </c>
      <c r="G177" s="7">
        <f t="shared" si="42"/>
        <v>134.55485158935335</v>
      </c>
      <c r="H177" s="7">
        <f t="shared" si="43"/>
        <v>827371</v>
      </c>
      <c r="I177" s="7">
        <f t="shared" si="44"/>
        <v>134.55485158935335</v>
      </c>
    </row>
    <row r="178" spans="1:9" ht="30" customHeight="1" hidden="1">
      <c r="A178" s="12" t="s">
        <v>165</v>
      </c>
      <c r="B178" s="34">
        <v>67921</v>
      </c>
      <c r="C178" s="34">
        <v>67921</v>
      </c>
      <c r="D178" s="7">
        <f t="shared" si="40"/>
        <v>100</v>
      </c>
      <c r="E178" s="30">
        <v>96791</v>
      </c>
      <c r="F178" s="7">
        <f t="shared" si="41"/>
        <v>28870</v>
      </c>
      <c r="G178" s="7">
        <f t="shared" si="42"/>
        <v>142.50526346785236</v>
      </c>
      <c r="H178" s="7">
        <f t="shared" si="43"/>
        <v>28870</v>
      </c>
      <c r="I178" s="7">
        <f t="shared" si="44"/>
        <v>142.50526346785236</v>
      </c>
    </row>
    <row r="179" spans="1:9" ht="12.75" hidden="1">
      <c r="A179" s="9" t="s">
        <v>93</v>
      </c>
      <c r="B179" s="7">
        <v>209500</v>
      </c>
      <c r="C179" s="7">
        <v>209500</v>
      </c>
      <c r="D179" s="7">
        <f t="shared" si="40"/>
        <v>100</v>
      </c>
      <c r="E179" s="30">
        <v>9780</v>
      </c>
      <c r="F179" s="7">
        <f t="shared" si="41"/>
        <v>-199720</v>
      </c>
      <c r="G179" s="7">
        <f t="shared" si="42"/>
        <v>4.6682577565632455</v>
      </c>
      <c r="H179" s="7">
        <f t="shared" si="43"/>
        <v>-199720</v>
      </c>
      <c r="I179" s="7">
        <f t="shared" si="44"/>
        <v>4.6682577565632455</v>
      </c>
    </row>
    <row r="180" spans="1:9" ht="12.75" hidden="1">
      <c r="A180" s="12" t="s">
        <v>166</v>
      </c>
      <c r="B180" s="34">
        <v>10032000</v>
      </c>
      <c r="C180" s="34">
        <v>10032000</v>
      </c>
      <c r="D180" s="7">
        <f t="shared" si="40"/>
        <v>100</v>
      </c>
      <c r="E180" s="30">
        <v>12568000</v>
      </c>
      <c r="F180" s="7">
        <f t="shared" si="41"/>
        <v>2536000</v>
      </c>
      <c r="G180" s="7">
        <f t="shared" si="42"/>
        <v>125.27910685805422</v>
      </c>
      <c r="H180" s="7">
        <f t="shared" si="43"/>
        <v>2536000</v>
      </c>
      <c r="I180" s="7">
        <f t="shared" si="44"/>
        <v>125.27910685805422</v>
      </c>
    </row>
    <row r="181" spans="1:9" ht="12.75" hidden="1">
      <c r="A181" s="12" t="s">
        <v>167</v>
      </c>
      <c r="B181" s="34">
        <v>1555107</v>
      </c>
      <c r="C181" s="34">
        <v>1555107</v>
      </c>
      <c r="D181" s="7">
        <f t="shared" si="40"/>
        <v>100</v>
      </c>
      <c r="E181" s="30">
        <v>1555107</v>
      </c>
      <c r="F181" s="7">
        <f t="shared" si="41"/>
        <v>0</v>
      </c>
      <c r="G181" s="7">
        <f t="shared" si="42"/>
        <v>100</v>
      </c>
      <c r="H181" s="7">
        <f t="shared" si="43"/>
        <v>0</v>
      </c>
      <c r="I181" s="7">
        <f t="shared" si="44"/>
        <v>100</v>
      </c>
    </row>
    <row r="182" spans="1:9" ht="12.75" hidden="1">
      <c r="A182" s="12" t="s">
        <v>168</v>
      </c>
      <c r="B182" s="34">
        <v>11501710</v>
      </c>
      <c r="C182" s="34">
        <f>4081083+375064+29602+26190+6463202</f>
        <v>10975141</v>
      </c>
      <c r="D182" s="7">
        <f t="shared" si="40"/>
        <v>95.42181988591261</v>
      </c>
      <c r="E182" s="30">
        <v>15187891</v>
      </c>
      <c r="F182" s="7">
        <f t="shared" si="41"/>
        <v>3686181</v>
      </c>
      <c r="G182" s="7">
        <f t="shared" si="42"/>
        <v>132.04898228176506</v>
      </c>
      <c r="H182" s="7">
        <f>E182-C182</f>
        <v>4212750</v>
      </c>
      <c r="I182" s="7">
        <f>E182*100/C182</f>
        <v>138.38447269151257</v>
      </c>
    </row>
    <row r="183" spans="1:9" ht="12.75" hidden="1">
      <c r="A183" s="12"/>
      <c r="B183" s="34"/>
      <c r="C183" s="34"/>
      <c r="D183" s="7"/>
      <c r="E183" s="30"/>
      <c r="F183" s="7"/>
      <c r="G183" s="7"/>
      <c r="H183" s="7"/>
      <c r="I183" s="7"/>
    </row>
    <row r="184" spans="1:14" s="5" customFormat="1" ht="12.75" hidden="1">
      <c r="A184" s="20" t="s">
        <v>193</v>
      </c>
      <c r="B184" s="16">
        <f>B186</f>
        <v>12972</v>
      </c>
      <c r="C184" s="16">
        <f>C186</f>
        <v>12972</v>
      </c>
      <c r="D184" s="16">
        <f>C184*100/B184</f>
        <v>100</v>
      </c>
      <c r="E184" s="16">
        <f>E186</f>
        <v>38595</v>
      </c>
      <c r="F184" s="16">
        <f>E184-B184</f>
        <v>25623</v>
      </c>
      <c r="G184" s="16">
        <f>E184*100/B184</f>
        <v>297.5254394079556</v>
      </c>
      <c r="H184" s="16">
        <f>E184-C184</f>
        <v>25623</v>
      </c>
      <c r="I184" s="16">
        <f>E184*100/C184</f>
        <v>297.5254394079556</v>
      </c>
      <c r="J184" s="49"/>
      <c r="K184" s="49"/>
      <c r="L184" s="49"/>
      <c r="M184" s="49"/>
      <c r="N184" s="49"/>
    </row>
    <row r="185" spans="1:9" ht="12.75" hidden="1">
      <c r="A185" s="12" t="s">
        <v>163</v>
      </c>
      <c r="B185" s="34"/>
      <c r="C185" s="34"/>
      <c r="D185" s="7"/>
      <c r="E185" s="30"/>
      <c r="F185" s="7"/>
      <c r="G185" s="7"/>
      <c r="H185" s="7"/>
      <c r="I185" s="7"/>
    </row>
    <row r="186" spans="1:9" ht="12.75" hidden="1">
      <c r="A186" s="12" t="s">
        <v>117</v>
      </c>
      <c r="B186" s="34">
        <v>12972</v>
      </c>
      <c r="C186" s="34">
        <v>12972</v>
      </c>
      <c r="D186" s="7">
        <f>C186*100/B186</f>
        <v>100</v>
      </c>
      <c r="E186" s="30">
        <v>38595</v>
      </c>
      <c r="F186" s="7">
        <f>E186-B186</f>
        <v>25623</v>
      </c>
      <c r="G186" s="7">
        <f>E186*100/B186</f>
        <v>297.5254394079556</v>
      </c>
      <c r="H186" s="7">
        <f>E186-C186</f>
        <v>25623</v>
      </c>
      <c r="I186" s="7">
        <f>E186*100/C186</f>
        <v>297.5254394079556</v>
      </c>
    </row>
    <row r="187" spans="1:9" ht="12.75" hidden="1">
      <c r="A187" s="12"/>
      <c r="B187" s="34"/>
      <c r="C187" s="34"/>
      <c r="D187" s="7"/>
      <c r="E187" s="30"/>
      <c r="F187" s="7"/>
      <c r="G187" s="7"/>
      <c r="H187" s="7"/>
      <c r="I187" s="7"/>
    </row>
    <row r="188" spans="1:14" s="5" customFormat="1" ht="12.75" hidden="1">
      <c r="A188" s="20" t="s">
        <v>169</v>
      </c>
      <c r="B188" s="16">
        <f>SUM(B190:B195)</f>
        <v>17041701</v>
      </c>
      <c r="C188" s="16">
        <f>SUM(C190:C195)</f>
        <v>16821701</v>
      </c>
      <c r="D188" s="16">
        <f>C188*100/B188</f>
        <v>98.70904905560776</v>
      </c>
      <c r="E188" s="16">
        <f>SUM(E190:E195)</f>
        <v>21988891</v>
      </c>
      <c r="F188" s="16">
        <f>E188-B188</f>
        <v>4947190</v>
      </c>
      <c r="G188" s="16">
        <f>E188*100/B188</f>
        <v>129.02990728448998</v>
      </c>
      <c r="H188" s="16">
        <f>E188-C188</f>
        <v>5167190</v>
      </c>
      <c r="I188" s="16">
        <f>E188*100/C188</f>
        <v>130.71740485697612</v>
      </c>
      <c r="J188" s="49"/>
      <c r="K188" s="49"/>
      <c r="L188" s="49"/>
      <c r="M188" s="49"/>
      <c r="N188" s="49"/>
    </row>
    <row r="189" spans="1:9" ht="12.75" hidden="1">
      <c r="A189" s="12" t="s">
        <v>163</v>
      </c>
      <c r="B189" s="34"/>
      <c r="C189" s="34"/>
      <c r="D189" s="7"/>
      <c r="E189" s="30"/>
      <c r="F189" s="7"/>
      <c r="G189" s="7"/>
      <c r="H189" s="7"/>
      <c r="I189" s="7"/>
    </row>
    <row r="190" spans="1:9" ht="12.75" hidden="1">
      <c r="A190" s="12" t="s">
        <v>170</v>
      </c>
      <c r="B190" s="34">
        <v>12332807</v>
      </c>
      <c r="C190" s="34">
        <f>11764572+576585-8350</f>
        <v>12332807</v>
      </c>
      <c r="D190" s="7">
        <f>C190*100/B190</f>
        <v>100</v>
      </c>
      <c r="E190" s="30">
        <v>17462718</v>
      </c>
      <c r="F190" s="7">
        <f>E190-B190</f>
        <v>5129911</v>
      </c>
      <c r="G190" s="7">
        <f>E190*100/B190</f>
        <v>141.59564809536062</v>
      </c>
      <c r="H190" s="7">
        <f aca="true" t="shared" si="45" ref="H190:H195">E190-C190</f>
        <v>5129911</v>
      </c>
      <c r="I190" s="7">
        <f>E190*100/C190</f>
        <v>141.59564809536062</v>
      </c>
    </row>
    <row r="191" spans="1:9" ht="12.75" hidden="1">
      <c r="A191" s="12" t="s">
        <v>26</v>
      </c>
      <c r="B191" s="34"/>
      <c r="C191" s="34"/>
      <c r="D191" s="7"/>
      <c r="E191" s="30"/>
      <c r="F191" s="7"/>
      <c r="G191" s="7"/>
      <c r="H191" s="7"/>
      <c r="I191" s="7"/>
    </row>
    <row r="192" spans="1:9" ht="26.25" hidden="1">
      <c r="A192" s="12" t="s">
        <v>27</v>
      </c>
      <c r="B192" s="34">
        <v>67662</v>
      </c>
      <c r="C192" s="34">
        <v>67662</v>
      </c>
      <c r="D192" s="7">
        <f>C192*100/B192</f>
        <v>100</v>
      </c>
      <c r="E192" s="30">
        <v>96154</v>
      </c>
      <c r="F192" s="7">
        <f>E192-B192</f>
        <v>28492</v>
      </c>
      <c r="G192" s="7">
        <f>E192*100/B192</f>
        <v>142.10930803109574</v>
      </c>
      <c r="H192" s="7">
        <f>E192-C192</f>
        <v>28492</v>
      </c>
      <c r="I192" s="7">
        <f>E192*100/C192</f>
        <v>142.10930803109574</v>
      </c>
    </row>
    <row r="193" spans="1:9" ht="26.25" hidden="1">
      <c r="A193" s="12" t="s">
        <v>95</v>
      </c>
      <c r="B193" s="34">
        <v>1021168</v>
      </c>
      <c r="C193" s="34">
        <v>1021168</v>
      </c>
      <c r="D193" s="7">
        <f>C193*100/B193</f>
        <v>100</v>
      </c>
      <c r="E193" s="30">
        <v>1527215</v>
      </c>
      <c r="F193" s="7">
        <f>E193-B193</f>
        <v>506047</v>
      </c>
      <c r="G193" s="7">
        <f>E193*100/B193</f>
        <v>149.555704839948</v>
      </c>
      <c r="H193" s="7">
        <f t="shared" si="45"/>
        <v>506047</v>
      </c>
      <c r="I193" s="7">
        <f>E193*100/C193</f>
        <v>149.555704839948</v>
      </c>
    </row>
    <row r="194" spans="1:9" ht="12.75" hidden="1">
      <c r="A194" s="12" t="s">
        <v>96</v>
      </c>
      <c r="B194" s="34">
        <v>3519964</v>
      </c>
      <c r="C194" s="34">
        <f>3253113+46851</f>
        <v>3299964</v>
      </c>
      <c r="D194" s="7">
        <f>C194*100/B194</f>
        <v>93.74993607889172</v>
      </c>
      <c r="E194" s="30">
        <v>2883462</v>
      </c>
      <c r="F194" s="7">
        <f>E194-B194</f>
        <v>-636502</v>
      </c>
      <c r="G194" s="7">
        <f>E194*100/B194</f>
        <v>81.91737188221244</v>
      </c>
      <c r="H194" s="7">
        <f t="shared" si="45"/>
        <v>-416502</v>
      </c>
      <c r="I194" s="7">
        <f>E194*100/C194</f>
        <v>87.37858958461365</v>
      </c>
    </row>
    <row r="195" spans="1:9" ht="26.25" hidden="1">
      <c r="A195" s="12" t="s">
        <v>171</v>
      </c>
      <c r="B195" s="34">
        <v>100100</v>
      </c>
      <c r="C195" s="34">
        <v>100100</v>
      </c>
      <c r="D195" s="7">
        <f>C195*100/B195</f>
        <v>100</v>
      </c>
      <c r="E195" s="30">
        <v>19342</v>
      </c>
      <c r="F195" s="7">
        <f>E195-B195</f>
        <v>-80758</v>
      </c>
      <c r="G195" s="7">
        <f>E195*100/B195</f>
        <v>19.322677322677322</v>
      </c>
      <c r="H195" s="7">
        <f t="shared" si="45"/>
        <v>-80758</v>
      </c>
      <c r="I195" s="7">
        <f>E195*100/C195</f>
        <v>19.322677322677322</v>
      </c>
    </row>
    <row r="196" spans="1:9" ht="12.75" hidden="1">
      <c r="A196" s="12"/>
      <c r="B196" s="34"/>
      <c r="C196" s="34"/>
      <c r="D196" s="7"/>
      <c r="E196" s="30"/>
      <c r="F196" s="7"/>
      <c r="G196" s="7"/>
      <c r="H196" s="7"/>
      <c r="I196" s="7"/>
    </row>
    <row r="197" spans="1:14" s="5" customFormat="1" ht="12.75" hidden="1">
      <c r="A197" s="20" t="s">
        <v>172</v>
      </c>
      <c r="B197" s="16">
        <f>SUM(B199:B209)</f>
        <v>43047236</v>
      </c>
      <c r="C197" s="16">
        <f>SUM(C199:C209)</f>
        <v>43027360</v>
      </c>
      <c r="D197" s="16">
        <f>C197*100/B197</f>
        <v>99.95382746525236</v>
      </c>
      <c r="E197" s="16">
        <f>SUM(E199:E209)</f>
        <v>47873691</v>
      </c>
      <c r="F197" s="16">
        <f>E197-B197</f>
        <v>4826455</v>
      </c>
      <c r="G197" s="16">
        <f>E197*100/B197</f>
        <v>111.21199744392416</v>
      </c>
      <c r="H197" s="16">
        <f>E197-C197</f>
        <v>4846331</v>
      </c>
      <c r="I197" s="16">
        <f>E197*100/C197</f>
        <v>111.26337056235846</v>
      </c>
      <c r="J197" s="49"/>
      <c r="K197" s="49"/>
      <c r="L197" s="49"/>
      <c r="M197" s="49"/>
      <c r="N197" s="49"/>
    </row>
    <row r="198" spans="1:9" ht="12.75" hidden="1">
      <c r="A198" s="12" t="s">
        <v>163</v>
      </c>
      <c r="B198" s="34"/>
      <c r="C198" s="34"/>
      <c r="D198" s="7"/>
      <c r="E198" s="30"/>
      <c r="F198" s="7"/>
      <c r="G198" s="7"/>
      <c r="H198" s="7"/>
      <c r="I198" s="7"/>
    </row>
    <row r="199" spans="1:9" ht="12.75" hidden="1">
      <c r="A199" s="12" t="s">
        <v>173</v>
      </c>
      <c r="B199" s="34">
        <v>1262429</v>
      </c>
      <c r="C199" s="34">
        <f>719352+542017+1060</f>
        <v>1262429</v>
      </c>
      <c r="D199" s="7">
        <f>C199*100/B199</f>
        <v>100</v>
      </c>
      <c r="E199" s="30">
        <v>1552835</v>
      </c>
      <c r="F199" s="7">
        <f aca="true" t="shared" si="46" ref="F199:F209">E199-B199</f>
        <v>290406</v>
      </c>
      <c r="G199" s="7">
        <f>E199*100/B199</f>
        <v>123.00374912173278</v>
      </c>
      <c r="H199" s="7">
        <f>E199-C199</f>
        <v>290406</v>
      </c>
      <c r="I199" s="7">
        <f>E199*100/C199</f>
        <v>123.00374912173278</v>
      </c>
    </row>
    <row r="200" spans="1:9" ht="12.75" hidden="1">
      <c r="A200" s="12" t="s">
        <v>190</v>
      </c>
      <c r="B200" s="34">
        <v>139333</v>
      </c>
      <c r="C200" s="34">
        <f>139180+153</f>
        <v>139333</v>
      </c>
      <c r="D200" s="7">
        <f>C200*100/B200</f>
        <v>100</v>
      </c>
      <c r="E200" s="30">
        <v>180440</v>
      </c>
      <c r="F200" s="7">
        <f t="shared" si="46"/>
        <v>41107</v>
      </c>
      <c r="G200" s="7">
        <f>E200*100/B200</f>
        <v>129.50270215957454</v>
      </c>
      <c r="H200" s="7">
        <f>E200-C200</f>
        <v>41107</v>
      </c>
      <c r="I200" s="7">
        <f>E200*100/C200</f>
        <v>129.50270215957454</v>
      </c>
    </row>
    <row r="201" spans="1:9" ht="12.75" hidden="1">
      <c r="A201" s="26" t="s">
        <v>191</v>
      </c>
      <c r="B201" s="34"/>
      <c r="C201" s="34"/>
      <c r="D201" s="7"/>
      <c r="E201" s="30">
        <v>7000</v>
      </c>
      <c r="F201" s="7">
        <f t="shared" si="46"/>
        <v>7000</v>
      </c>
      <c r="G201" s="7"/>
      <c r="H201" s="7">
        <f>E201-C201</f>
        <v>7000</v>
      </c>
      <c r="I201" s="7"/>
    </row>
    <row r="202" spans="1:9" ht="12.75" hidden="1">
      <c r="A202" s="12" t="s">
        <v>174</v>
      </c>
      <c r="B202" s="34">
        <v>2300722</v>
      </c>
      <c r="C202" s="34">
        <f>131789+2168933</f>
        <v>2300722</v>
      </c>
      <c r="D202" s="7">
        <f aca="true" t="shared" si="47" ref="D202:D209">C202*100/B202</f>
        <v>100</v>
      </c>
      <c r="E202" s="30">
        <v>7905291</v>
      </c>
      <c r="F202" s="7">
        <f t="shared" si="46"/>
        <v>5604569</v>
      </c>
      <c r="G202" s="7">
        <f aca="true" t="shared" si="48" ref="G202:G209">E202*100/B202</f>
        <v>343.60044368680786</v>
      </c>
      <c r="H202" s="7">
        <f aca="true" t="shared" si="49" ref="H202:H262">E202-C202</f>
        <v>5604569</v>
      </c>
      <c r="I202" s="7">
        <f aca="true" t="shared" si="50" ref="I202:I263">E202*100/C202</f>
        <v>343.60044368680786</v>
      </c>
    </row>
    <row r="203" spans="1:9" ht="12.75" hidden="1">
      <c r="A203" s="12" t="s">
        <v>116</v>
      </c>
      <c r="B203" s="34">
        <v>46277</v>
      </c>
      <c r="C203" s="34">
        <v>32711</v>
      </c>
      <c r="D203" s="7">
        <f t="shared" si="47"/>
        <v>70.68522160036304</v>
      </c>
      <c r="E203" s="30">
        <v>51756</v>
      </c>
      <c r="F203" s="7">
        <f t="shared" si="46"/>
        <v>5479</v>
      </c>
      <c r="G203" s="7">
        <f t="shared" si="48"/>
        <v>111.83957473474945</v>
      </c>
      <c r="H203" s="7">
        <f t="shared" si="49"/>
        <v>19045</v>
      </c>
      <c r="I203" s="7">
        <f t="shared" si="50"/>
        <v>158.22200483017946</v>
      </c>
    </row>
    <row r="204" spans="1:9" ht="12.75" hidden="1">
      <c r="A204" s="12" t="s">
        <v>175</v>
      </c>
      <c r="B204" s="34"/>
      <c r="C204" s="34"/>
      <c r="D204" s="7" t="e">
        <f t="shared" si="47"/>
        <v>#DIV/0!</v>
      </c>
      <c r="E204" s="30"/>
      <c r="F204" s="7">
        <f t="shared" si="46"/>
        <v>0</v>
      </c>
      <c r="G204" s="7" t="e">
        <f t="shared" si="48"/>
        <v>#DIV/0!</v>
      </c>
      <c r="H204" s="7">
        <f t="shared" si="49"/>
        <v>0</v>
      </c>
      <c r="I204" s="7" t="e">
        <f t="shared" si="50"/>
        <v>#DIV/0!</v>
      </c>
    </row>
    <row r="205" spans="1:9" ht="12.75" hidden="1">
      <c r="A205" s="12" t="s">
        <v>176</v>
      </c>
      <c r="B205" s="34">
        <v>2155251</v>
      </c>
      <c r="C205" s="34">
        <f>442920+1712331</f>
        <v>2155251</v>
      </c>
      <c r="D205" s="7">
        <f t="shared" si="47"/>
        <v>100</v>
      </c>
      <c r="E205" s="30">
        <v>3389225</v>
      </c>
      <c r="F205" s="7">
        <f t="shared" si="46"/>
        <v>1233974</v>
      </c>
      <c r="G205" s="7">
        <f t="shared" si="48"/>
        <v>157.25430587899044</v>
      </c>
      <c r="H205" s="7">
        <f t="shared" si="49"/>
        <v>1233974</v>
      </c>
      <c r="I205" s="7">
        <f t="shared" si="50"/>
        <v>157.25430587899044</v>
      </c>
    </row>
    <row r="206" spans="1:9" ht="12.75" hidden="1">
      <c r="A206" s="12" t="s">
        <v>244</v>
      </c>
      <c r="B206" s="34">
        <v>31438518</v>
      </c>
      <c r="C206" s="34">
        <v>31438518</v>
      </c>
      <c r="D206" s="7">
        <f t="shared" si="47"/>
        <v>100</v>
      </c>
      <c r="E206" s="30">
        <v>26878466</v>
      </c>
      <c r="F206" s="7">
        <f t="shared" si="46"/>
        <v>-4560052</v>
      </c>
      <c r="G206" s="7">
        <f t="shared" si="48"/>
        <v>85.49533409939998</v>
      </c>
      <c r="H206" s="7">
        <f t="shared" si="49"/>
        <v>-4560052</v>
      </c>
      <c r="I206" s="7">
        <f t="shared" si="50"/>
        <v>85.49533409939998</v>
      </c>
    </row>
    <row r="207" spans="1:9" ht="12.75" hidden="1">
      <c r="A207" s="12" t="s">
        <v>177</v>
      </c>
      <c r="B207" s="34">
        <v>473523</v>
      </c>
      <c r="C207" s="34">
        <f>82000+391523</f>
        <v>473523</v>
      </c>
      <c r="D207" s="7">
        <f t="shared" si="47"/>
        <v>100</v>
      </c>
      <c r="E207" s="30">
        <v>443999</v>
      </c>
      <c r="F207" s="7">
        <f t="shared" si="46"/>
        <v>-29524</v>
      </c>
      <c r="G207" s="7">
        <f t="shared" si="48"/>
        <v>93.76503358865357</v>
      </c>
      <c r="H207" s="7">
        <f t="shared" si="49"/>
        <v>-29524</v>
      </c>
      <c r="I207" s="7">
        <f t="shared" si="50"/>
        <v>93.76503358865357</v>
      </c>
    </row>
    <row r="208" spans="1:9" ht="12.75" hidden="1">
      <c r="A208" s="12" t="s">
        <v>178</v>
      </c>
      <c r="B208" s="34">
        <v>98065</v>
      </c>
      <c r="C208" s="34">
        <v>91755</v>
      </c>
      <c r="D208" s="7">
        <f t="shared" si="47"/>
        <v>93.56549227553154</v>
      </c>
      <c r="E208" s="30">
        <v>124000</v>
      </c>
      <c r="F208" s="7">
        <f t="shared" si="46"/>
        <v>25935</v>
      </c>
      <c r="G208" s="7">
        <f t="shared" si="48"/>
        <v>126.44674450619488</v>
      </c>
      <c r="H208" s="7">
        <f>E208-C208</f>
        <v>32245</v>
      </c>
      <c r="I208" s="7">
        <f>E208*100/C208</f>
        <v>135.1424990463735</v>
      </c>
    </row>
    <row r="209" spans="1:9" ht="12.75" hidden="1">
      <c r="A209" s="12" t="s">
        <v>179</v>
      </c>
      <c r="B209" s="34">
        <v>5133118</v>
      </c>
      <c r="C209" s="34">
        <f>556978+184237+6896+3824070+256+134055+6896+53397+494652-128319</f>
        <v>5133118</v>
      </c>
      <c r="D209" s="7">
        <f t="shared" si="47"/>
        <v>100</v>
      </c>
      <c r="E209" s="30">
        <v>7340679</v>
      </c>
      <c r="F209" s="7">
        <f t="shared" si="46"/>
        <v>2207561</v>
      </c>
      <c r="G209" s="7">
        <f t="shared" si="48"/>
        <v>143.00623909288663</v>
      </c>
      <c r="H209" s="7">
        <f t="shared" si="49"/>
        <v>2207561</v>
      </c>
      <c r="I209" s="7">
        <f t="shared" si="50"/>
        <v>143.00623909288663</v>
      </c>
    </row>
    <row r="210" spans="1:9" ht="12.75" hidden="1">
      <c r="A210" s="12"/>
      <c r="B210" s="34"/>
      <c r="C210" s="34"/>
      <c r="D210" s="7"/>
      <c r="E210" s="30"/>
      <c r="F210" s="7"/>
      <c r="G210" s="7"/>
      <c r="H210" s="7"/>
      <c r="I210" s="7"/>
    </row>
    <row r="211" spans="1:14" s="5" customFormat="1" ht="12.75" hidden="1">
      <c r="A211" s="20" t="s">
        <v>180</v>
      </c>
      <c r="B211" s="16">
        <f>B213+B214+B215</f>
        <v>2617399</v>
      </c>
      <c r="C211" s="16">
        <f>C213+C214+C215</f>
        <v>2617399</v>
      </c>
      <c r="D211" s="16">
        <f>C211*100/B211</f>
        <v>100</v>
      </c>
      <c r="E211" s="16">
        <f>E213+E214+E215</f>
        <v>4574464</v>
      </c>
      <c r="F211" s="16">
        <f>E211-B211</f>
        <v>1957065</v>
      </c>
      <c r="G211" s="16">
        <f>E211*100/B211</f>
        <v>174.77136653601534</v>
      </c>
      <c r="H211" s="16">
        <f t="shared" si="49"/>
        <v>1957065</v>
      </c>
      <c r="I211" s="16">
        <f t="shared" si="50"/>
        <v>174.77136653601534</v>
      </c>
      <c r="J211" s="49"/>
      <c r="K211" s="49"/>
      <c r="L211" s="49"/>
      <c r="M211" s="49"/>
      <c r="N211" s="49"/>
    </row>
    <row r="212" spans="1:9" ht="12.75" hidden="1">
      <c r="A212" s="12" t="s">
        <v>163</v>
      </c>
      <c r="B212" s="34"/>
      <c r="C212" s="34"/>
      <c r="D212" s="7"/>
      <c r="E212" s="30"/>
      <c r="F212" s="7"/>
      <c r="G212" s="7"/>
      <c r="H212" s="7"/>
      <c r="I212" s="7"/>
    </row>
    <row r="213" spans="1:9" ht="12.75" hidden="1">
      <c r="A213" s="12" t="s">
        <v>181</v>
      </c>
      <c r="B213" s="34">
        <v>477000</v>
      </c>
      <c r="C213" s="34">
        <v>477000</v>
      </c>
      <c r="D213" s="7">
        <f>C213*100/B213</f>
        <v>100</v>
      </c>
      <c r="E213" s="30">
        <v>536000</v>
      </c>
      <c r="F213" s="7">
        <f>E213-B213</f>
        <v>59000</v>
      </c>
      <c r="G213" s="7">
        <f>E213*100/B213</f>
        <v>112.36897274633124</v>
      </c>
      <c r="H213" s="7">
        <f t="shared" si="49"/>
        <v>59000</v>
      </c>
      <c r="I213" s="7">
        <f t="shared" si="50"/>
        <v>112.36897274633124</v>
      </c>
    </row>
    <row r="214" spans="1:9" ht="12.75" hidden="1">
      <c r="A214" s="12" t="s">
        <v>182</v>
      </c>
      <c r="B214" s="34">
        <v>1087133</v>
      </c>
      <c r="C214" s="34">
        <f>72000+1015133</f>
        <v>1087133</v>
      </c>
      <c r="D214" s="7">
        <f>C214*100/B214</f>
        <v>100</v>
      </c>
      <c r="E214" s="30">
        <v>2666275</v>
      </c>
      <c r="F214" s="7">
        <f>E214-B214</f>
        <v>1579142</v>
      </c>
      <c r="G214" s="7">
        <f>E214*100/B214</f>
        <v>245.25747999554793</v>
      </c>
      <c r="H214" s="7">
        <f>E214-C214</f>
        <v>1579142</v>
      </c>
      <c r="I214" s="7">
        <f>E214*100/C214</f>
        <v>245.25747999554793</v>
      </c>
    </row>
    <row r="215" spans="1:9" ht="12.75" hidden="1">
      <c r="A215" s="12" t="s">
        <v>183</v>
      </c>
      <c r="B215" s="34">
        <v>1053266</v>
      </c>
      <c r="C215" s="34">
        <f>901726+147910+3130+500</f>
        <v>1053266</v>
      </c>
      <c r="D215" s="7">
        <f>C215*100/B215</f>
        <v>100</v>
      </c>
      <c r="E215" s="30">
        <v>1372189</v>
      </c>
      <c r="F215" s="7">
        <f>E215-B215</f>
        <v>318923</v>
      </c>
      <c r="G215" s="7">
        <f>E215*100/B215</f>
        <v>130.27943558417343</v>
      </c>
      <c r="H215" s="7">
        <f t="shared" si="49"/>
        <v>318923</v>
      </c>
      <c r="I215" s="7">
        <f t="shared" si="50"/>
        <v>130.27943558417343</v>
      </c>
    </row>
    <row r="216" spans="1:9" ht="12.75" hidden="1">
      <c r="A216" s="12"/>
      <c r="B216" s="34"/>
      <c r="C216" s="34"/>
      <c r="D216" s="7"/>
      <c r="E216" s="30"/>
      <c r="F216" s="7"/>
      <c r="G216" s="7"/>
      <c r="H216" s="7"/>
      <c r="I216" s="7"/>
    </row>
    <row r="217" spans="1:14" s="5" customFormat="1" ht="12.75" hidden="1">
      <c r="A217" s="20" t="s">
        <v>184</v>
      </c>
      <c r="B217" s="16">
        <f>SUM(B219:B221)</f>
        <v>451855</v>
      </c>
      <c r="C217" s="16">
        <f>SUM(C219:C221)</f>
        <v>444389</v>
      </c>
      <c r="D217" s="16">
        <f>C217*100/B217</f>
        <v>98.34770003651614</v>
      </c>
      <c r="E217" s="16">
        <f>E219+E220+E221</f>
        <v>599941</v>
      </c>
      <c r="F217" s="16">
        <f>E217-B217</f>
        <v>148086</v>
      </c>
      <c r="G217" s="16">
        <f>E217*100/B217</f>
        <v>132.7729028117427</v>
      </c>
      <c r="H217" s="16">
        <f t="shared" si="49"/>
        <v>155552</v>
      </c>
      <c r="I217" s="16">
        <f t="shared" si="50"/>
        <v>135.0035666949452</v>
      </c>
      <c r="J217" s="49"/>
      <c r="K217" s="49"/>
      <c r="L217" s="49"/>
      <c r="M217" s="49"/>
      <c r="N217" s="49"/>
    </row>
    <row r="218" spans="1:9" ht="12.75" hidden="1">
      <c r="A218" s="12" t="s">
        <v>163</v>
      </c>
      <c r="B218" s="34"/>
      <c r="C218" s="34"/>
      <c r="D218" s="7"/>
      <c r="E218" s="30"/>
      <c r="F218" s="7"/>
      <c r="G218" s="7"/>
      <c r="H218" s="7"/>
      <c r="I218" s="7"/>
    </row>
    <row r="219" spans="1:9" ht="12.75" hidden="1">
      <c r="A219" s="12" t="s">
        <v>115</v>
      </c>
      <c r="B219" s="34">
        <v>5125</v>
      </c>
      <c r="C219" s="34">
        <v>5125</v>
      </c>
      <c r="D219" s="7">
        <f>C219*100/B219</f>
        <v>100</v>
      </c>
      <c r="E219" s="30">
        <v>504</v>
      </c>
      <c r="F219" s="7">
        <f>E219-B219</f>
        <v>-4621</v>
      </c>
      <c r="G219" s="7">
        <f>E219*100/B219</f>
        <v>9.834146341463414</v>
      </c>
      <c r="H219" s="7">
        <f t="shared" si="49"/>
        <v>-4621</v>
      </c>
      <c r="I219" s="7">
        <f>E219*100/C219</f>
        <v>9.834146341463414</v>
      </c>
    </row>
    <row r="220" spans="1:9" ht="12.75" hidden="1">
      <c r="A220" s="12" t="s">
        <v>185</v>
      </c>
      <c r="B220" s="34"/>
      <c r="C220" s="34"/>
      <c r="D220" s="7" t="e">
        <f>C220*100/B220</f>
        <v>#DIV/0!</v>
      </c>
      <c r="E220" s="30">
        <v>0</v>
      </c>
      <c r="F220" s="7">
        <f>E220-B220</f>
        <v>0</v>
      </c>
      <c r="G220" s="7"/>
      <c r="H220" s="7">
        <f>E220-C220</f>
        <v>0</v>
      </c>
      <c r="I220" s="7"/>
    </row>
    <row r="221" spans="1:9" ht="12.75" hidden="1">
      <c r="A221" s="12" t="s">
        <v>186</v>
      </c>
      <c r="B221" s="34">
        <v>446730</v>
      </c>
      <c r="C221" s="34">
        <f>280161+158253+850</f>
        <v>439264</v>
      </c>
      <c r="D221" s="7">
        <f>C221*100/B221</f>
        <v>98.32874443175967</v>
      </c>
      <c r="E221" s="30">
        <v>599437</v>
      </c>
      <c r="F221" s="7">
        <f>E221-B221</f>
        <v>152707</v>
      </c>
      <c r="G221" s="7">
        <f>E221*100/B221</f>
        <v>134.18328744431759</v>
      </c>
      <c r="H221" s="7">
        <f t="shared" si="49"/>
        <v>160173</v>
      </c>
      <c r="I221" s="7">
        <f t="shared" si="50"/>
        <v>136.463948787062</v>
      </c>
    </row>
    <row r="222" spans="1:9" ht="12.75" hidden="1">
      <c r="A222" s="12"/>
      <c r="B222" s="34"/>
      <c r="C222" s="34"/>
      <c r="D222" s="7"/>
      <c r="E222" s="30"/>
      <c r="F222" s="7"/>
      <c r="G222" s="7"/>
      <c r="H222" s="7"/>
      <c r="I222" s="7"/>
    </row>
    <row r="223" spans="1:14" s="5" customFormat="1" ht="12.75" hidden="1">
      <c r="A223" s="20" t="s">
        <v>187</v>
      </c>
      <c r="B223" s="16">
        <f>SUM(B225:B232)</f>
        <v>16581019</v>
      </c>
      <c r="C223" s="16">
        <f>SUM(C225:C232)</f>
        <v>16581019</v>
      </c>
      <c r="D223" s="16">
        <f>C223*100/B223</f>
        <v>100</v>
      </c>
      <c r="E223" s="16">
        <f>SUM(E225:E232)</f>
        <v>19608221</v>
      </c>
      <c r="F223" s="16">
        <f>E223-B223</f>
        <v>3027202</v>
      </c>
      <c r="G223" s="16">
        <f>E223*100/B223</f>
        <v>118.25703233317566</v>
      </c>
      <c r="H223" s="16">
        <f t="shared" si="49"/>
        <v>3027202</v>
      </c>
      <c r="I223" s="16">
        <f t="shared" si="50"/>
        <v>118.25703233317566</v>
      </c>
      <c r="J223" s="49"/>
      <c r="K223" s="49"/>
      <c r="L223" s="49"/>
      <c r="M223" s="49"/>
      <c r="N223" s="49"/>
    </row>
    <row r="224" spans="1:9" ht="12.75" hidden="1">
      <c r="A224" s="12" t="s">
        <v>163</v>
      </c>
      <c r="B224" s="34"/>
      <c r="C224" s="34"/>
      <c r="D224" s="7"/>
      <c r="E224" s="30"/>
      <c r="F224" s="7"/>
      <c r="G224" s="7"/>
      <c r="H224" s="7"/>
      <c r="I224" s="7"/>
    </row>
    <row r="225" spans="1:9" ht="12.75" hidden="1">
      <c r="A225" s="12" t="s">
        <v>188</v>
      </c>
      <c r="B225" s="34">
        <v>1798637</v>
      </c>
      <c r="C225" s="34">
        <f>1718637+80000</f>
        <v>1798637</v>
      </c>
      <c r="D225" s="7">
        <f aca="true" t="shared" si="51" ref="D225:D232">C225*100/B225</f>
        <v>100</v>
      </c>
      <c r="E225" s="30">
        <v>2035737</v>
      </c>
      <c r="F225" s="7">
        <f aca="true" t="shared" si="52" ref="F225:F232">E225-B225</f>
        <v>237100</v>
      </c>
      <c r="G225" s="7">
        <f aca="true" t="shared" si="53" ref="G225:G232">E225*100/B225</f>
        <v>113.18220408008953</v>
      </c>
      <c r="H225" s="7">
        <f t="shared" si="49"/>
        <v>237100</v>
      </c>
      <c r="I225" s="7">
        <f t="shared" si="50"/>
        <v>113.18220408008953</v>
      </c>
    </row>
    <row r="226" spans="1:9" ht="12.75" hidden="1">
      <c r="A226" s="12" t="s">
        <v>189</v>
      </c>
      <c r="B226" s="34">
        <v>4694172</v>
      </c>
      <c r="C226" s="34">
        <v>4694172</v>
      </c>
      <c r="D226" s="7">
        <f t="shared" si="51"/>
        <v>100</v>
      </c>
      <c r="E226" s="30">
        <v>5345153</v>
      </c>
      <c r="F226" s="7">
        <f t="shared" si="52"/>
        <v>650981</v>
      </c>
      <c r="G226" s="7">
        <f t="shared" si="53"/>
        <v>113.86785571555538</v>
      </c>
      <c r="H226" s="7">
        <f t="shared" si="49"/>
        <v>650981</v>
      </c>
      <c r="I226" s="7">
        <f t="shared" si="50"/>
        <v>113.86785571555538</v>
      </c>
    </row>
    <row r="227" spans="1:9" ht="12.75" hidden="1">
      <c r="A227" s="12" t="s">
        <v>195</v>
      </c>
      <c r="B227" s="34">
        <v>3424213</v>
      </c>
      <c r="C227" s="34">
        <f>3343993+80220</f>
        <v>3424213</v>
      </c>
      <c r="D227" s="7">
        <f t="shared" si="51"/>
        <v>100</v>
      </c>
      <c r="E227" s="30">
        <v>4574043</v>
      </c>
      <c r="F227" s="7">
        <f t="shared" si="52"/>
        <v>1149830</v>
      </c>
      <c r="G227" s="7">
        <f t="shared" si="53"/>
        <v>133.5793947397548</v>
      </c>
      <c r="H227" s="7">
        <f t="shared" si="49"/>
        <v>1149830</v>
      </c>
      <c r="I227" s="7">
        <f t="shared" si="50"/>
        <v>133.5793947397548</v>
      </c>
    </row>
    <row r="228" spans="1:9" ht="12.75" hidden="1">
      <c r="A228" s="12" t="s">
        <v>28</v>
      </c>
      <c r="B228" s="34">
        <v>476192</v>
      </c>
      <c r="C228" s="34">
        <v>476192</v>
      </c>
      <c r="D228" s="7">
        <f t="shared" si="51"/>
        <v>100</v>
      </c>
      <c r="E228" s="30">
        <v>500173</v>
      </c>
      <c r="F228" s="7">
        <f t="shared" si="52"/>
        <v>23981</v>
      </c>
      <c r="G228" s="7">
        <f t="shared" si="53"/>
        <v>105.03599388481958</v>
      </c>
      <c r="H228" s="7">
        <f t="shared" si="49"/>
        <v>23981</v>
      </c>
      <c r="I228" s="7">
        <f t="shared" si="50"/>
        <v>105.03599388481958</v>
      </c>
    </row>
    <row r="229" spans="1:9" ht="12.75" hidden="1">
      <c r="A229" s="12" t="s">
        <v>29</v>
      </c>
      <c r="B229" s="34">
        <v>3658748</v>
      </c>
      <c r="C229" s="34">
        <f>3214928+443820</f>
        <v>3658748</v>
      </c>
      <c r="D229" s="7">
        <f t="shared" si="51"/>
        <v>100</v>
      </c>
      <c r="E229" s="30">
        <v>3910939</v>
      </c>
      <c r="F229" s="7">
        <f t="shared" si="52"/>
        <v>252191</v>
      </c>
      <c r="G229" s="7">
        <f t="shared" si="53"/>
        <v>106.89282235343893</v>
      </c>
      <c r="H229" s="7">
        <f t="shared" si="49"/>
        <v>252191</v>
      </c>
      <c r="I229" s="7">
        <f t="shared" si="50"/>
        <v>106.89282235343893</v>
      </c>
    </row>
    <row r="230" spans="1:9" ht="12.75" hidden="1">
      <c r="A230" s="12" t="s">
        <v>196</v>
      </c>
      <c r="B230" s="34">
        <v>380904</v>
      </c>
      <c r="C230" s="34">
        <f>38584+73808+458+268054</f>
        <v>380904</v>
      </c>
      <c r="D230" s="7">
        <f t="shared" si="51"/>
        <v>100</v>
      </c>
      <c r="E230" s="30">
        <v>514583</v>
      </c>
      <c r="F230" s="7">
        <f t="shared" si="52"/>
        <v>133679</v>
      </c>
      <c r="G230" s="7">
        <f t="shared" si="53"/>
        <v>135.0951945897129</v>
      </c>
      <c r="H230" s="7">
        <f t="shared" si="49"/>
        <v>133679</v>
      </c>
      <c r="I230" s="7">
        <f t="shared" si="50"/>
        <v>135.0951945897129</v>
      </c>
    </row>
    <row r="231" spans="1:9" ht="12.75" hidden="1">
      <c r="A231" s="12" t="s">
        <v>197</v>
      </c>
      <c r="B231" s="34">
        <v>13960</v>
      </c>
      <c r="C231" s="34">
        <v>13960</v>
      </c>
      <c r="D231" s="7">
        <f t="shared" si="51"/>
        <v>100</v>
      </c>
      <c r="E231" s="30"/>
      <c r="F231" s="7">
        <f t="shared" si="52"/>
        <v>-13960</v>
      </c>
      <c r="G231" s="7">
        <f t="shared" si="53"/>
        <v>0</v>
      </c>
      <c r="H231" s="7">
        <f t="shared" si="49"/>
        <v>-13960</v>
      </c>
      <c r="I231" s="7">
        <f t="shared" si="50"/>
        <v>0</v>
      </c>
    </row>
    <row r="232" spans="1:9" ht="12.75" hidden="1">
      <c r="A232" s="12" t="s">
        <v>198</v>
      </c>
      <c r="B232" s="34">
        <v>2134193</v>
      </c>
      <c r="C232" s="34">
        <f>996925+80550+520+1056198</f>
        <v>2134193</v>
      </c>
      <c r="D232" s="7">
        <f t="shared" si="51"/>
        <v>100</v>
      </c>
      <c r="E232" s="30">
        <v>2727593</v>
      </c>
      <c r="F232" s="7">
        <f t="shared" si="52"/>
        <v>593400</v>
      </c>
      <c r="G232" s="7">
        <f t="shared" si="53"/>
        <v>127.80442068735114</v>
      </c>
      <c r="H232" s="7">
        <f t="shared" si="49"/>
        <v>593400</v>
      </c>
      <c r="I232" s="7">
        <f t="shared" si="50"/>
        <v>127.80442068735114</v>
      </c>
    </row>
    <row r="233" spans="1:9" ht="12.75" hidden="1">
      <c r="A233" s="12"/>
      <c r="B233" s="34"/>
      <c r="C233" s="34"/>
      <c r="D233" s="7"/>
      <c r="E233" s="30"/>
      <c r="F233" s="7"/>
      <c r="G233" s="7"/>
      <c r="H233" s="7"/>
      <c r="I233" s="7"/>
    </row>
    <row r="234" spans="1:14" s="5" customFormat="1" ht="12.75" hidden="1">
      <c r="A234" s="20" t="s">
        <v>199</v>
      </c>
      <c r="B234" s="16">
        <f>SUM(B236:B239)</f>
        <v>4970463</v>
      </c>
      <c r="C234" s="16">
        <f>SUM(C236:C239)</f>
        <v>4952045</v>
      </c>
      <c r="D234" s="16">
        <f>C234*100/B234</f>
        <v>99.62945101894934</v>
      </c>
      <c r="E234" s="16">
        <f>SUM(E236:E239)</f>
        <v>5845025</v>
      </c>
      <c r="F234" s="16">
        <f>E234-B234</f>
        <v>874562</v>
      </c>
      <c r="G234" s="16">
        <f>E234*100/B234</f>
        <v>117.59518177682844</v>
      </c>
      <c r="H234" s="16">
        <f t="shared" si="49"/>
        <v>892980</v>
      </c>
      <c r="I234" s="16">
        <f t="shared" si="50"/>
        <v>118.03255018886136</v>
      </c>
      <c r="J234" s="49"/>
      <c r="K234" s="49"/>
      <c r="L234" s="49"/>
      <c r="M234" s="49"/>
      <c r="N234" s="49"/>
    </row>
    <row r="235" spans="1:9" ht="12.75" hidden="1">
      <c r="A235" s="12" t="s">
        <v>163</v>
      </c>
      <c r="B235" s="34"/>
      <c r="C235" s="34"/>
      <c r="D235" s="7"/>
      <c r="E235" s="30"/>
      <c r="F235" s="7"/>
      <c r="G235" s="7"/>
      <c r="H235" s="7"/>
      <c r="I235" s="7"/>
    </row>
    <row r="236" spans="1:9" ht="12.75" hidden="1">
      <c r="A236" s="12" t="s">
        <v>200</v>
      </c>
      <c r="B236" s="34">
        <v>2430761</v>
      </c>
      <c r="C236" s="34">
        <f>2172311+258450</f>
        <v>2430761</v>
      </c>
      <c r="D236" s="7">
        <f>C236*100/B236</f>
        <v>100</v>
      </c>
      <c r="E236" s="30">
        <v>2899582</v>
      </c>
      <c r="F236" s="7">
        <f>E236-B236</f>
        <v>468821</v>
      </c>
      <c r="G236" s="7">
        <f>E236*100/B236</f>
        <v>119.2870051806821</v>
      </c>
      <c r="H236" s="7">
        <f>E236-C236</f>
        <v>468821</v>
      </c>
      <c r="I236" s="7">
        <f>E236*100/C236</f>
        <v>119.2870051806821</v>
      </c>
    </row>
    <row r="237" spans="1:9" ht="12.75" hidden="1">
      <c r="A237" s="12" t="s">
        <v>201</v>
      </c>
      <c r="B237" s="34">
        <v>289157</v>
      </c>
      <c r="C237" s="34">
        <v>289157</v>
      </c>
      <c r="D237" s="7">
        <f>C237*100/B237</f>
        <v>100</v>
      </c>
      <c r="E237" s="30">
        <v>317920</v>
      </c>
      <c r="F237" s="7">
        <f>E237-B237</f>
        <v>28763</v>
      </c>
      <c r="G237" s="7">
        <f>E237*100/B237</f>
        <v>109.94719131821121</v>
      </c>
      <c r="H237" s="7">
        <f t="shared" si="49"/>
        <v>28763</v>
      </c>
      <c r="I237" s="7">
        <f t="shared" si="50"/>
        <v>109.94719131821121</v>
      </c>
    </row>
    <row r="238" spans="1:9" ht="12.75" hidden="1">
      <c r="A238" s="12" t="s">
        <v>202</v>
      </c>
      <c r="B238" s="34">
        <v>389830</v>
      </c>
      <c r="C238" s="34">
        <v>371412</v>
      </c>
      <c r="D238" s="7">
        <f>C238*100/B238</f>
        <v>95.27537644614318</v>
      </c>
      <c r="E238" s="30">
        <v>439675</v>
      </c>
      <c r="F238" s="7">
        <f>E238-B238</f>
        <v>49845</v>
      </c>
      <c r="G238" s="7">
        <f>E238*100/B238</f>
        <v>112.78634276479491</v>
      </c>
      <c r="H238" s="7">
        <f t="shared" si="49"/>
        <v>68263</v>
      </c>
      <c r="I238" s="7">
        <f t="shared" si="50"/>
        <v>118.3793200004308</v>
      </c>
    </row>
    <row r="239" spans="1:9" ht="26.25" hidden="1">
      <c r="A239" s="12" t="s">
        <v>203</v>
      </c>
      <c r="B239" s="34">
        <v>1860715</v>
      </c>
      <c r="C239" s="34">
        <f>317994+1700+1546040-5019</f>
        <v>1860715</v>
      </c>
      <c r="D239" s="7">
        <f>C239*100/B239</f>
        <v>100</v>
      </c>
      <c r="E239" s="30">
        <v>2187848</v>
      </c>
      <c r="F239" s="7">
        <f>E239-B239</f>
        <v>327133</v>
      </c>
      <c r="G239" s="7">
        <f>E239*100/B239</f>
        <v>117.58103739691462</v>
      </c>
      <c r="H239" s="7">
        <f t="shared" si="49"/>
        <v>327133</v>
      </c>
      <c r="I239" s="7">
        <f t="shared" si="50"/>
        <v>117.58103739691462</v>
      </c>
    </row>
    <row r="240" spans="1:9" ht="12.75" hidden="1">
      <c r="A240" s="12"/>
      <c r="B240" s="34"/>
      <c r="C240" s="34"/>
      <c r="D240" s="7"/>
      <c r="E240" s="30"/>
      <c r="F240" s="7"/>
      <c r="G240" s="7"/>
      <c r="H240" s="7"/>
      <c r="I240" s="7"/>
    </row>
    <row r="241" spans="1:14" s="5" customFormat="1" ht="12.75" hidden="1">
      <c r="A241" s="20" t="s">
        <v>192</v>
      </c>
      <c r="B241" s="16">
        <f>SUM(B243:B249)</f>
        <v>23312379</v>
      </c>
      <c r="C241" s="16">
        <f>SUM(C243:C249)</f>
        <v>22495126</v>
      </c>
      <c r="D241" s="16">
        <f>C241*100/B241</f>
        <v>96.49433890895476</v>
      </c>
      <c r="E241" s="16">
        <f>SUM(E243:E249)</f>
        <v>30707856</v>
      </c>
      <c r="F241" s="16">
        <f>E241-B241</f>
        <v>7395477</v>
      </c>
      <c r="G241" s="16">
        <f>E241*100/B241</f>
        <v>131.72339039271796</v>
      </c>
      <c r="H241" s="16">
        <f t="shared" si="49"/>
        <v>8212730</v>
      </c>
      <c r="I241" s="16">
        <f t="shared" si="50"/>
        <v>136.5089308679578</v>
      </c>
      <c r="J241" s="49"/>
      <c r="K241" s="49"/>
      <c r="L241" s="49"/>
      <c r="M241" s="49"/>
      <c r="N241" s="49"/>
    </row>
    <row r="242" spans="1:9" ht="12.75" hidden="1">
      <c r="A242" s="12" t="s">
        <v>163</v>
      </c>
      <c r="B242" s="34"/>
      <c r="C242" s="34"/>
      <c r="D242" s="7"/>
      <c r="E242" s="30"/>
      <c r="F242" s="7"/>
      <c r="G242" s="7"/>
      <c r="H242" s="7"/>
      <c r="I242" s="7"/>
    </row>
    <row r="243" spans="1:9" ht="12.75" hidden="1">
      <c r="A243" s="12" t="s">
        <v>97</v>
      </c>
      <c r="B243" s="34">
        <v>13587152</v>
      </c>
      <c r="C243" s="34">
        <f>838090+12111609</f>
        <v>12949699</v>
      </c>
      <c r="D243" s="7">
        <f aca="true" t="shared" si="54" ref="D243:D249">C243*100/B243</f>
        <v>95.30841341879446</v>
      </c>
      <c r="E243" s="30">
        <v>10691575</v>
      </c>
      <c r="F243" s="7">
        <f aca="true" t="shared" si="55" ref="F243:F249">E243-B243</f>
        <v>-2895577</v>
      </c>
      <c r="G243" s="7">
        <f aca="true" t="shared" si="56" ref="G243:G249">E243*100/B243</f>
        <v>78.68885988763502</v>
      </c>
      <c r="H243" s="7">
        <f>E243-C243</f>
        <v>-2258124</v>
      </c>
      <c r="I243" s="7">
        <f>E243*100/C243</f>
        <v>82.5623437270627</v>
      </c>
    </row>
    <row r="244" spans="1:9" ht="12.75" hidden="1">
      <c r="A244" s="12" t="s">
        <v>98</v>
      </c>
      <c r="B244" s="34">
        <v>685486</v>
      </c>
      <c r="C244" s="34">
        <v>651212</v>
      </c>
      <c r="D244" s="7">
        <f t="shared" si="54"/>
        <v>95.00004376456995</v>
      </c>
      <c r="E244" s="30">
        <v>828560</v>
      </c>
      <c r="F244" s="7">
        <f t="shared" si="55"/>
        <v>143074</v>
      </c>
      <c r="G244" s="7">
        <f t="shared" si="56"/>
        <v>120.87190693901844</v>
      </c>
      <c r="H244" s="7">
        <f>E244-C244</f>
        <v>177348</v>
      </c>
      <c r="I244" s="7">
        <f>E244*100/C244</f>
        <v>127.2335276376971</v>
      </c>
    </row>
    <row r="245" spans="1:9" ht="12.75" hidden="1">
      <c r="A245" s="12" t="s">
        <v>99</v>
      </c>
      <c r="B245" s="34">
        <v>824315</v>
      </c>
      <c r="C245" s="34">
        <v>783099</v>
      </c>
      <c r="D245" s="7">
        <f t="shared" si="54"/>
        <v>94.9999696717881</v>
      </c>
      <c r="E245" s="30">
        <v>731979</v>
      </c>
      <c r="F245" s="7">
        <f t="shared" si="55"/>
        <v>-92336</v>
      </c>
      <c r="G245" s="7">
        <f t="shared" si="56"/>
        <v>88.79845690057806</v>
      </c>
      <c r="H245" s="7">
        <f>E245-C245</f>
        <v>-51120</v>
      </c>
      <c r="I245" s="7">
        <f>E245*100/C245</f>
        <v>93.47208973578053</v>
      </c>
    </row>
    <row r="246" spans="1:9" ht="26.25" hidden="1">
      <c r="A246" s="12" t="s">
        <v>100</v>
      </c>
      <c r="B246" s="34">
        <v>367360</v>
      </c>
      <c r="C246" s="34">
        <v>348992</v>
      </c>
      <c r="D246" s="7">
        <f t="shared" si="54"/>
        <v>95</v>
      </c>
      <c r="E246" s="30">
        <v>384672</v>
      </c>
      <c r="F246" s="7">
        <f t="shared" si="55"/>
        <v>17312</v>
      </c>
      <c r="G246" s="7">
        <f t="shared" si="56"/>
        <v>104.71254355400697</v>
      </c>
      <c r="H246" s="7">
        <f>E246-C246</f>
        <v>35680</v>
      </c>
      <c r="I246" s="7">
        <f>E246*100/C246</f>
        <v>110.22373005684945</v>
      </c>
    </row>
    <row r="247" spans="1:9" ht="12.75" hidden="1">
      <c r="A247" s="12" t="s">
        <v>101</v>
      </c>
      <c r="B247" s="34">
        <v>2071655</v>
      </c>
      <c r="C247" s="34">
        <f>300000+7800+1699157</f>
        <v>2006957</v>
      </c>
      <c r="D247" s="7">
        <f t="shared" si="54"/>
        <v>96.87698965319998</v>
      </c>
      <c r="E247" s="30">
        <v>2867935</v>
      </c>
      <c r="F247" s="7">
        <f t="shared" si="55"/>
        <v>796280</v>
      </c>
      <c r="G247" s="7">
        <f t="shared" si="56"/>
        <v>138.43690189727536</v>
      </c>
      <c r="H247" s="7">
        <f t="shared" si="49"/>
        <v>860978</v>
      </c>
      <c r="I247" s="7">
        <f t="shared" si="50"/>
        <v>142.89967348577972</v>
      </c>
    </row>
    <row r="248" spans="1:9" ht="26.25" hidden="1">
      <c r="A248" s="12" t="s">
        <v>102</v>
      </c>
      <c r="B248" s="34">
        <v>278800</v>
      </c>
      <c r="C248" s="34">
        <v>257556</v>
      </c>
      <c r="D248" s="7">
        <f t="shared" si="54"/>
        <v>92.38020086083213</v>
      </c>
      <c r="E248" s="30">
        <v>278169</v>
      </c>
      <c r="F248" s="7">
        <f t="shared" si="55"/>
        <v>-631</v>
      </c>
      <c r="G248" s="7">
        <f t="shared" si="56"/>
        <v>99.77367288378767</v>
      </c>
      <c r="H248" s="7">
        <f t="shared" si="49"/>
        <v>20613</v>
      </c>
      <c r="I248" s="7">
        <f t="shared" si="50"/>
        <v>108.00330801845035</v>
      </c>
    </row>
    <row r="249" spans="1:9" ht="12.75" hidden="1">
      <c r="A249" s="12" t="s">
        <v>108</v>
      </c>
      <c r="B249" s="34">
        <v>5497611</v>
      </c>
      <c r="C249" s="34">
        <v>5497611</v>
      </c>
      <c r="D249" s="7">
        <f t="shared" si="54"/>
        <v>100</v>
      </c>
      <c r="E249" s="30">
        <f>14624966+300000</f>
        <v>14924966</v>
      </c>
      <c r="F249" s="7">
        <f t="shared" si="55"/>
        <v>9427355</v>
      </c>
      <c r="G249" s="7">
        <f t="shared" si="56"/>
        <v>271.48093962995927</v>
      </c>
      <c r="H249" s="7">
        <f t="shared" si="49"/>
        <v>9427355</v>
      </c>
      <c r="I249" s="7">
        <f t="shared" si="50"/>
        <v>271.48093962995927</v>
      </c>
    </row>
    <row r="250" spans="1:9" ht="12.75" hidden="1">
      <c r="A250" s="12"/>
      <c r="B250" s="34"/>
      <c r="C250" s="34"/>
      <c r="D250" s="7"/>
      <c r="E250" s="30"/>
      <c r="F250" s="7"/>
      <c r="G250" s="7"/>
      <c r="H250" s="7"/>
      <c r="I250" s="7"/>
    </row>
    <row r="251" spans="1:14" s="5" customFormat="1" ht="12.75" hidden="1">
      <c r="A251" s="20" t="s">
        <v>204</v>
      </c>
      <c r="B251" s="16">
        <f>SUM(B253:B257)</f>
        <v>45082878</v>
      </c>
      <c r="C251" s="16">
        <f>SUM(C253:C257)</f>
        <v>44342820</v>
      </c>
      <c r="D251" s="16">
        <f>C251*100/B251</f>
        <v>98.35844996408615</v>
      </c>
      <c r="E251" s="16">
        <f>SUM(E253:E257)</f>
        <v>59499302</v>
      </c>
      <c r="F251" s="16">
        <f>E251-B251</f>
        <v>14416424</v>
      </c>
      <c r="G251" s="16">
        <f>E251*100/B251</f>
        <v>131.97760355938235</v>
      </c>
      <c r="H251" s="16">
        <f t="shared" si="49"/>
        <v>15156482</v>
      </c>
      <c r="I251" s="16">
        <f t="shared" si="50"/>
        <v>134.1802393262314</v>
      </c>
      <c r="J251" s="49"/>
      <c r="K251" s="49"/>
      <c r="L251" s="49"/>
      <c r="M251" s="49"/>
      <c r="N251" s="49"/>
    </row>
    <row r="252" spans="1:9" ht="12.75" hidden="1">
      <c r="A252" s="12" t="s">
        <v>163</v>
      </c>
      <c r="B252" s="34"/>
      <c r="C252" s="34"/>
      <c r="D252" s="7"/>
      <c r="E252" s="30"/>
      <c r="F252" s="7"/>
      <c r="G252" s="7"/>
      <c r="H252" s="7"/>
      <c r="I252" s="7"/>
    </row>
    <row r="253" spans="1:9" ht="12.75" hidden="1">
      <c r="A253" s="12" t="s">
        <v>205</v>
      </c>
      <c r="B253" s="34">
        <v>142633</v>
      </c>
      <c r="C253" s="34">
        <v>142633</v>
      </c>
      <c r="D253" s="7">
        <f>C253*100/B253</f>
        <v>100</v>
      </c>
      <c r="E253" s="30">
        <v>190122</v>
      </c>
      <c r="F253" s="7">
        <f>E253-B253</f>
        <v>47489</v>
      </c>
      <c r="G253" s="7">
        <f>E253*100/B253</f>
        <v>133.29453913189795</v>
      </c>
      <c r="H253" s="7">
        <f t="shared" si="49"/>
        <v>47489</v>
      </c>
      <c r="I253" s="7">
        <f t="shared" si="50"/>
        <v>133.29453913189795</v>
      </c>
    </row>
    <row r="254" spans="1:9" ht="12.75" hidden="1">
      <c r="A254" s="12" t="s">
        <v>206</v>
      </c>
      <c r="B254" s="34">
        <v>7312340</v>
      </c>
      <c r="C254" s="34">
        <v>7312340</v>
      </c>
      <c r="D254" s="7">
        <f>C254*100/B254</f>
        <v>100</v>
      </c>
      <c r="E254" s="30">
        <v>9314620</v>
      </c>
      <c r="F254" s="7">
        <f>E254-B254</f>
        <v>2002280</v>
      </c>
      <c r="G254" s="7">
        <f>E254*100/B254</f>
        <v>127.3822059696349</v>
      </c>
      <c r="H254" s="7">
        <f t="shared" si="49"/>
        <v>2002280</v>
      </c>
      <c r="I254" s="7">
        <f t="shared" si="50"/>
        <v>127.3822059696349</v>
      </c>
    </row>
    <row r="255" spans="1:9" ht="12.75" hidden="1">
      <c r="A255" s="12" t="s">
        <v>207</v>
      </c>
      <c r="B255" s="34">
        <v>32248892</v>
      </c>
      <c r="C255" s="34">
        <f>530+11590019+393+11572280+334219+7264362+749081</f>
        <v>31510884</v>
      </c>
      <c r="D255" s="7">
        <f>C255*100/B255</f>
        <v>97.71152447656186</v>
      </c>
      <c r="E255" s="30">
        <v>42793303</v>
      </c>
      <c r="F255" s="7">
        <f>E255-B255</f>
        <v>10544411</v>
      </c>
      <c r="G255" s="7">
        <f>E255*100/B255</f>
        <v>132.6969714184289</v>
      </c>
      <c r="H255" s="7">
        <f t="shared" si="49"/>
        <v>11282419</v>
      </c>
      <c r="I255" s="7">
        <f t="shared" si="50"/>
        <v>135.80483175273662</v>
      </c>
    </row>
    <row r="256" spans="1:9" ht="12.75" hidden="1">
      <c r="A256" s="9" t="s">
        <v>109</v>
      </c>
      <c r="B256" s="7">
        <v>2884414</v>
      </c>
      <c r="C256" s="7">
        <f>530+2881834</f>
        <v>2882364</v>
      </c>
      <c r="D256" s="7">
        <f>C256*100/B256</f>
        <v>99.92892837158605</v>
      </c>
      <c r="E256" s="30">
        <v>3898791</v>
      </c>
      <c r="F256" s="7">
        <f>E256-B256</f>
        <v>1014377</v>
      </c>
      <c r="G256" s="7">
        <f>E256*100/B256</f>
        <v>135.16752449544344</v>
      </c>
      <c r="H256" s="7">
        <f>E256-C256</f>
        <v>1016427</v>
      </c>
      <c r="I256" s="7">
        <f>E256*100/C256</f>
        <v>135.26365858024872</v>
      </c>
    </row>
    <row r="257" spans="1:9" ht="12.75" hidden="1">
      <c r="A257" s="12" t="s">
        <v>208</v>
      </c>
      <c r="B257" s="34">
        <v>2494599</v>
      </c>
      <c r="C257" s="34">
        <f>2267475+90107+84563+55144-2690</f>
        <v>2494599</v>
      </c>
      <c r="D257" s="7">
        <f>C257*100/B257</f>
        <v>100</v>
      </c>
      <c r="E257" s="30">
        <v>3302466</v>
      </c>
      <c r="F257" s="7">
        <f>E257-B257</f>
        <v>807867</v>
      </c>
      <c r="G257" s="7">
        <f>E257*100/B257</f>
        <v>132.3846437844319</v>
      </c>
      <c r="H257" s="7">
        <f t="shared" si="49"/>
        <v>807867</v>
      </c>
      <c r="I257" s="7">
        <f t="shared" si="50"/>
        <v>132.3846437844319</v>
      </c>
    </row>
    <row r="258" spans="1:9" ht="12.75" hidden="1">
      <c r="A258" s="12"/>
      <c r="B258" s="34"/>
      <c r="C258" s="34"/>
      <c r="D258" s="7"/>
      <c r="E258" s="30"/>
      <c r="F258" s="7"/>
      <c r="G258" s="7"/>
      <c r="H258" s="7"/>
      <c r="I258" s="7"/>
    </row>
    <row r="259" spans="1:14" s="5" customFormat="1" ht="12.75" hidden="1">
      <c r="A259" s="20" t="s">
        <v>209</v>
      </c>
      <c r="B259" s="16">
        <f>SUM(B261:B265)</f>
        <v>72677888</v>
      </c>
      <c r="C259" s="16">
        <f>SUM(C261:C265)</f>
        <v>72677888</v>
      </c>
      <c r="D259" s="16">
        <f>C259*100/B259</f>
        <v>100</v>
      </c>
      <c r="E259" s="16">
        <f>SUM(E261:E265)</f>
        <v>104074871</v>
      </c>
      <c r="F259" s="16">
        <f>E259-B259</f>
        <v>31396983</v>
      </c>
      <c r="G259" s="16">
        <f>E259*100/B259</f>
        <v>143.20018627949122</v>
      </c>
      <c r="H259" s="16">
        <f t="shared" si="49"/>
        <v>31396983</v>
      </c>
      <c r="I259" s="16">
        <f t="shared" si="50"/>
        <v>143.20018627949122</v>
      </c>
      <c r="J259" s="49"/>
      <c r="K259" s="49"/>
      <c r="L259" s="49"/>
      <c r="M259" s="49"/>
      <c r="N259" s="49"/>
    </row>
    <row r="260" spans="1:9" ht="12.75" hidden="1">
      <c r="A260" s="12" t="s">
        <v>163</v>
      </c>
      <c r="B260" s="34"/>
      <c r="C260" s="34"/>
      <c r="D260" s="7"/>
      <c r="E260" s="30"/>
      <c r="F260" s="7"/>
      <c r="G260" s="7"/>
      <c r="H260" s="7"/>
      <c r="I260" s="7"/>
    </row>
    <row r="261" spans="1:9" ht="26.25" hidden="1">
      <c r="A261" s="12" t="s">
        <v>110</v>
      </c>
      <c r="B261" s="34">
        <v>4713428</v>
      </c>
      <c r="C261" s="34">
        <v>4713428</v>
      </c>
      <c r="D261" s="7">
        <f>C261*100/B261</f>
        <v>100</v>
      </c>
      <c r="E261" s="30">
        <v>4197292</v>
      </c>
      <c r="F261" s="7">
        <f>E261-B261</f>
        <v>-516136</v>
      </c>
      <c r="G261" s="7">
        <f>E261*100/B261</f>
        <v>89.04966830934937</v>
      </c>
      <c r="H261" s="7">
        <f t="shared" si="49"/>
        <v>-516136</v>
      </c>
      <c r="I261" s="7">
        <f t="shared" si="50"/>
        <v>89.04966830934937</v>
      </c>
    </row>
    <row r="262" spans="1:9" ht="26.25" hidden="1">
      <c r="A262" s="12" t="s">
        <v>111</v>
      </c>
      <c r="B262" s="34">
        <v>14473647</v>
      </c>
      <c r="C262" s="34">
        <v>14473647</v>
      </c>
      <c r="D262" s="7">
        <f>C262*100/B262</f>
        <v>100</v>
      </c>
      <c r="E262" s="30">
        <f>25596935-300000</f>
        <v>25296935</v>
      </c>
      <c r="F262" s="7">
        <f>E262-B262</f>
        <v>10823288</v>
      </c>
      <c r="G262" s="7">
        <f>E262*100/B262</f>
        <v>174.77927297798544</v>
      </c>
      <c r="H262" s="7">
        <f t="shared" si="49"/>
        <v>10823288</v>
      </c>
      <c r="I262" s="7">
        <f t="shared" si="50"/>
        <v>174.77927297798544</v>
      </c>
    </row>
    <row r="263" spans="1:9" ht="26.25" hidden="1">
      <c r="A263" s="12" t="s">
        <v>112</v>
      </c>
      <c r="B263" s="34">
        <v>35895575</v>
      </c>
      <c r="C263" s="34">
        <v>35895575</v>
      </c>
      <c r="D263" s="7">
        <f>C263*100/B263</f>
        <v>100</v>
      </c>
      <c r="E263" s="30">
        <v>47307355</v>
      </c>
      <c r="F263" s="7">
        <f>E263-B263</f>
        <v>11411780</v>
      </c>
      <c r="G263" s="7">
        <f>E263*100/B263</f>
        <v>131.79160662560776</v>
      </c>
      <c r="H263" s="7">
        <f>E263-C263</f>
        <v>11411780</v>
      </c>
      <c r="I263" s="7">
        <f t="shared" si="50"/>
        <v>131.79160662560776</v>
      </c>
    </row>
    <row r="264" spans="1:9" ht="12.75" hidden="1">
      <c r="A264" s="12" t="s">
        <v>30</v>
      </c>
      <c r="B264" s="34">
        <v>1775608</v>
      </c>
      <c r="C264" s="34">
        <v>1775608</v>
      </c>
      <c r="D264" s="7">
        <f>C264*100/B264</f>
        <v>100</v>
      </c>
      <c r="E264" s="30">
        <v>7286362</v>
      </c>
      <c r="F264" s="7">
        <f>E264-B264</f>
        <v>5510754</v>
      </c>
      <c r="G264" s="7">
        <f>E264*100/B264</f>
        <v>410.35870529981844</v>
      </c>
      <c r="H264" s="7">
        <f>E264-C264</f>
        <v>5510754</v>
      </c>
      <c r="I264" s="7">
        <f>E264*100/C264</f>
        <v>410.35870529981844</v>
      </c>
    </row>
    <row r="265" spans="1:9" ht="26.25" hidden="1">
      <c r="A265" s="12" t="s">
        <v>19</v>
      </c>
      <c r="B265" s="34">
        <v>15819630</v>
      </c>
      <c r="C265" s="34">
        <v>15819630</v>
      </c>
      <c r="D265" s="7">
        <f>C265*100/B265</f>
        <v>100</v>
      </c>
      <c r="E265" s="30">
        <v>19986927</v>
      </c>
      <c r="F265" s="7">
        <f>E265-B265</f>
        <v>4167297</v>
      </c>
      <c r="G265" s="7">
        <f>E265*100/B265</f>
        <v>126.34256932684266</v>
      </c>
      <c r="H265" s="7">
        <f>E265-C265</f>
        <v>4167297</v>
      </c>
      <c r="I265" s="7">
        <f>E265*100/C265</f>
        <v>126.34256932684266</v>
      </c>
    </row>
    <row r="266" spans="1:9" ht="12.75" hidden="1">
      <c r="A266" s="12"/>
      <c r="B266" s="34"/>
      <c r="C266" s="34"/>
      <c r="D266" s="7"/>
      <c r="E266" s="30"/>
      <c r="F266" s="7"/>
      <c r="G266" s="7"/>
      <c r="H266" s="7"/>
      <c r="I266" s="7"/>
    </row>
    <row r="267" spans="1:14" s="5" customFormat="1" ht="12.75" hidden="1">
      <c r="A267" s="21" t="s">
        <v>194</v>
      </c>
      <c r="B267" s="22">
        <f>B259+B251+B241+B234+B223+B217+B211+B197+B188+B171+B184</f>
        <v>254504776</v>
      </c>
      <c r="C267" s="22">
        <f>C259+C251+C241+C234+C223+C217+C211+C197+C188+C171+C184</f>
        <v>252155136</v>
      </c>
      <c r="D267" s="16">
        <f>C267*100/B267</f>
        <v>99.0767796043246</v>
      </c>
      <c r="E267" s="22">
        <f>E259+E251+E241+E234+E223+E217+E211+E197+E188+E171+E184</f>
        <v>331417588</v>
      </c>
      <c r="F267" s="16">
        <f>E267-B267</f>
        <v>76912812</v>
      </c>
      <c r="G267" s="16">
        <f>E267*100/B267</f>
        <v>130.22057707867927</v>
      </c>
      <c r="H267" s="16">
        <f>E267-C267</f>
        <v>79262452</v>
      </c>
      <c r="I267" s="16">
        <f aca="true" t="shared" si="57" ref="I267:I283">E267*100/C267</f>
        <v>131.43400259751203</v>
      </c>
      <c r="J267" s="49"/>
      <c r="K267" s="49"/>
      <c r="L267" s="49"/>
      <c r="M267" s="49"/>
      <c r="N267" s="49"/>
    </row>
    <row r="268" spans="1:9" ht="12.75" hidden="1">
      <c r="A268" s="13"/>
      <c r="B268" s="35"/>
      <c r="C268" s="35"/>
      <c r="D268" s="7"/>
      <c r="E268" s="36"/>
      <c r="F268" s="7"/>
      <c r="G268" s="4"/>
      <c r="H268" s="4"/>
      <c r="I268" s="4"/>
    </row>
    <row r="269" spans="1:9" ht="12.75" hidden="1">
      <c r="A269" s="13"/>
      <c r="B269" s="35"/>
      <c r="C269" s="35"/>
      <c r="D269" s="7"/>
      <c r="E269" s="36"/>
      <c r="F269" s="7"/>
      <c r="G269" s="4"/>
      <c r="H269" s="4"/>
      <c r="I269" s="4"/>
    </row>
    <row r="270" spans="1:14" s="5" customFormat="1" ht="25.5" customHeight="1" hidden="1">
      <c r="A270" s="19" t="s">
        <v>159</v>
      </c>
      <c r="B270" s="22">
        <f>B165-B267</f>
        <v>-252473795.1</v>
      </c>
      <c r="C270" s="22">
        <f>C165-C267</f>
        <v>-250287658.6</v>
      </c>
      <c r="D270" s="16">
        <f>C270*100/B270</f>
        <v>99.13411350309282</v>
      </c>
      <c r="E270" s="22" t="e">
        <f>E165-E267</f>
        <v>#REF!</v>
      </c>
      <c r="F270" s="16" t="e">
        <f>E270-B270</f>
        <v>#REF!</v>
      </c>
      <c r="G270" s="16" t="e">
        <f>E270*100/B270</f>
        <v>#REF!</v>
      </c>
      <c r="H270" s="16" t="e">
        <f>E270-C270</f>
        <v>#REF!</v>
      </c>
      <c r="I270" s="16" t="e">
        <f>E270*100/C270</f>
        <v>#REF!</v>
      </c>
      <c r="J270" s="49"/>
      <c r="K270" s="49"/>
      <c r="L270" s="49"/>
      <c r="M270" s="49"/>
      <c r="N270" s="49"/>
    </row>
    <row r="271" spans="1:14" s="5" customFormat="1" ht="12.75" hidden="1">
      <c r="A271" s="19" t="s">
        <v>210</v>
      </c>
      <c r="B271" s="22">
        <f>-B270/(B165-B90-B120-B143)*100</f>
        <v>20164.483799130674</v>
      </c>
      <c r="C271" s="22">
        <f>-C270/(C165-C90-C120-C143)*100</f>
        <v>22992.372788402234</v>
      </c>
      <c r="D271" s="16"/>
      <c r="E271" s="22" t="e">
        <f>-E270/(E165-E88-#REF!)*100</f>
        <v>#REF!</v>
      </c>
      <c r="F271" s="16" t="e">
        <f>E271-B271</f>
        <v>#REF!</v>
      </c>
      <c r="G271" s="16"/>
      <c r="H271" s="16" t="e">
        <f>E271-C271</f>
        <v>#REF!</v>
      </c>
      <c r="I271" s="16"/>
      <c r="J271" s="49"/>
      <c r="K271" s="49"/>
      <c r="L271" s="49"/>
      <c r="M271" s="49"/>
      <c r="N271" s="49"/>
    </row>
    <row r="272" spans="1:9" ht="12.75" hidden="1">
      <c r="A272" s="10"/>
      <c r="B272" s="35"/>
      <c r="C272" s="35"/>
      <c r="D272" s="7"/>
      <c r="E272" s="36"/>
      <c r="F272" s="4"/>
      <c r="G272" s="4"/>
      <c r="H272" s="4"/>
      <c r="I272" s="4"/>
    </row>
    <row r="273" spans="1:9" ht="12.75" hidden="1">
      <c r="A273" s="10"/>
      <c r="B273" s="35"/>
      <c r="C273" s="35"/>
      <c r="D273" s="7"/>
      <c r="E273" s="36"/>
      <c r="F273" s="4"/>
      <c r="G273" s="4"/>
      <c r="H273" s="4"/>
      <c r="I273" s="4"/>
    </row>
    <row r="274" spans="1:14" s="5" customFormat="1" ht="12.75" hidden="1">
      <c r="A274" s="19" t="s">
        <v>211</v>
      </c>
      <c r="B274" s="16">
        <f>B275+B280-B285+B288+B293</f>
        <v>252473795.1</v>
      </c>
      <c r="C274" s="16">
        <f>C275+C280-C285+C288+C293</f>
        <v>250287658.6</v>
      </c>
      <c r="D274" s="16">
        <f aca="true" t="shared" si="58" ref="D274:D287">C274*100/B274</f>
        <v>99.13411350309282</v>
      </c>
      <c r="E274" s="16" t="e">
        <f>E275+E280-E285+E288+E293</f>
        <v>#REF!</v>
      </c>
      <c r="F274" s="16" t="e">
        <f aca="true" t="shared" si="59" ref="F274:F306">E274-B274</f>
        <v>#REF!</v>
      </c>
      <c r="G274" s="16" t="e">
        <f aca="true" t="shared" si="60" ref="G274:G287">E274*100/B274</f>
        <v>#REF!</v>
      </c>
      <c r="H274" s="16" t="e">
        <f aca="true" t="shared" si="61" ref="H274:H285">E274-C274</f>
        <v>#REF!</v>
      </c>
      <c r="I274" s="16" t="e">
        <f>E274*100/C274</f>
        <v>#REF!</v>
      </c>
      <c r="J274" s="49"/>
      <c r="K274" s="49"/>
      <c r="L274" s="49"/>
      <c r="M274" s="49"/>
      <c r="N274" s="49"/>
    </row>
    <row r="275" spans="1:14" s="5" customFormat="1" ht="26.25" hidden="1">
      <c r="A275" s="18" t="s">
        <v>212</v>
      </c>
      <c r="B275" s="16">
        <f>B276-B278</f>
        <v>19000000</v>
      </c>
      <c r="C275" s="16">
        <f>C276-C278</f>
        <v>19000000</v>
      </c>
      <c r="D275" s="16">
        <f t="shared" si="58"/>
        <v>100</v>
      </c>
      <c r="E275" s="16">
        <f>E276-E278</f>
        <v>10500000</v>
      </c>
      <c r="F275" s="16">
        <f t="shared" si="59"/>
        <v>-8500000</v>
      </c>
      <c r="G275" s="16">
        <f t="shared" si="60"/>
        <v>55.26315789473684</v>
      </c>
      <c r="H275" s="16">
        <f t="shared" si="61"/>
        <v>-8500000</v>
      </c>
      <c r="I275" s="16">
        <f>E275*100/C275</f>
        <v>55.26315789473684</v>
      </c>
      <c r="J275" s="49"/>
      <c r="K275" s="49"/>
      <c r="L275" s="49"/>
      <c r="M275" s="49"/>
      <c r="N275" s="49"/>
    </row>
    <row r="276" spans="1:9" ht="26.25" hidden="1">
      <c r="A276" s="14" t="s">
        <v>213</v>
      </c>
      <c r="B276" s="7">
        <f>B277</f>
        <v>24000000</v>
      </c>
      <c r="C276" s="7">
        <f>C277</f>
        <v>24000000</v>
      </c>
      <c r="D276" s="7">
        <f t="shared" si="58"/>
        <v>100</v>
      </c>
      <c r="E276" s="30">
        <f>E277</f>
        <v>27000000</v>
      </c>
      <c r="F276" s="7">
        <f t="shared" si="59"/>
        <v>3000000</v>
      </c>
      <c r="G276" s="7">
        <f t="shared" si="60"/>
        <v>112.5</v>
      </c>
      <c r="H276" s="7">
        <f t="shared" si="61"/>
        <v>3000000</v>
      </c>
      <c r="I276" s="7">
        <f t="shared" si="57"/>
        <v>112.5</v>
      </c>
    </row>
    <row r="277" spans="1:9" ht="39" hidden="1">
      <c r="A277" s="14" t="s">
        <v>214</v>
      </c>
      <c r="B277" s="7">
        <v>24000000</v>
      </c>
      <c r="C277" s="7">
        <v>24000000</v>
      </c>
      <c r="D277" s="7">
        <f t="shared" si="58"/>
        <v>100</v>
      </c>
      <c r="E277" s="30">
        <v>27000000</v>
      </c>
      <c r="F277" s="7">
        <f t="shared" si="59"/>
        <v>3000000</v>
      </c>
      <c r="G277" s="7">
        <f t="shared" si="60"/>
        <v>112.5</v>
      </c>
      <c r="H277" s="7">
        <f t="shared" si="61"/>
        <v>3000000</v>
      </c>
      <c r="I277" s="7">
        <f t="shared" si="57"/>
        <v>112.5</v>
      </c>
    </row>
    <row r="278" spans="1:14" s="5" customFormat="1" ht="26.25" hidden="1">
      <c r="A278" s="14" t="s">
        <v>215</v>
      </c>
      <c r="B278" s="33">
        <f>B279</f>
        <v>5000000</v>
      </c>
      <c r="C278" s="33">
        <f>C279</f>
        <v>5000000</v>
      </c>
      <c r="D278" s="7">
        <f t="shared" si="58"/>
        <v>100</v>
      </c>
      <c r="E278" s="28">
        <f>E279</f>
        <v>16500000</v>
      </c>
      <c r="F278" s="7">
        <f t="shared" si="59"/>
        <v>11500000</v>
      </c>
      <c r="G278" s="7">
        <f t="shared" si="60"/>
        <v>330</v>
      </c>
      <c r="H278" s="7">
        <f t="shared" si="61"/>
        <v>11500000</v>
      </c>
      <c r="I278" s="7">
        <f t="shared" si="57"/>
        <v>330</v>
      </c>
      <c r="J278" s="49"/>
      <c r="K278" s="49"/>
      <c r="L278" s="49"/>
      <c r="M278" s="49"/>
      <c r="N278" s="49"/>
    </row>
    <row r="279" spans="1:9" ht="39" hidden="1">
      <c r="A279" s="14" t="s">
        <v>216</v>
      </c>
      <c r="B279" s="7">
        <v>5000000</v>
      </c>
      <c r="C279" s="7">
        <v>5000000</v>
      </c>
      <c r="D279" s="7">
        <f t="shared" si="58"/>
        <v>100</v>
      </c>
      <c r="E279" s="30">
        <v>16500000</v>
      </c>
      <c r="F279" s="7">
        <f t="shared" si="59"/>
        <v>11500000</v>
      </c>
      <c r="G279" s="7">
        <f t="shared" si="60"/>
        <v>330</v>
      </c>
      <c r="H279" s="7">
        <f t="shared" si="61"/>
        <v>11500000</v>
      </c>
      <c r="I279" s="7">
        <f t="shared" si="57"/>
        <v>330</v>
      </c>
    </row>
    <row r="280" spans="1:9" ht="12.75" hidden="1">
      <c r="A280" s="18" t="s">
        <v>217</v>
      </c>
      <c r="B280" s="29">
        <f>B281-B283</f>
        <v>8397770</v>
      </c>
      <c r="C280" s="29">
        <f>C281-C283</f>
        <v>8546717</v>
      </c>
      <c r="D280" s="16">
        <f t="shared" si="58"/>
        <v>101.77364943312331</v>
      </c>
      <c r="E280" s="29">
        <f>E281-E283</f>
        <v>16253376</v>
      </c>
      <c r="F280" s="16">
        <f t="shared" si="59"/>
        <v>7855606</v>
      </c>
      <c r="G280" s="16">
        <f t="shared" si="60"/>
        <v>193.5439527398345</v>
      </c>
      <c r="H280" s="16">
        <f t="shared" si="61"/>
        <v>7706659</v>
      </c>
      <c r="I280" s="16">
        <f t="shared" si="57"/>
        <v>190.17098612250763</v>
      </c>
    </row>
    <row r="281" spans="1:9" ht="26.25" hidden="1">
      <c r="A281" s="14" t="s">
        <v>218</v>
      </c>
      <c r="B281" s="7">
        <f>B282</f>
        <v>51882416</v>
      </c>
      <c r="C281" s="7">
        <f>C282</f>
        <v>51882416</v>
      </c>
      <c r="D281" s="7">
        <f t="shared" si="58"/>
        <v>100</v>
      </c>
      <c r="E281" s="30">
        <f>E282</f>
        <v>33253376</v>
      </c>
      <c r="F281" s="7">
        <f t="shared" si="59"/>
        <v>-18629040</v>
      </c>
      <c r="G281" s="7">
        <f t="shared" si="60"/>
        <v>64.09373071600983</v>
      </c>
      <c r="H281" s="7">
        <f t="shared" si="61"/>
        <v>-18629040</v>
      </c>
      <c r="I281" s="7">
        <f t="shared" si="57"/>
        <v>64.09373071600983</v>
      </c>
    </row>
    <row r="282" spans="1:14" s="5" customFormat="1" ht="41.25" customHeight="1" hidden="1">
      <c r="A282" s="14" t="s">
        <v>220</v>
      </c>
      <c r="B282" s="7">
        <v>51882416</v>
      </c>
      <c r="C282" s="7">
        <v>51882416</v>
      </c>
      <c r="D282" s="7">
        <f t="shared" si="58"/>
        <v>100</v>
      </c>
      <c r="E282" s="30">
        <v>33253376</v>
      </c>
      <c r="F282" s="7">
        <f t="shared" si="59"/>
        <v>-18629040</v>
      </c>
      <c r="G282" s="7">
        <f t="shared" si="60"/>
        <v>64.09373071600983</v>
      </c>
      <c r="H282" s="7">
        <f t="shared" si="61"/>
        <v>-18629040</v>
      </c>
      <c r="I282" s="7">
        <f>E282*100/C282</f>
        <v>64.09373071600983</v>
      </c>
      <c r="J282" s="49"/>
      <c r="K282" s="49"/>
      <c r="L282" s="49"/>
      <c r="M282" s="49"/>
      <c r="N282" s="49"/>
    </row>
    <row r="283" spans="1:9" ht="26.25" hidden="1">
      <c r="A283" s="14" t="s">
        <v>219</v>
      </c>
      <c r="B283" s="7">
        <f>B284</f>
        <v>43484646</v>
      </c>
      <c r="C283" s="7">
        <f>C284</f>
        <v>43335699</v>
      </c>
      <c r="D283" s="7">
        <f t="shared" si="58"/>
        <v>99.65747220294722</v>
      </c>
      <c r="E283" s="30">
        <f>E284</f>
        <v>17000000</v>
      </c>
      <c r="F283" s="7">
        <f t="shared" si="59"/>
        <v>-26484646</v>
      </c>
      <c r="G283" s="7">
        <f t="shared" si="60"/>
        <v>39.094258695356515</v>
      </c>
      <c r="H283" s="7">
        <f t="shared" si="61"/>
        <v>-26335699</v>
      </c>
      <c r="I283" s="7">
        <f t="shared" si="57"/>
        <v>39.22862764945825</v>
      </c>
    </row>
    <row r="284" spans="1:9" ht="26.25" hidden="1">
      <c r="A284" s="14" t="s">
        <v>221</v>
      </c>
      <c r="B284" s="7">
        <v>43484646</v>
      </c>
      <c r="C284" s="7">
        <v>43335699</v>
      </c>
      <c r="D284" s="7">
        <f t="shared" si="58"/>
        <v>99.65747220294722</v>
      </c>
      <c r="E284" s="30">
        <v>17000000</v>
      </c>
      <c r="F284" s="7">
        <f t="shared" si="59"/>
        <v>-26484646</v>
      </c>
      <c r="G284" s="7">
        <f t="shared" si="60"/>
        <v>39.094258695356515</v>
      </c>
      <c r="H284" s="7">
        <f aca="true" t="shared" si="62" ref="H284:H293">E284-C284</f>
        <v>-26335699</v>
      </c>
      <c r="I284" s="7">
        <f aca="true" t="shared" si="63" ref="I284:I292">E284*100/C284</f>
        <v>39.22862764945825</v>
      </c>
    </row>
    <row r="285" spans="1:9" ht="26.25" hidden="1">
      <c r="A285" s="18" t="s">
        <v>20</v>
      </c>
      <c r="B285" s="29">
        <f>B286</f>
        <v>41553</v>
      </c>
      <c r="C285" s="29">
        <f>C286</f>
        <v>41553</v>
      </c>
      <c r="D285" s="29">
        <f t="shared" si="58"/>
        <v>100</v>
      </c>
      <c r="E285" s="29">
        <f>E286</f>
        <v>41553</v>
      </c>
      <c r="F285" s="16">
        <f t="shared" si="59"/>
        <v>0</v>
      </c>
      <c r="G285" s="16">
        <f t="shared" si="60"/>
        <v>100</v>
      </c>
      <c r="H285" s="16">
        <f t="shared" si="61"/>
        <v>0</v>
      </c>
      <c r="I285" s="16">
        <f t="shared" si="63"/>
        <v>100</v>
      </c>
    </row>
    <row r="286" spans="1:9" ht="26.25" hidden="1">
      <c r="A286" s="14" t="s">
        <v>21</v>
      </c>
      <c r="B286" s="27">
        <f>B287</f>
        <v>41553</v>
      </c>
      <c r="C286" s="27">
        <f>C287</f>
        <v>41553</v>
      </c>
      <c r="D286" s="7">
        <f t="shared" si="58"/>
        <v>100</v>
      </c>
      <c r="E286" s="28">
        <f>E287</f>
        <v>41553</v>
      </c>
      <c r="F286" s="7">
        <f t="shared" si="59"/>
        <v>0</v>
      </c>
      <c r="G286" s="7">
        <f t="shared" si="60"/>
        <v>100</v>
      </c>
      <c r="H286" s="7">
        <f>E286-C286</f>
        <v>0</v>
      </c>
      <c r="I286" s="7">
        <f>E286*100/C286</f>
        <v>100</v>
      </c>
    </row>
    <row r="287" spans="1:9" ht="39" hidden="1">
      <c r="A287" s="14" t="s">
        <v>22</v>
      </c>
      <c r="B287" s="27">
        <v>41553</v>
      </c>
      <c r="C287" s="27">
        <v>41553</v>
      </c>
      <c r="D287" s="7">
        <f t="shared" si="58"/>
        <v>100</v>
      </c>
      <c r="E287" s="28">
        <v>41553</v>
      </c>
      <c r="F287" s="7">
        <f t="shared" si="59"/>
        <v>0</v>
      </c>
      <c r="G287" s="7">
        <f t="shared" si="60"/>
        <v>100</v>
      </c>
      <c r="H287" s="7">
        <f>E287-C287</f>
        <v>0</v>
      </c>
      <c r="I287" s="7">
        <f>E287*100/C287</f>
        <v>100</v>
      </c>
    </row>
    <row r="288" spans="1:9" ht="12.75" hidden="1">
      <c r="A288" s="18" t="s">
        <v>222</v>
      </c>
      <c r="B288" s="29">
        <f>-(B289-B291)</f>
        <v>236925489.1</v>
      </c>
      <c r="C288" s="29">
        <f>-(C289-C291)</f>
        <v>238187482.6</v>
      </c>
      <c r="D288" s="16"/>
      <c r="E288" s="29" t="e">
        <f>-(E289-E291)</f>
        <v>#REF!</v>
      </c>
      <c r="F288" s="16" t="e">
        <f t="shared" si="59"/>
        <v>#REF!</v>
      </c>
      <c r="G288" s="16"/>
      <c r="H288" s="16" t="e">
        <f t="shared" si="62"/>
        <v>#REF!</v>
      </c>
      <c r="I288" s="16"/>
    </row>
    <row r="289" spans="1:9" ht="26.25" hidden="1">
      <c r="A289" s="14" t="s">
        <v>160</v>
      </c>
      <c r="B289" s="7">
        <f>SUM(B165,B277,B282,B296,B302,B303)</f>
        <v>136545628.9</v>
      </c>
      <c r="C289" s="7">
        <f>SUM(C165,C277,C282,C296,C302,C303)</f>
        <v>101090153.4</v>
      </c>
      <c r="D289" s="7">
        <f>C289*100/B289</f>
        <v>74.03397253678034</v>
      </c>
      <c r="E289" s="30" t="e">
        <f>SUM(E165,E277,E282,E302,E303)</f>
        <v>#REF!</v>
      </c>
      <c r="F289" s="7" t="e">
        <f t="shared" si="59"/>
        <v>#REF!</v>
      </c>
      <c r="G289" s="7" t="e">
        <f>E289*100/B289</f>
        <v>#REF!</v>
      </c>
      <c r="H289" s="7" t="e">
        <f t="shared" si="62"/>
        <v>#REF!</v>
      </c>
      <c r="I289" s="7" t="e">
        <f t="shared" si="63"/>
        <v>#REF!</v>
      </c>
    </row>
    <row r="290" spans="1:9" ht="26.25" hidden="1">
      <c r="A290" s="14" t="s">
        <v>223</v>
      </c>
      <c r="B290" s="7">
        <v>5582000</v>
      </c>
      <c r="C290" s="7">
        <v>5582000</v>
      </c>
      <c r="D290" s="7">
        <f>C290*100/B290</f>
        <v>100</v>
      </c>
      <c r="E290" s="30"/>
      <c r="F290" s="7">
        <f t="shared" si="59"/>
        <v>-5582000</v>
      </c>
      <c r="G290" s="7">
        <f>E290*100/B290</f>
        <v>0</v>
      </c>
      <c r="H290" s="7">
        <f t="shared" si="62"/>
        <v>-5582000</v>
      </c>
      <c r="I290" s="7">
        <f t="shared" si="63"/>
        <v>0</v>
      </c>
    </row>
    <row r="291" spans="1:9" ht="26.25" hidden="1">
      <c r="A291" s="14" t="s">
        <v>161</v>
      </c>
      <c r="B291" s="7">
        <f>B267+B279+B284+B287-B299+B304</f>
        <v>373471118</v>
      </c>
      <c r="C291" s="7">
        <f>C267+C279+C284+C287-C299+C304</f>
        <v>339277636</v>
      </c>
      <c r="D291" s="7">
        <f>C291*100/B291</f>
        <v>90.84441062454528</v>
      </c>
      <c r="E291" s="30">
        <f>E267+E279+E284-E295+E287-E299+E304</f>
        <v>385905122</v>
      </c>
      <c r="F291" s="7">
        <f t="shared" si="59"/>
        <v>12434004</v>
      </c>
      <c r="G291" s="7">
        <f>E291*100/B291</f>
        <v>103.32930805107131</v>
      </c>
      <c r="H291" s="7">
        <f t="shared" si="62"/>
        <v>46627486</v>
      </c>
      <c r="I291" s="7">
        <f t="shared" si="63"/>
        <v>113.74316519937082</v>
      </c>
    </row>
    <row r="292" spans="1:9" ht="26.25" hidden="1">
      <c r="A292" s="14" t="s">
        <v>224</v>
      </c>
      <c r="B292" s="7">
        <v>5582000</v>
      </c>
      <c r="C292" s="7">
        <v>5582000</v>
      </c>
      <c r="D292" s="7">
        <f>C292*100/B292</f>
        <v>100</v>
      </c>
      <c r="E292" s="30"/>
      <c r="F292" s="7">
        <f t="shared" si="59"/>
        <v>-5582000</v>
      </c>
      <c r="G292" s="7">
        <f>E292*100/B292</f>
        <v>0</v>
      </c>
      <c r="H292" s="7">
        <f t="shared" si="62"/>
        <v>-5582000</v>
      </c>
      <c r="I292" s="7">
        <f t="shared" si="63"/>
        <v>0</v>
      </c>
    </row>
    <row r="293" spans="1:9" ht="12.75" hidden="1">
      <c r="A293" s="18" t="s">
        <v>225</v>
      </c>
      <c r="B293" s="29">
        <f>SUM(B294,B297,B300)</f>
        <v>-11807911</v>
      </c>
      <c r="C293" s="29">
        <f>SUM(C294,C297,C300)</f>
        <v>-15404988</v>
      </c>
      <c r="D293" s="16"/>
      <c r="E293" s="29">
        <f>SUM(E294,E297,E300)</f>
        <v>-17754577</v>
      </c>
      <c r="F293" s="16">
        <f t="shared" si="59"/>
        <v>-5946666</v>
      </c>
      <c r="G293" s="16"/>
      <c r="H293" s="16">
        <f t="shared" si="62"/>
        <v>-2349589</v>
      </c>
      <c r="I293" s="16"/>
    </row>
    <row r="294" spans="1:9" ht="26.25" hidden="1">
      <c r="A294" s="14" t="s">
        <v>226</v>
      </c>
      <c r="B294" s="7">
        <f>B295</f>
        <v>14141616</v>
      </c>
      <c r="C294" s="7">
        <f>C295</f>
        <v>14141616</v>
      </c>
      <c r="D294" s="7">
        <f aca="true" t="shared" si="64" ref="D294:D306">C294*100/B294</f>
        <v>100</v>
      </c>
      <c r="E294" s="30">
        <f>E295</f>
        <v>44372</v>
      </c>
      <c r="F294" s="7">
        <f t="shared" si="59"/>
        <v>-14097244</v>
      </c>
      <c r="G294" s="7">
        <f aca="true" t="shared" si="65" ref="G294:G306">E294*100/B294</f>
        <v>0.31376894974379166</v>
      </c>
      <c r="H294" s="7">
        <f aca="true" t="shared" si="66" ref="H294:H306">E294-C294</f>
        <v>-14097244</v>
      </c>
      <c r="I294" s="7">
        <f aca="true" t="shared" si="67" ref="I294:I304">E294*100/C294</f>
        <v>0.31376894974379166</v>
      </c>
    </row>
    <row r="295" spans="1:9" ht="26.25" hidden="1">
      <c r="A295" s="8" t="s">
        <v>23</v>
      </c>
      <c r="B295" s="7">
        <f>B296</f>
        <v>14141616</v>
      </c>
      <c r="C295" s="7">
        <f>C296</f>
        <v>14141616</v>
      </c>
      <c r="D295" s="7">
        <f t="shared" si="64"/>
        <v>100</v>
      </c>
      <c r="E295" s="30">
        <f>E296</f>
        <v>44372</v>
      </c>
      <c r="F295" s="7">
        <f t="shared" si="59"/>
        <v>-14097244</v>
      </c>
      <c r="G295" s="7">
        <f t="shared" si="65"/>
        <v>0.31376894974379166</v>
      </c>
      <c r="H295" s="7">
        <f t="shared" si="66"/>
        <v>-14097244</v>
      </c>
      <c r="I295" s="7">
        <f t="shared" si="67"/>
        <v>0.31376894974379166</v>
      </c>
    </row>
    <row r="296" spans="1:9" ht="26.25" hidden="1">
      <c r="A296" s="8" t="s">
        <v>24</v>
      </c>
      <c r="B296" s="7">
        <v>14141616</v>
      </c>
      <c r="C296" s="7">
        <v>14141616</v>
      </c>
      <c r="D296" s="7">
        <f t="shared" si="64"/>
        <v>100</v>
      </c>
      <c r="E296" s="30">
        <v>44372</v>
      </c>
      <c r="F296" s="7">
        <f t="shared" si="59"/>
        <v>-14097244</v>
      </c>
      <c r="G296" s="7">
        <f t="shared" si="65"/>
        <v>0.31376894974379166</v>
      </c>
      <c r="H296" s="7">
        <f t="shared" si="66"/>
        <v>-14097244</v>
      </c>
      <c r="I296" s="7">
        <f t="shared" si="67"/>
        <v>0.31376894974379166</v>
      </c>
    </row>
    <row r="297" spans="1:9" ht="26.25" hidden="1">
      <c r="A297" s="14" t="s">
        <v>227</v>
      </c>
      <c r="B297" s="7">
        <f>B298</f>
        <v>-33745248</v>
      </c>
      <c r="C297" s="7">
        <f aca="true" t="shared" si="68" ref="C297:E298">C298</f>
        <v>-33745248</v>
      </c>
      <c r="D297" s="7">
        <f t="shared" si="64"/>
        <v>100</v>
      </c>
      <c r="E297" s="30">
        <f t="shared" si="68"/>
        <v>-17990353</v>
      </c>
      <c r="F297" s="7">
        <f t="shared" si="59"/>
        <v>15754895</v>
      </c>
      <c r="G297" s="7">
        <f t="shared" si="65"/>
        <v>53.312255995273766</v>
      </c>
      <c r="H297" s="7">
        <f t="shared" si="66"/>
        <v>15754895</v>
      </c>
      <c r="I297" s="7">
        <f t="shared" si="67"/>
        <v>53.312255995273766</v>
      </c>
    </row>
    <row r="298" spans="1:9" ht="66" hidden="1">
      <c r="A298" s="14" t="s">
        <v>228</v>
      </c>
      <c r="B298" s="7">
        <f>B299</f>
        <v>-33745248</v>
      </c>
      <c r="C298" s="7">
        <f t="shared" si="68"/>
        <v>-33745248</v>
      </c>
      <c r="D298" s="7">
        <f t="shared" si="64"/>
        <v>100</v>
      </c>
      <c r="E298" s="30">
        <f>E299</f>
        <v>-17990353</v>
      </c>
      <c r="F298" s="7">
        <f t="shared" si="59"/>
        <v>15754895</v>
      </c>
      <c r="G298" s="7">
        <f t="shared" si="65"/>
        <v>53.312255995273766</v>
      </c>
      <c r="H298" s="7">
        <f t="shared" si="66"/>
        <v>15754895</v>
      </c>
      <c r="I298" s="7">
        <f t="shared" si="67"/>
        <v>53.312255995273766</v>
      </c>
    </row>
    <row r="299" spans="1:9" ht="66" hidden="1">
      <c r="A299" s="14" t="s">
        <v>231</v>
      </c>
      <c r="B299" s="7">
        <v>-33745248</v>
      </c>
      <c r="C299" s="7">
        <v>-33745248</v>
      </c>
      <c r="D299" s="7">
        <f t="shared" si="64"/>
        <v>100</v>
      </c>
      <c r="E299" s="30">
        <v>-17990353</v>
      </c>
      <c r="F299" s="7">
        <f t="shared" si="59"/>
        <v>15754895</v>
      </c>
      <c r="G299" s="7">
        <f t="shared" si="65"/>
        <v>53.312255995273766</v>
      </c>
      <c r="H299" s="7">
        <f t="shared" si="66"/>
        <v>15754895</v>
      </c>
      <c r="I299" s="7">
        <f t="shared" si="67"/>
        <v>53.312255995273766</v>
      </c>
    </row>
    <row r="300" spans="1:9" ht="26.25" hidden="1">
      <c r="A300" s="14" t="s">
        <v>229</v>
      </c>
      <c r="B300" s="7">
        <f>B301-B304</f>
        <v>7795721</v>
      </c>
      <c r="C300" s="7">
        <f>C301-C304</f>
        <v>4198644</v>
      </c>
      <c r="D300" s="7">
        <f t="shared" si="64"/>
        <v>53.85831535017736</v>
      </c>
      <c r="E300" s="30">
        <f>E301-E304</f>
        <v>191404</v>
      </c>
      <c r="F300" s="7">
        <f t="shared" si="59"/>
        <v>-7604317</v>
      </c>
      <c r="G300" s="7">
        <f t="shared" si="65"/>
        <v>2.4552443577701153</v>
      </c>
      <c r="H300" s="7">
        <f t="shared" si="66"/>
        <v>-4007240</v>
      </c>
      <c r="I300" s="7">
        <f t="shared" si="67"/>
        <v>4.558709907293879</v>
      </c>
    </row>
    <row r="301" spans="1:9" ht="26.25" hidden="1">
      <c r="A301" s="14" t="s">
        <v>230</v>
      </c>
      <c r="B301" s="7">
        <f>SUM(B302:B303)</f>
        <v>44490616</v>
      </c>
      <c r="C301" s="7">
        <f>SUM(C302:C303)</f>
        <v>9198644</v>
      </c>
      <c r="D301" s="7">
        <f t="shared" si="64"/>
        <v>20.675470081151495</v>
      </c>
      <c r="E301" s="30">
        <f>SUM(E302:E303)</f>
        <v>3191404</v>
      </c>
      <c r="F301" s="7">
        <f t="shared" si="59"/>
        <v>-41299212</v>
      </c>
      <c r="G301" s="7">
        <f t="shared" si="65"/>
        <v>7.17320704213221</v>
      </c>
      <c r="H301" s="7">
        <f t="shared" si="66"/>
        <v>-6007240</v>
      </c>
      <c r="I301" s="7">
        <f t="shared" si="67"/>
        <v>34.694287549338796</v>
      </c>
    </row>
    <row r="302" spans="1:9" ht="26.25" hidden="1">
      <c r="A302" s="14" t="s">
        <v>232</v>
      </c>
      <c r="B302" s="7">
        <v>21490616</v>
      </c>
      <c r="C302" s="7">
        <v>4198644</v>
      </c>
      <c r="D302" s="7">
        <f t="shared" si="64"/>
        <v>19.5371040085589</v>
      </c>
      <c r="E302" s="30">
        <v>191404</v>
      </c>
      <c r="F302" s="7">
        <f t="shared" si="59"/>
        <v>-21299212</v>
      </c>
      <c r="G302" s="7">
        <f t="shared" si="65"/>
        <v>0.890639896036484</v>
      </c>
      <c r="H302" s="7">
        <f t="shared" si="66"/>
        <v>-4007240</v>
      </c>
      <c r="I302" s="7">
        <f t="shared" si="67"/>
        <v>4.558709907293879</v>
      </c>
    </row>
    <row r="303" spans="1:9" ht="39" hidden="1">
      <c r="A303" s="14" t="s">
        <v>233</v>
      </c>
      <c r="B303" s="7">
        <v>23000000</v>
      </c>
      <c r="C303" s="7">
        <v>5000000</v>
      </c>
      <c r="D303" s="7">
        <f t="shared" si="64"/>
        <v>21.73913043478261</v>
      </c>
      <c r="E303" s="30">
        <v>3000000</v>
      </c>
      <c r="F303" s="7">
        <f t="shared" si="59"/>
        <v>-20000000</v>
      </c>
      <c r="G303" s="7">
        <f t="shared" si="65"/>
        <v>13.043478260869565</v>
      </c>
      <c r="H303" s="7">
        <f t="shared" si="66"/>
        <v>-2000000</v>
      </c>
      <c r="I303" s="7">
        <f t="shared" si="67"/>
        <v>60</v>
      </c>
    </row>
    <row r="304" spans="1:9" ht="26.25" hidden="1">
      <c r="A304" s="14" t="s">
        <v>234</v>
      </c>
      <c r="B304" s="7">
        <f>SUM(B305:B306)</f>
        <v>36694895</v>
      </c>
      <c r="C304" s="7">
        <f>SUM(C305:C306)</f>
        <v>5000000</v>
      </c>
      <c r="D304" s="7">
        <f t="shared" si="64"/>
        <v>13.625873571787029</v>
      </c>
      <c r="E304" s="30">
        <f>SUM(E305:E306)</f>
        <v>3000000</v>
      </c>
      <c r="F304" s="7">
        <f t="shared" si="59"/>
        <v>-33694895</v>
      </c>
      <c r="G304" s="7">
        <f t="shared" si="65"/>
        <v>8.175524143072218</v>
      </c>
      <c r="H304" s="7">
        <f t="shared" si="66"/>
        <v>-2000000</v>
      </c>
      <c r="I304" s="7">
        <f t="shared" si="67"/>
        <v>60</v>
      </c>
    </row>
    <row r="305" spans="1:9" ht="26.25" hidden="1">
      <c r="A305" s="14" t="s">
        <v>235</v>
      </c>
      <c r="B305" s="7">
        <v>13694895</v>
      </c>
      <c r="C305" s="7">
        <v>0</v>
      </c>
      <c r="D305" s="7">
        <f t="shared" si="64"/>
        <v>0</v>
      </c>
      <c r="E305" s="30">
        <v>0</v>
      </c>
      <c r="F305" s="7">
        <f t="shared" si="59"/>
        <v>-13694895</v>
      </c>
      <c r="G305" s="7">
        <f t="shared" si="65"/>
        <v>0</v>
      </c>
      <c r="H305" s="7">
        <f t="shared" si="66"/>
        <v>0</v>
      </c>
      <c r="I305" s="7">
        <v>0</v>
      </c>
    </row>
    <row r="306" spans="1:9" ht="39" hidden="1">
      <c r="A306" s="14" t="s">
        <v>236</v>
      </c>
      <c r="B306" s="7">
        <v>23000000</v>
      </c>
      <c r="C306" s="7">
        <v>5000000</v>
      </c>
      <c r="D306" s="7">
        <f t="shared" si="64"/>
        <v>21.73913043478261</v>
      </c>
      <c r="E306" s="30">
        <v>3000000</v>
      </c>
      <c r="F306" s="7">
        <f t="shared" si="59"/>
        <v>-20000000</v>
      </c>
      <c r="G306" s="7">
        <f t="shared" si="65"/>
        <v>13.043478260869565</v>
      </c>
      <c r="H306" s="7">
        <f t="shared" si="66"/>
        <v>-2000000</v>
      </c>
      <c r="I306" s="7">
        <f>E306*100/C306</f>
        <v>60</v>
      </c>
    </row>
    <row r="307" spans="1:9" ht="12.75" hidden="1">
      <c r="A307" s="84" t="s">
        <v>156</v>
      </c>
      <c r="B307" s="85">
        <v>2030980.9</v>
      </c>
      <c r="C307" s="85">
        <v>1867477.4</v>
      </c>
      <c r="D307" s="86">
        <f>C307*100/B307</f>
        <v>91.9495303968639</v>
      </c>
      <c r="E307" s="23"/>
      <c r="F307" s="23"/>
      <c r="G307" s="24"/>
      <c r="H307" s="25"/>
      <c r="I307" s="24"/>
    </row>
    <row r="308" spans="1:9" ht="12.75">
      <c r="A308" s="87" t="s">
        <v>282</v>
      </c>
      <c r="B308" s="88"/>
      <c r="C308" s="88"/>
      <c r="D308" s="89"/>
      <c r="E308" s="23"/>
      <c r="F308" s="23"/>
      <c r="G308" s="24"/>
      <c r="H308" s="25"/>
      <c r="I308" s="24"/>
    </row>
    <row r="309" spans="1:9" ht="12.75">
      <c r="A309" s="90"/>
      <c r="B309" s="7"/>
      <c r="C309" s="7"/>
      <c r="D309" s="91"/>
      <c r="E309" s="23"/>
      <c r="F309" s="23"/>
      <c r="G309" s="24"/>
      <c r="H309" s="25"/>
      <c r="I309" s="24"/>
    </row>
    <row r="310" spans="1:9" ht="12.75">
      <c r="A310" s="92" t="s">
        <v>162</v>
      </c>
      <c r="B310" s="16">
        <f>B312+B313+B314+B315+B317+B318+B316</f>
        <v>245328.8</v>
      </c>
      <c r="C310" s="16">
        <f>C312+C313+C314+C315+C317+C318+C316</f>
        <v>221530.4</v>
      </c>
      <c r="D310" s="67">
        <f>C310*100/B310</f>
        <v>90.29938596691461</v>
      </c>
      <c r="E310" s="23"/>
      <c r="F310" s="23"/>
      <c r="G310" s="24"/>
      <c r="H310" s="25"/>
      <c r="I310" s="24"/>
    </row>
    <row r="311" spans="1:9" ht="12.75">
      <c r="A311" s="93" t="s">
        <v>163</v>
      </c>
      <c r="B311" s="34"/>
      <c r="C311" s="34"/>
      <c r="D311" s="91"/>
      <c r="E311" s="23"/>
      <c r="F311" s="23"/>
      <c r="G311" s="24"/>
      <c r="H311" s="25"/>
      <c r="I311" s="24"/>
    </row>
    <row r="312" spans="1:9" ht="26.25">
      <c r="A312" s="93" t="s">
        <v>90</v>
      </c>
      <c r="B312" s="34">
        <v>2650</v>
      </c>
      <c r="C312" s="34">
        <v>2650</v>
      </c>
      <c r="D312" s="91">
        <f aca="true" t="shared" si="69" ref="D312:D318">C312*100/B312</f>
        <v>100</v>
      </c>
      <c r="E312" s="23"/>
      <c r="F312" s="23"/>
      <c r="G312" s="24"/>
      <c r="H312" s="25"/>
      <c r="I312" s="24"/>
    </row>
    <row r="313" spans="1:9" ht="26.25">
      <c r="A313" s="93" t="s">
        <v>91</v>
      </c>
      <c r="B313" s="34">
        <v>11633.5</v>
      </c>
      <c r="C313" s="34">
        <v>10580</v>
      </c>
      <c r="D313" s="91">
        <f t="shared" si="69"/>
        <v>90.94425581295397</v>
      </c>
      <c r="E313" s="23"/>
      <c r="F313" s="23"/>
      <c r="G313" s="24"/>
      <c r="H313" s="25"/>
      <c r="I313" s="24"/>
    </row>
    <row r="314" spans="1:9" ht="39">
      <c r="A314" s="93" t="s">
        <v>94</v>
      </c>
      <c r="B314" s="34">
        <v>67458.4</v>
      </c>
      <c r="C314" s="34">
        <v>60100</v>
      </c>
      <c r="D314" s="91">
        <f t="shared" si="69"/>
        <v>89.09194407219857</v>
      </c>
      <c r="E314" s="23"/>
      <c r="F314" s="23"/>
      <c r="G314" s="24"/>
      <c r="H314" s="25"/>
      <c r="I314" s="24"/>
    </row>
    <row r="315" spans="1:4" ht="26.25">
      <c r="A315" s="93" t="s">
        <v>92</v>
      </c>
      <c r="B315" s="34">
        <v>24220.6</v>
      </c>
      <c r="C315" s="34">
        <v>22524</v>
      </c>
      <c r="D315" s="91">
        <f t="shared" si="69"/>
        <v>92.99521894585601</v>
      </c>
    </row>
    <row r="316" spans="1:4" ht="12.75">
      <c r="A316" s="93" t="s">
        <v>283</v>
      </c>
      <c r="B316" s="34">
        <v>4352.5</v>
      </c>
      <c r="C316" s="34">
        <v>3956.4</v>
      </c>
      <c r="D316" s="91">
        <f t="shared" si="69"/>
        <v>90.89948305571511</v>
      </c>
    </row>
    <row r="317" spans="1:4" ht="12.75">
      <c r="A317" s="93" t="s">
        <v>167</v>
      </c>
      <c r="B317" s="34">
        <v>1109.7</v>
      </c>
      <c r="C317" s="34">
        <v>0</v>
      </c>
      <c r="D317" s="91">
        <f t="shared" si="69"/>
        <v>0</v>
      </c>
    </row>
    <row r="318" spans="1:4" ht="12.75">
      <c r="A318" s="93" t="s">
        <v>168</v>
      </c>
      <c r="B318" s="34">
        <v>133904.1</v>
      </c>
      <c r="C318" s="34">
        <v>121720</v>
      </c>
      <c r="D318" s="91">
        <f t="shared" si="69"/>
        <v>90.90087607474304</v>
      </c>
    </row>
    <row r="319" spans="1:4" ht="12.75">
      <c r="A319" s="93"/>
      <c r="B319" s="34"/>
      <c r="C319" s="34"/>
      <c r="D319" s="91"/>
    </row>
    <row r="320" spans="1:4" ht="12.75">
      <c r="A320" s="92" t="s">
        <v>193</v>
      </c>
      <c r="B320" s="16">
        <f>B323+B322</f>
        <v>3774</v>
      </c>
      <c r="C320" s="16">
        <f>C323+C322</f>
        <v>3626</v>
      </c>
      <c r="D320" s="95">
        <f>C320*100/B320</f>
        <v>96.07843137254902</v>
      </c>
    </row>
    <row r="321" spans="1:4" ht="12.75">
      <c r="A321" s="93" t="s">
        <v>163</v>
      </c>
      <c r="B321" s="34"/>
      <c r="C321" s="34"/>
      <c r="D321" s="91"/>
    </row>
    <row r="322" spans="1:4" ht="12.75">
      <c r="A322" s="93" t="s">
        <v>284</v>
      </c>
      <c r="B322" s="34">
        <v>3476</v>
      </c>
      <c r="C322" s="34">
        <v>3476</v>
      </c>
      <c r="D322" s="91">
        <f>C322*100/B322</f>
        <v>100</v>
      </c>
    </row>
    <row r="323" spans="1:4" ht="12.75">
      <c r="A323" s="96" t="s">
        <v>285</v>
      </c>
      <c r="B323" s="34">
        <v>298</v>
      </c>
      <c r="C323" s="34">
        <v>150</v>
      </c>
      <c r="D323" s="91">
        <f>C323*100/B323</f>
        <v>50.33557046979866</v>
      </c>
    </row>
    <row r="324" spans="1:4" ht="12.75">
      <c r="A324" s="92" t="s">
        <v>169</v>
      </c>
      <c r="B324" s="16">
        <f>SUM(B326:B327)</f>
        <v>34467.1</v>
      </c>
      <c r="C324" s="16">
        <f>SUM(C326:C327)</f>
        <v>28477.8</v>
      </c>
      <c r="D324" s="67">
        <f>C324*100/B324</f>
        <v>82.62313916749596</v>
      </c>
    </row>
    <row r="325" spans="1:4" ht="12.75">
      <c r="A325" s="93" t="s">
        <v>163</v>
      </c>
      <c r="B325" s="34"/>
      <c r="C325" s="34"/>
      <c r="D325" s="91"/>
    </row>
    <row r="326" spans="1:4" ht="26.25">
      <c r="A326" s="93" t="s">
        <v>286</v>
      </c>
      <c r="B326" s="34">
        <v>24684</v>
      </c>
      <c r="C326" s="34">
        <v>21104.8</v>
      </c>
      <c r="D326" s="91">
        <f>C326*100/B326</f>
        <v>85.49991897585481</v>
      </c>
    </row>
    <row r="327" spans="1:4" ht="26.25">
      <c r="A327" s="93" t="s">
        <v>171</v>
      </c>
      <c r="B327" s="34">
        <v>9783.1</v>
      </c>
      <c r="C327" s="34">
        <v>7373</v>
      </c>
      <c r="D327" s="91">
        <f>C327*100/B327</f>
        <v>75.36465946376914</v>
      </c>
    </row>
    <row r="328" spans="1:4" ht="12.75">
      <c r="A328" s="93"/>
      <c r="B328" s="34"/>
      <c r="C328" s="34"/>
      <c r="D328" s="91"/>
    </row>
    <row r="329" spans="1:4" ht="12.75">
      <c r="A329" s="92" t="s">
        <v>172</v>
      </c>
      <c r="B329" s="16">
        <f>SUM(B331:B335)</f>
        <v>105775.2</v>
      </c>
      <c r="C329" s="16">
        <f>SUM(C331:C335)</f>
        <v>86055.2</v>
      </c>
      <c r="D329" s="67">
        <f>C329*100/B329</f>
        <v>81.35668852434219</v>
      </c>
    </row>
    <row r="330" spans="1:4" ht="12.75">
      <c r="A330" s="93" t="s">
        <v>163</v>
      </c>
      <c r="B330" s="34"/>
      <c r="C330" s="34"/>
      <c r="D330" s="69"/>
    </row>
    <row r="331" spans="1:4" ht="12.75">
      <c r="A331" s="93" t="s">
        <v>287</v>
      </c>
      <c r="B331" s="34">
        <v>846</v>
      </c>
      <c r="C331" s="34">
        <v>846</v>
      </c>
      <c r="D331" s="97">
        <f>C331*100/B331</f>
        <v>100</v>
      </c>
    </row>
    <row r="332" spans="1:4" ht="12.75">
      <c r="A332" s="93" t="s">
        <v>176</v>
      </c>
      <c r="B332" s="34">
        <v>21295.2</v>
      </c>
      <c r="C332" s="34">
        <v>16110</v>
      </c>
      <c r="D332" s="91">
        <f>C332*100/B332</f>
        <v>75.65085089597656</v>
      </c>
    </row>
    <row r="333" spans="1:4" ht="12.75">
      <c r="A333" s="93" t="s">
        <v>244</v>
      </c>
      <c r="B333" s="34">
        <v>73949</v>
      </c>
      <c r="C333" s="34">
        <v>61556.7</v>
      </c>
      <c r="D333" s="91">
        <f>C333*100/B333</f>
        <v>83.24209928464212</v>
      </c>
    </row>
    <row r="334" spans="1:4" ht="12.75">
      <c r="A334" s="93" t="s">
        <v>288</v>
      </c>
      <c r="B334" s="34">
        <v>8434.4</v>
      </c>
      <c r="C334" s="34">
        <v>6505</v>
      </c>
      <c r="D334" s="91">
        <f>C334*100/B334</f>
        <v>77.12463245755478</v>
      </c>
    </row>
    <row r="335" spans="1:4" ht="12.75">
      <c r="A335" s="93" t="s">
        <v>179</v>
      </c>
      <c r="B335" s="34">
        <v>1250.6</v>
      </c>
      <c r="C335" s="34">
        <v>1037.5</v>
      </c>
      <c r="D335" s="91">
        <f>C335*100/B335</f>
        <v>82.96017911402528</v>
      </c>
    </row>
    <row r="336" spans="1:4" ht="12.75">
      <c r="A336" s="93"/>
      <c r="B336" s="34"/>
      <c r="C336" s="34"/>
      <c r="D336" s="91"/>
    </row>
    <row r="337" spans="1:4" ht="12.75">
      <c r="A337" s="92" t="s">
        <v>180</v>
      </c>
      <c r="B337" s="16">
        <f>B339+B340+B342+B341</f>
        <v>272866.1</v>
      </c>
      <c r="C337" s="16">
        <f>C339+C340+C342+C341</f>
        <v>239632.6</v>
      </c>
      <c r="D337" s="67">
        <f>C337*100/B337</f>
        <v>87.82058306253508</v>
      </c>
    </row>
    <row r="338" spans="1:4" ht="12.75">
      <c r="A338" s="93" t="s">
        <v>163</v>
      </c>
      <c r="B338" s="34"/>
      <c r="C338" s="34"/>
      <c r="D338" s="91"/>
    </row>
    <row r="339" spans="1:4" ht="12.75">
      <c r="A339" s="93" t="s">
        <v>181</v>
      </c>
      <c r="B339" s="34">
        <v>27111.4</v>
      </c>
      <c r="C339" s="34">
        <v>25100</v>
      </c>
      <c r="D339" s="91">
        <f>C339*100/B339</f>
        <v>92.58098069446801</v>
      </c>
    </row>
    <row r="340" spans="1:4" ht="12.75">
      <c r="A340" s="93" t="s">
        <v>182</v>
      </c>
      <c r="B340" s="34">
        <v>35700</v>
      </c>
      <c r="C340" s="34">
        <v>33200</v>
      </c>
      <c r="D340" s="91">
        <f>C340*100/B340</f>
        <v>92.99719887955182</v>
      </c>
    </row>
    <row r="341" spans="1:4" ht="12.75">
      <c r="A341" s="93" t="s">
        <v>289</v>
      </c>
      <c r="B341" s="34">
        <v>186164.4</v>
      </c>
      <c r="C341" s="34">
        <v>160548</v>
      </c>
      <c r="D341" s="91">
        <f>C341*100/B341</f>
        <v>86.23990408477668</v>
      </c>
    </row>
    <row r="342" spans="1:4" ht="12.75">
      <c r="A342" s="93" t="s">
        <v>183</v>
      </c>
      <c r="B342" s="34">
        <v>23890.3</v>
      </c>
      <c r="C342" s="34">
        <v>20784.6</v>
      </c>
      <c r="D342" s="91">
        <f>C342*100/B342</f>
        <v>87.00016324617103</v>
      </c>
    </row>
    <row r="343" spans="1:4" ht="12.75">
      <c r="A343" s="92" t="s">
        <v>184</v>
      </c>
      <c r="B343" s="16">
        <v>0</v>
      </c>
      <c r="C343" s="16">
        <v>0</v>
      </c>
      <c r="D343" s="67">
        <v>0</v>
      </c>
    </row>
    <row r="344" spans="1:4" ht="12.75">
      <c r="A344" s="93" t="s">
        <v>163</v>
      </c>
      <c r="B344" s="34"/>
      <c r="C344" s="34"/>
      <c r="D344" s="91"/>
    </row>
    <row r="345" spans="1:4" ht="12.75">
      <c r="A345" s="93" t="s">
        <v>115</v>
      </c>
      <c r="B345" s="34">
        <v>464</v>
      </c>
      <c r="C345" s="34">
        <v>464</v>
      </c>
      <c r="D345" s="91">
        <f>C345*100/B345</f>
        <v>100</v>
      </c>
    </row>
    <row r="346" spans="1:4" ht="12.75">
      <c r="A346" s="92" t="s">
        <v>290</v>
      </c>
      <c r="B346" s="16">
        <f>B348</f>
        <v>665.2</v>
      </c>
      <c r="C346" s="16">
        <f>C348</f>
        <v>665.2</v>
      </c>
      <c r="D346" s="67">
        <f>C346*100/B346</f>
        <v>100</v>
      </c>
    </row>
    <row r="347" spans="1:4" ht="12.75">
      <c r="A347" s="93" t="s">
        <v>163</v>
      </c>
      <c r="B347" s="34"/>
      <c r="C347" s="34"/>
      <c r="D347" s="91"/>
    </row>
    <row r="348" spans="1:4" ht="12.75">
      <c r="A348" s="93" t="s">
        <v>291</v>
      </c>
      <c r="B348" s="34">
        <v>665.2</v>
      </c>
      <c r="C348" s="34">
        <v>665.2</v>
      </c>
      <c r="D348" s="91">
        <f>C348*100/B348</f>
        <v>100</v>
      </c>
    </row>
    <row r="349" spans="1:4" ht="12.75">
      <c r="A349" s="92" t="s">
        <v>187</v>
      </c>
      <c r="B349" s="16">
        <f>B351+B352+B354+B355+B353</f>
        <v>1100918.5</v>
      </c>
      <c r="C349" s="16">
        <f>C351+C352+C354+C355+C353</f>
        <v>1029489.7999999999</v>
      </c>
      <c r="D349" s="67">
        <f>C349*100/B349</f>
        <v>93.51189938219768</v>
      </c>
    </row>
    <row r="350" spans="1:4" ht="12.75">
      <c r="A350" s="93" t="s">
        <v>163</v>
      </c>
      <c r="B350" s="34"/>
      <c r="C350" s="34"/>
      <c r="D350" s="91"/>
    </row>
    <row r="351" spans="1:4" ht="12.75">
      <c r="A351" s="93" t="s">
        <v>292</v>
      </c>
      <c r="B351" s="34">
        <v>447624.6</v>
      </c>
      <c r="C351" s="34">
        <v>424700</v>
      </c>
      <c r="D351" s="91">
        <f>C351*100/B351</f>
        <v>94.87861033553563</v>
      </c>
    </row>
    <row r="352" spans="1:4" ht="12.75">
      <c r="A352" s="93" t="s">
        <v>188</v>
      </c>
      <c r="B352" s="34">
        <v>496113.2</v>
      </c>
      <c r="C352" s="34">
        <v>470623</v>
      </c>
      <c r="D352" s="91">
        <f>C352*100/B352</f>
        <v>94.86201939396089</v>
      </c>
    </row>
    <row r="353" spans="1:4" ht="12.75">
      <c r="A353" s="93" t="s">
        <v>293</v>
      </c>
      <c r="B353" s="34">
        <v>115253.3</v>
      </c>
      <c r="C353" s="34">
        <v>98541.6</v>
      </c>
      <c r="D353" s="91">
        <f>C353*100/B353</f>
        <v>85.50002472814228</v>
      </c>
    </row>
    <row r="354" spans="1:4" ht="12.75">
      <c r="A354" s="93" t="s">
        <v>196</v>
      </c>
      <c r="B354" s="34">
        <v>1408.9</v>
      </c>
      <c r="C354" s="34">
        <v>1183.5</v>
      </c>
      <c r="D354" s="91">
        <f>C354*100/B354</f>
        <v>84.00170345659734</v>
      </c>
    </row>
    <row r="355" spans="1:4" ht="12.75">
      <c r="A355" s="93" t="s">
        <v>198</v>
      </c>
      <c r="B355" s="34">
        <v>40518.5</v>
      </c>
      <c r="C355" s="34">
        <v>34441.7</v>
      </c>
      <c r="D355" s="91">
        <f>C355*100/B355</f>
        <v>85.00240630822957</v>
      </c>
    </row>
    <row r="356" spans="1:4" ht="12.75">
      <c r="A356" s="93"/>
      <c r="B356" s="34"/>
      <c r="C356" s="34"/>
      <c r="D356" s="91"/>
    </row>
    <row r="357" spans="1:4" ht="12.75">
      <c r="A357" s="92" t="s">
        <v>199</v>
      </c>
      <c r="B357" s="16">
        <f>SUM(B359:B359)</f>
        <v>119359.9</v>
      </c>
      <c r="C357" s="16">
        <f>SUM(C359:C359)</f>
        <v>108500</v>
      </c>
      <c r="D357" s="67">
        <f>C357*100/B357</f>
        <v>90.9015506882965</v>
      </c>
    </row>
    <row r="358" spans="1:4" ht="12.75">
      <c r="A358" s="93" t="s">
        <v>163</v>
      </c>
      <c r="B358" s="34"/>
      <c r="C358" s="34"/>
      <c r="D358" s="91"/>
    </row>
    <row r="359" spans="1:4" ht="12.75">
      <c r="A359" s="93" t="s">
        <v>200</v>
      </c>
      <c r="B359" s="34">
        <v>119359.9</v>
      </c>
      <c r="C359" s="34">
        <v>108500</v>
      </c>
      <c r="D359" s="91">
        <f>C359*100/B359</f>
        <v>90.9015506882965</v>
      </c>
    </row>
    <row r="360" spans="1:4" ht="12.75">
      <c r="A360" s="92" t="s">
        <v>308</v>
      </c>
      <c r="B360" s="16">
        <f>SUM(B362:B362)</f>
        <v>15869.8</v>
      </c>
      <c r="C360" s="16">
        <f>SUM(C362:C362)</f>
        <v>15869.8</v>
      </c>
      <c r="D360" s="67">
        <f>C360*100/B360</f>
        <v>100</v>
      </c>
    </row>
    <row r="361" spans="1:4" ht="12.75">
      <c r="A361" s="93" t="s">
        <v>163</v>
      </c>
      <c r="B361" s="34"/>
      <c r="C361" s="34"/>
      <c r="D361" s="91"/>
    </row>
    <row r="362" spans="1:4" ht="12.75">
      <c r="A362" s="93" t="s">
        <v>294</v>
      </c>
      <c r="B362" s="34">
        <v>15869.8</v>
      </c>
      <c r="C362" s="34">
        <v>15869.8</v>
      </c>
      <c r="D362" s="91">
        <f>C362*100/B362</f>
        <v>100</v>
      </c>
    </row>
    <row r="363" spans="1:4" ht="12.75">
      <c r="A363" s="93"/>
      <c r="B363" s="34"/>
      <c r="C363" s="34"/>
      <c r="D363" s="91"/>
    </row>
    <row r="364" spans="1:4" ht="12.75">
      <c r="A364" s="92" t="s">
        <v>204</v>
      </c>
      <c r="B364" s="16">
        <f>SUM(B366:B368)+B369</f>
        <v>94460.6</v>
      </c>
      <c r="C364" s="16">
        <f>SUM(C366:C368)+C369</f>
        <v>91537.9</v>
      </c>
      <c r="D364" s="67">
        <f>C364*100/B364</f>
        <v>96.90590574271177</v>
      </c>
    </row>
    <row r="365" spans="1:4" ht="12.75">
      <c r="A365" s="93" t="s">
        <v>163</v>
      </c>
      <c r="B365" s="34"/>
      <c r="C365" s="34"/>
      <c r="D365" s="91"/>
    </row>
    <row r="366" spans="1:4" ht="12.75">
      <c r="A366" s="93" t="s">
        <v>205</v>
      </c>
      <c r="B366" s="34">
        <v>6055.3</v>
      </c>
      <c r="C366" s="34">
        <v>6055.3</v>
      </c>
      <c r="D366" s="91">
        <f>C366*100/B366</f>
        <v>100</v>
      </c>
    </row>
    <row r="367" spans="1:4" ht="12.75">
      <c r="A367" s="93" t="s">
        <v>207</v>
      </c>
      <c r="B367" s="34">
        <v>27450.6</v>
      </c>
      <c r="C367" s="34">
        <v>26352.6</v>
      </c>
      <c r="D367" s="91">
        <f aca="true" t="shared" si="70" ref="D367:D379">C367*100/B367</f>
        <v>96.00008742978297</v>
      </c>
    </row>
    <row r="368" spans="1:4" ht="12.75">
      <c r="A368" s="94" t="s">
        <v>109</v>
      </c>
      <c r="B368" s="7">
        <v>57418.7</v>
      </c>
      <c r="C368" s="7">
        <v>56300</v>
      </c>
      <c r="D368" s="91">
        <f t="shared" si="70"/>
        <v>98.05168002758684</v>
      </c>
    </row>
    <row r="369" spans="1:4" ht="12.75">
      <c r="A369" s="93" t="s">
        <v>295</v>
      </c>
      <c r="B369" s="34">
        <v>3536</v>
      </c>
      <c r="C369" s="34">
        <v>2830</v>
      </c>
      <c r="D369" s="91">
        <f t="shared" si="70"/>
        <v>80.03393665158372</v>
      </c>
    </row>
    <row r="370" spans="1:4" ht="12.75">
      <c r="A370" s="93"/>
      <c r="B370" s="34"/>
      <c r="C370" s="34"/>
      <c r="D370" s="91"/>
    </row>
    <row r="371" spans="1:4" ht="12.75">
      <c r="A371" s="92" t="s">
        <v>296</v>
      </c>
      <c r="B371" s="98">
        <f>B373+B374</f>
        <v>100260.7</v>
      </c>
      <c r="C371" s="98">
        <f>C373+C374</f>
        <v>90500</v>
      </c>
      <c r="D371" s="99">
        <f t="shared" si="70"/>
        <v>90.26467997929399</v>
      </c>
    </row>
    <row r="372" spans="1:4" ht="12.75">
      <c r="A372" s="93" t="s">
        <v>163</v>
      </c>
      <c r="B372" s="100"/>
      <c r="C372" s="100"/>
      <c r="D372" s="91"/>
    </row>
    <row r="373" spans="1:4" ht="12.75">
      <c r="A373" s="93" t="s">
        <v>297</v>
      </c>
      <c r="B373" s="34">
        <v>29821.2</v>
      </c>
      <c r="C373" s="34">
        <v>26800</v>
      </c>
      <c r="D373" s="91">
        <f t="shared" si="70"/>
        <v>89.86895228897562</v>
      </c>
    </row>
    <row r="374" spans="1:4" ht="12.75">
      <c r="A374" s="101" t="s">
        <v>298</v>
      </c>
      <c r="B374" s="102">
        <v>70439.5</v>
      </c>
      <c r="C374" s="102">
        <v>63700</v>
      </c>
      <c r="D374" s="91">
        <f t="shared" si="70"/>
        <v>90.43221487943555</v>
      </c>
    </row>
    <row r="375" spans="1:4" ht="12.75">
      <c r="A375" s="101"/>
      <c r="B375" s="102"/>
      <c r="C375" s="102"/>
      <c r="D375" s="91"/>
    </row>
    <row r="376" spans="1:4" ht="12.75">
      <c r="A376" s="92" t="s">
        <v>299</v>
      </c>
      <c r="B376" s="98">
        <f>B378</f>
        <v>23520.6</v>
      </c>
      <c r="C376" s="98">
        <f>C378</f>
        <v>22600</v>
      </c>
      <c r="D376" s="95">
        <f t="shared" si="70"/>
        <v>96.0859842010833</v>
      </c>
    </row>
    <row r="377" spans="1:4" ht="12.75">
      <c r="A377" s="93" t="s">
        <v>163</v>
      </c>
      <c r="B377" s="34"/>
      <c r="C377" s="34"/>
      <c r="D377" s="91"/>
    </row>
    <row r="378" spans="1:4" ht="12.75">
      <c r="A378" s="93" t="s">
        <v>300</v>
      </c>
      <c r="B378" s="34">
        <v>23520.6</v>
      </c>
      <c r="C378" s="34">
        <v>22600</v>
      </c>
      <c r="D378" s="91">
        <f t="shared" si="70"/>
        <v>96.0859842010833</v>
      </c>
    </row>
    <row r="379" spans="1:4" ht="12.75">
      <c r="A379" s="103" t="s">
        <v>194</v>
      </c>
      <c r="B379" s="22">
        <f>B364+B360+B357+B349+B343+B337+B329+B324+B310+B320+B371+B376+B346</f>
        <v>2117266.5</v>
      </c>
      <c r="C379" s="22">
        <f>C364+C360+C357+C349+C343+C337+C329+C324+C310+C320+C371+C376+C346</f>
        <v>1938484.7</v>
      </c>
      <c r="D379" s="95">
        <f t="shared" si="70"/>
        <v>91.55600865549991</v>
      </c>
    </row>
    <row r="380" spans="1:4" ht="12.75">
      <c r="A380" s="104" t="s">
        <v>301</v>
      </c>
      <c r="B380" s="22">
        <f>B307-B379</f>
        <v>-86285.6000000001</v>
      </c>
      <c r="C380" s="22">
        <f>C307-C379</f>
        <v>-71007.30000000005</v>
      </c>
      <c r="D380" s="22"/>
    </row>
    <row r="381" spans="1:4" ht="12.75">
      <c r="A381" s="104" t="s">
        <v>210</v>
      </c>
      <c r="B381" s="22">
        <v>9.9</v>
      </c>
      <c r="C381" s="22">
        <f>-C380/717969.5*100</f>
        <v>9.890016219351942</v>
      </c>
      <c r="D381" s="22"/>
    </row>
    <row r="382" spans="1:4" ht="12.75">
      <c r="A382" s="104" t="s">
        <v>211</v>
      </c>
      <c r="B382" s="16">
        <f>B383+B388+B391</f>
        <v>86285.6000000001</v>
      </c>
      <c r="C382" s="16">
        <f>C383+C388+C391</f>
        <v>71007.30000000028</v>
      </c>
      <c r="D382" s="67"/>
    </row>
    <row r="383" spans="1:4" ht="12.75">
      <c r="A383" s="106" t="s">
        <v>217</v>
      </c>
      <c r="B383" s="29">
        <f>B384+B386</f>
        <v>124000</v>
      </c>
      <c r="C383" s="29">
        <f>C384+C386</f>
        <v>79000</v>
      </c>
      <c r="D383" s="67"/>
    </row>
    <row r="384" spans="1:4" ht="26.25">
      <c r="A384" s="105" t="s">
        <v>218</v>
      </c>
      <c r="B384" s="7">
        <v>352721</v>
      </c>
      <c r="C384" s="7">
        <f>C385</f>
        <v>307721</v>
      </c>
      <c r="D384" s="91"/>
    </row>
    <row r="385" spans="1:4" ht="26.25">
      <c r="A385" s="105" t="s">
        <v>302</v>
      </c>
      <c r="B385" s="7">
        <v>352721</v>
      </c>
      <c r="C385" s="7">
        <v>307721</v>
      </c>
      <c r="D385" s="91"/>
    </row>
    <row r="386" spans="1:4" ht="26.25">
      <c r="A386" s="105" t="s">
        <v>219</v>
      </c>
      <c r="B386" s="7">
        <v>-228721</v>
      </c>
      <c r="C386" s="7">
        <f>C387</f>
        <v>-228721</v>
      </c>
      <c r="D386" s="91"/>
    </row>
    <row r="387" spans="1:4" ht="26.25">
      <c r="A387" s="105" t="s">
        <v>303</v>
      </c>
      <c r="B387" s="7">
        <v>-228721</v>
      </c>
      <c r="C387" s="7">
        <v>-228721</v>
      </c>
      <c r="D387" s="91"/>
    </row>
    <row r="388" spans="1:4" ht="12.75">
      <c r="A388" s="106" t="s">
        <v>222</v>
      </c>
      <c r="B388" s="29">
        <f>B389+B390</f>
        <v>7285.600000000093</v>
      </c>
      <c r="C388" s="29">
        <f>C389+C390</f>
        <v>-7992.699999999721</v>
      </c>
      <c r="D388" s="107"/>
    </row>
    <row r="389" spans="1:4" ht="19.5" customHeight="1">
      <c r="A389" s="105" t="s">
        <v>304</v>
      </c>
      <c r="B389" s="7">
        <v>-2383701.9</v>
      </c>
      <c r="C389" s="7">
        <f>-(C307+C384)</f>
        <v>-2175198.4</v>
      </c>
      <c r="D389" s="91"/>
    </row>
    <row r="390" spans="1:4" ht="26.25">
      <c r="A390" s="105" t="s">
        <v>305</v>
      </c>
      <c r="B390" s="7">
        <v>2390987.5</v>
      </c>
      <c r="C390" s="7">
        <f>C379-C386</f>
        <v>2167205.7</v>
      </c>
      <c r="D390" s="91"/>
    </row>
    <row r="391" spans="1:4" ht="12.75">
      <c r="A391" s="106" t="s">
        <v>306</v>
      </c>
      <c r="B391" s="29">
        <f>B393</f>
        <v>-45000</v>
      </c>
      <c r="C391" s="29">
        <f>C393</f>
        <v>0</v>
      </c>
      <c r="D391" s="67"/>
    </row>
    <row r="392" spans="1:4" ht="12.75">
      <c r="A392" s="105"/>
      <c r="B392" s="7"/>
      <c r="C392" s="7"/>
      <c r="D392" s="91"/>
    </row>
    <row r="393" spans="1:4" ht="66" thickBot="1">
      <c r="A393" s="108" t="s">
        <v>307</v>
      </c>
      <c r="B393" s="109">
        <v>-45000</v>
      </c>
      <c r="C393" s="109">
        <v>0</v>
      </c>
      <c r="D393" s="110"/>
    </row>
  </sheetData>
  <sheetProtection/>
  <mergeCells count="15">
    <mergeCell ref="L5:L6"/>
    <mergeCell ref="M5:M6"/>
    <mergeCell ref="N5:N6"/>
    <mergeCell ref="A3:D3"/>
    <mergeCell ref="A1:D1"/>
    <mergeCell ref="D5:D6"/>
    <mergeCell ref="E4:E6"/>
    <mergeCell ref="F5:G5"/>
    <mergeCell ref="A2:I2"/>
    <mergeCell ref="H5:I5"/>
    <mergeCell ref="A4:A6"/>
    <mergeCell ref="B4:D4"/>
    <mergeCell ref="F4:I4"/>
    <mergeCell ref="B5:B6"/>
    <mergeCell ref="C5:C6"/>
  </mergeCells>
  <printOptions/>
  <pageMargins left="0.984251968503937" right="0.1968503937007874" top="0.35433070866141736" bottom="0.1968503937007874" header="0.6299212598425197" footer="0.15748031496062992"/>
  <pageSetup fitToHeight="3" fitToWidth="1" horizontalDpi="1200" verticalDpi="12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507_Mma</dc:creator>
  <cp:keywords/>
  <dc:description/>
  <cp:lastModifiedBy>Пашкевич Юлия Васильевна</cp:lastModifiedBy>
  <cp:lastPrinted>2019-11-01T08:57:45Z</cp:lastPrinted>
  <dcterms:created xsi:type="dcterms:W3CDTF">2005-08-01T06:37:21Z</dcterms:created>
  <dcterms:modified xsi:type="dcterms:W3CDTF">2020-02-10T13:55:21Z</dcterms:modified>
  <cp:category/>
  <cp:version/>
  <cp:contentType/>
  <cp:contentStatus/>
</cp:coreProperties>
</file>