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<sst xmlns="http://schemas.openxmlformats.org/spreadsheetml/2006/main" count="261" uniqueCount="201">
  <si>
    <t>Поступления от продажи земельных участков, государственная собственность на которые не разграничена</t>
  </si>
  <si>
    <t xml:space="preserve">     межбюджетные трансферты бюджетам государственных внебюджетных фондов</t>
  </si>
  <si>
    <t>Бюджетные кредиты от других бюджетов бюджетной системы Российской Федерации</t>
  </si>
  <si>
    <t xml:space="preserve">       Погашение бюджетных кредитов, полученных от других бюджетов бюджетной системы Российской Федерации в валюте Российской Федерации </t>
  </si>
  <si>
    <t xml:space="preserve">             Погашение бюджетами субъектов Российской Федерации кредитов, полученных от других бюджетов бюджетной системы Российской Федерации в валюте Российской Федерации</t>
  </si>
  <si>
    <t xml:space="preserve">          Средства продажи акций и иных форм участия в капитале, находящихся вгосударственной и муниципальной собственности</t>
  </si>
  <si>
    <t xml:space="preserve">              Средства от продажи акций и иных форм участия в капитале, находящихся в собственности субъектов Российской Федерации</t>
  </si>
  <si>
    <t xml:space="preserve">     система исполнения наказаний</t>
  </si>
  <si>
    <t xml:space="preserve">     органы по контролю за оборотом наркотических средств и психотропных веществ</t>
  </si>
  <si>
    <t xml:space="preserve">     профессиональная подготовка, переподготовка и повышение квалификации</t>
  </si>
  <si>
    <t xml:space="preserve">     высшее и послевузовское профессиональное образование</t>
  </si>
  <si>
    <t xml:space="preserve">     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</si>
  <si>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</si>
  <si>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    функционирование высшего должностного лица субъекта Российской Федерации и муниципального образования</t>
  </si>
  <si>
    <t xml:space="preserve">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</si>
  <si>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</si>
  <si>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международные отношения и международное сотрудничество</t>
  </si>
  <si>
    <t xml:space="preserve">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</si>
  <si>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предупреждение и ликвидация последствий чрезвычайных ситуаций природного и техногенного характера, гражданская оборона</t>
  </si>
  <si>
    <t xml:space="preserve">     обеспечение пожарной безопасности</t>
  </si>
  <si>
    <t xml:space="preserve">     стационарная медицинская помощь</t>
  </si>
  <si>
    <t xml:space="preserve">     амбулаторная помощь</t>
  </si>
  <si>
    <t xml:space="preserve">    санаторно-оздоровительная помощь</t>
  </si>
  <si>
    <t xml:space="preserve">     заготовка, переработка, хранение и обеспечение безопасности донорской крови и ее компонентов</t>
  </si>
  <si>
    <t xml:space="preserve">     физическая культура и спорт</t>
  </si>
  <si>
    <t xml:space="preserve">     прикладные научные исследования в области здравоохранения, физической культуры и спорта</t>
  </si>
  <si>
    <t>Плата за негативное воздействие на окружающую среду</t>
  </si>
  <si>
    <t xml:space="preserve">     другие вопросы в области здравоохранения, физической культуры и спорта</t>
  </si>
  <si>
    <t xml:space="preserve">     охрана семьи и детства</t>
  </si>
  <si>
    <t xml:space="preserve">     дотации бюджетам субъектов Российской Федерации и муниципальных образований</t>
  </si>
  <si>
    <t xml:space="preserve">     субсидии бюджетам субъектов Российской Федерации и муниципальных образований (межбюджетные субсидии)</t>
  </si>
  <si>
    <t xml:space="preserve">     субвенции бюджетам субъектов Российской Федерации и муниципальных образований</t>
  </si>
  <si>
    <t xml:space="preserve">     охрана объектов растительного и животного мира и среды их обитания</t>
  </si>
  <si>
    <t xml:space="preserve">     водные ресурсы</t>
  </si>
  <si>
    <t xml:space="preserve">     мобилизационная подготовка экономики</t>
  </si>
  <si>
    <t>Утвержденный план с учетом принятых изменений и дополнений</t>
  </si>
  <si>
    <t>Ожидаемое исполнение</t>
  </si>
  <si>
    <t>(+, -) тыс. руб.</t>
  </si>
  <si>
    <t>%</t>
  </si>
  <si>
    <t>НАЛОГИ НА ПРИБЫЛЬ, ДОХОДЫ</t>
  </si>
  <si>
    <t>Налог на доходы физических лиц</t>
  </si>
  <si>
    <t>Платежи от государственных и муниципальных унитарных предприятий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</si>
  <si>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</si>
  <si>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</si>
  <si>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</si>
  <si>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налог</t>
  </si>
  <si>
    <t>ГОСУДАРСТВЕННАЯ ПОШЛИНА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</si>
  <si>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</si>
  <si>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</si>
  <si>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</si>
  <si>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Доходы от продажи квартир 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</si>
  <si>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</si>
  <si>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</si>
  <si>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</si>
  <si>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Субвенции от других бюджетов бюджетной системы Российской Федерации </t>
  </si>
  <si>
    <t>ВСЕГО</t>
  </si>
  <si>
    <t>Превышение расходов над доходами (дефицит)</t>
  </si>
  <si>
    <t xml:space="preserve">     Увеличение прочих остатков денежных средств бюджетов субъектов Российской Федерации</t>
  </si>
  <si>
    <t xml:space="preserve">     Уменьшение прочих остатков денежных средств бюджетов субъектов Российской Федерации</t>
  </si>
  <si>
    <t>Общегосударственные вопросы,</t>
  </si>
  <si>
    <t>в том числе:</t>
  </si>
  <si>
    <t xml:space="preserve">     судебная система</t>
  </si>
  <si>
    <t xml:space="preserve">     обеспечение проведения выборов и референдумов</t>
  </si>
  <si>
    <t xml:space="preserve">     обслуживание государственного и муниципального долга</t>
  </si>
  <si>
    <t xml:space="preserve">     резервные фонды</t>
  </si>
  <si>
    <t xml:space="preserve">     другие общегосударственные вопросы</t>
  </si>
  <si>
    <t>Национальная безопасность и правоохранительная деятельность,</t>
  </si>
  <si>
    <t xml:space="preserve">     органы внутренних дел</t>
  </si>
  <si>
    <t xml:space="preserve">     другие вопросы в области национальной безопасности и правоохранительной деятельности</t>
  </si>
  <si>
    <t>Национальная экономика,</t>
  </si>
  <si>
    <t xml:space="preserve">     общеэкономические вопросы</t>
  </si>
  <si>
    <t xml:space="preserve">     сельское хозяйство и рыболовство</t>
  </si>
  <si>
    <t xml:space="preserve">     лесное хозяйство</t>
  </si>
  <si>
    <t xml:space="preserve">     транспорт</t>
  </si>
  <si>
    <t xml:space="preserve">     связь и информатика</t>
  </si>
  <si>
    <t xml:space="preserve">     прикладные научные исследования в области национальной экономики</t>
  </si>
  <si>
    <t xml:space="preserve">     другие вопросы в области национальной экономики</t>
  </si>
  <si>
    <t>Жилищно-коммунальное хозяйство,</t>
  </si>
  <si>
    <t xml:space="preserve">     жилищное хозяйство</t>
  </si>
  <si>
    <t xml:space="preserve">     коммунальное хозяйство</t>
  </si>
  <si>
    <t xml:space="preserve">     другие вопросы в области жилищно-коммунального хозяйства</t>
  </si>
  <si>
    <t>Охрана окружающей среды,</t>
  </si>
  <si>
    <t xml:space="preserve">     прикладные научные исследования в области охраны окружающей среды</t>
  </si>
  <si>
    <t xml:space="preserve">     другие вопросы в области охраны окружающей среды</t>
  </si>
  <si>
    <t>Образование,</t>
  </si>
  <si>
    <t xml:space="preserve">     общее образование</t>
  </si>
  <si>
    <t xml:space="preserve">     начальное профессиональное образование</t>
  </si>
  <si>
    <t xml:space="preserve">     топливно-энергетический комплекс</t>
  </si>
  <si>
    <t xml:space="preserve">    воспроизводство минерально-сырьевой базы</t>
  </si>
  <si>
    <t>Здравоохранение, физическая культура и спорт,</t>
  </si>
  <si>
    <t>Национальная оборона,</t>
  </si>
  <si>
    <t>ВСЕГО РАСХОДОВ</t>
  </si>
  <si>
    <t xml:space="preserve">     среднее профессиональное образование</t>
  </si>
  <si>
    <t xml:space="preserve">     молодежная политика и оздоровление детей</t>
  </si>
  <si>
    <t xml:space="preserve">     прикладные научные исследования в области образования</t>
  </si>
  <si>
    <t xml:space="preserve">     другие вопросы в области образования</t>
  </si>
  <si>
    <t>Культура, кинематография и средства массовой информации,</t>
  </si>
  <si>
    <t xml:space="preserve">     культура</t>
  </si>
  <si>
    <t xml:space="preserve">     телевидение и радиовещание</t>
  </si>
  <si>
    <t xml:space="preserve">     периодическая печать и издательства</t>
  </si>
  <si>
    <t xml:space="preserve">     другие вопросы в области культуры, кинематографии и средств массовой информации</t>
  </si>
  <si>
    <t>Социальная политика,</t>
  </si>
  <si>
    <t xml:space="preserve">     пенсионное обеспечение</t>
  </si>
  <si>
    <t xml:space="preserve">     социальное обслуживание населения</t>
  </si>
  <si>
    <t xml:space="preserve">     социальное обеспечение населения</t>
  </si>
  <si>
    <t xml:space="preserve">     другие вопросы в области социальной политики</t>
  </si>
  <si>
    <t>Межбюджетные трансферты,</t>
  </si>
  <si>
    <t xml:space="preserve">в % к общей сумме доходов без учета безвозмездных поступлений </t>
  </si>
  <si>
    <t>Источники внутреннего финансирования дефицитов бюджетов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</si>
  <si>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</si>
  <si>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     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</si>
  <si>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</si>
  <si>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</si>
  <si>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        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</si>
  <si>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</si>
  <si>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</si>
  <si>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 xml:space="preserve">      Погашение кредитов, предоставленных кредитными организациями в валюте Российской Федерации </t>
  </si>
  <si>
    <t xml:space="preserve">          Получение кредитов от кредитных организаций бюджетами субъектов Российской Федерации в валюте Российской Федерации</t>
  </si>
  <si>
    <t xml:space="preserve">          Погашение бюджетами субъектов Российской Федерации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</si>
  <si>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</si>
  <si>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 xml:space="preserve">           Увеличение прочих остатков средств бюджетов  субъектов Российской Федерации, временно размещенных в ценные бумаги</t>
  </si>
  <si>
    <t xml:space="preserve">          Уменьшение прочих остатков средств бюджетов субъектов Российской Федерации, временно размещенных в ценные бумаги</t>
  </si>
  <si>
    <t>Иные источники внутреннего финансирования дефицитов бюджетов</t>
  </si>
  <si>
    <t xml:space="preserve">     Акции и иные формы участия в капитале, находящиеся в государственной и муниципальной собственности</t>
  </si>
  <si>
    <t xml:space="preserve">     Исполнение государственных и муниципальных гарантий в валюте Российской Федерации</t>
  </si>
  <si>
    <t xml:space="preserve">          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</si>
  <si>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 xml:space="preserve">      Бюджетные кредиты, предоставленные внутри страны в валюте Российской Федерации </t>
  </si>
  <si>
    <t xml:space="preserve">           Возврат бюджетных кредитов, предоставленных внутри страны в валюте Российской Федерации </t>
  </si>
  <si>
    <t xml:space="preserve">              Исполнение государственных гарантий субъекта Российской Федерации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</si>
  <si>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 xml:space="preserve">              Возврат бюджетных кредитов, предоставленных юридическим лицам из бюджетов субъектов Российской Федерации в валюте Российской Федерации</t>
  </si>
  <si>
    <t xml:space="preserve">              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</si>
  <si>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         Предоставление бюджетных кредитов внутри страны в валюте Российской Федерации </t>
  </si>
  <si>
    <t xml:space="preserve">              Предоставление бюджетных кредитов юридическим лицам из бюджетов субъектов Российской Федерации в валюте Российской Федерации</t>
  </si>
  <si>
    <t xml:space="preserve">             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</si>
  <si>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Наименование</t>
  </si>
  <si>
    <t>ЗАДОЛЖЕННОСТЬ И ПЕРЕРАСЧЕТЫ  ПО ОТМЕНЕННЫМ НАЛОГАМ, СБОРАМ И ИНЫМ ОБЯЗАТЕЛЬНЫМ ПЛАТЕЖАМ</t>
  </si>
  <si>
    <r>
      <t xml:space="preserve">РАСХОДЫ </t>
    </r>
    <r>
      <rPr>
        <sz val="10"/>
        <rFont val="Times New Roman Cyr"/>
        <family val="1"/>
      </rPr>
      <t>(по разделам и подразделам классификации расходов бюджетов)</t>
    </r>
  </si>
  <si>
    <t xml:space="preserve">     дорожное хозяйство</t>
  </si>
  <si>
    <t>Проект бюджета на 2011 год</t>
  </si>
  <si>
    <t>Отклонение проекта бюджета на 2011 год</t>
  </si>
  <si>
    <t>от утвержденного плана на 2010 год с учетом принятых изменений и дополнений</t>
  </si>
  <si>
    <t>от ожидаемого исполнения за 2010 год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</si>
  <si>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</si>
  <si>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 МУНИЦИПАЛЬНОЙ СОБСТВЕННОСТИ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</si>
  <si>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</si>
  <si>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 xml:space="preserve">Единый сельскохозяйственный налог </t>
  </si>
  <si>
    <t>Налог, взимаемый в виде стоимости патента в связи с применением упрощенной системы налогообложения</t>
  </si>
  <si>
    <t>Доходы от реализации иного имущества, находящегося в собственности городских округов  (в части реализации основных средств по указанному имуществу)</t>
  </si>
  <si>
    <t>Акцизы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в местные бюджеты</t>
  </si>
  <si>
    <t xml:space="preserve">Налог, взимаемый в связи с применением упрощенной системы налогообложения </t>
  </si>
  <si>
    <t>Государственная пошлина по делам, рассматриваемым в судах общей юрисдикции, мировыми судьями (за искл.Верх. Суда РФ)</t>
  </si>
  <si>
    <t>НАЛОГИ НА ТОВАРЫ(РАБОТЫ,УСЛУГИ), РЕАЛИЗУЕМЫЕ НА ТЕРРИТОРИИ РФ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</si>
  <si>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</si>
  <si>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Возврат остатков субсидий, целевого назначения из бюджета</t>
  </si>
  <si>
    <t>НАЛОГОВЫЕ ДОХОДЫ</t>
  </si>
  <si>
    <t xml:space="preserve">НАЛОГОВЫЕ И НЕНАЛОГОВЫЕ ДОХОДЫ </t>
  </si>
  <si>
    <t xml:space="preserve">Ожидаемый                     %                    исполнения </t>
  </si>
  <si>
    <t>НЕНАЛОГОВЫ ДОХОДЫ</t>
  </si>
  <si>
    <t>РАСХОДЫ</t>
  </si>
  <si>
    <t>обеспечение  проведения  выборов  и  референдумов</t>
  </si>
  <si>
    <t xml:space="preserve">   мобилизационная  и  вневойсковая  подготовка</t>
  </si>
  <si>
    <t xml:space="preserve">   мобилизационная подготовка экономики</t>
  </si>
  <si>
    <t xml:space="preserve">   защита населения и территории от чрезвычайных ситуаций природного и техногенного характера, гражданская оборона</t>
  </si>
  <si>
    <t xml:space="preserve">   сельское хозяйство и рыболовство</t>
  </si>
  <si>
    <t xml:space="preserve">     связь  и  информатика</t>
  </si>
  <si>
    <t xml:space="preserve">      благоустройство</t>
  </si>
  <si>
    <t xml:space="preserve">     дошкольное образование</t>
  </si>
  <si>
    <t xml:space="preserve">    дополнительное  образование</t>
  </si>
  <si>
    <t xml:space="preserve">     другие вопросы в области здравоохранения,  физической культуры и спорта</t>
  </si>
  <si>
    <t xml:space="preserve">     другие  вопросы  в  области  социальной  политики</t>
  </si>
  <si>
    <t>Физическая  культура  и  спорт</t>
  </si>
  <si>
    <t xml:space="preserve">     физическая культура</t>
  </si>
  <si>
    <t xml:space="preserve">     массовый спорт</t>
  </si>
  <si>
    <t>Обслуживание  государственного  и  муниципального  долга</t>
  </si>
  <si>
    <t xml:space="preserve">     обслуживание  государственного  внутреннего  и  муниципального  долга</t>
  </si>
  <si>
    <t>Превышение расходов над доходами ((-)дефицит(+) профицит)</t>
  </si>
  <si>
    <t xml:space="preserve">     Увеличение прочих остатков денежных средств бюджетов городских  округов </t>
  </si>
  <si>
    <t xml:space="preserve">     Уменьшение прочих остатков денежных средств бюджетов городских  округов</t>
  </si>
  <si>
    <t>Здравоохранение,</t>
  </si>
  <si>
    <t xml:space="preserve">    сбор, удаление отходов и очистка сточных вод</t>
  </si>
  <si>
    <t>Оценка ожидаемого исполнения бюджета городского округа Лыткарино
 в 2021 году</t>
  </si>
  <si>
    <t>Бюджет на 2021 год</t>
  </si>
  <si>
    <t xml:space="preserve">  защита населения и территории от чрезвычайных ситуаций природного и техногенного характера,пожарная безопасность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</si>
  <si>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</si>
  <si>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</si>
  <si>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</si>
  <si>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            Погашение бюджетами городских округов кредитов от кредитных организаций в валюте Российской Федерации</t>
  </si>
  <si>
    <t xml:space="preserve">Бюджетные кредиты из других бюджетов бюджетной системы Российской Федерации
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</si>
  <si>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  </t>
  </si>
  <si>
    <t xml:space="preserve"> Доходы, получаемые в виде арендной платы за земли после разграничения государственной собственности на 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</si>
  <si>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Плата по соглашениям об установлении сервитута, в отношении земельных участков, находящихся в собственности городских округов</t>
  </si>
  <si>
    <t xml:space="preserve"> Доходы от сдачи в аренду имущества, находящегося в оперативном управлении  органов местного самоуправления и созданных ими учреждений (за исключением имущества автономных учреждений) </t>
  </si>
  <si>
    <r>
      <t xml:space="preserve">     Прочие доходы от использования имущества и прав, находящихся в государственной и муниципальной собственности</t>
    </r>
    <r>
      <rPr>
        <b/>
        <sz val="12"/>
        <rFont val="Times New Roman Cyr"/>
        <family val="0"/>
      </rPr>
      <t xml:space="preserve"> (плата за найм жилого фонда)         </t>
    </r>
  </si>
  <si>
    <r>
      <t xml:space="preserve">     Прочие доходы от использования имущества и прав, находящихся в государственной и муниципальной собственности (</t>
    </r>
    <r>
      <rPr>
        <b/>
        <sz val="12"/>
        <rFont val="Times New Roman Cyr"/>
        <family val="0"/>
      </rPr>
      <t>плата за размещение объектов, которые могут быть размещены без предоставления земельных участков и установления сервитутов</t>
    </r>
    <r>
      <rPr>
        <sz val="12"/>
        <rFont val="Times New Roman Cyr"/>
        <family val="1"/>
      </rPr>
      <t xml:space="preserve">)         </t>
    </r>
  </si>
  <si>
    <r>
  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разграничена(</t>
    </r>
    <r>
      <rPr>
        <b/>
        <sz val="12"/>
        <rFont val="Times New Roman Cyr"/>
        <family val="0"/>
      </rPr>
      <t>нестационарные торговые объекты</t>
    </r>
    <r>
      <rPr>
        <sz val="12"/>
        <rFont val="Times New Roman Cyr"/>
        <family val="1"/>
      </rPr>
      <t>)</t>
    </r>
  </si>
  <si>
    <r>
      <t xml:space="preserve">       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  </r>
    <r>
      <rPr>
        <b/>
        <sz val="12"/>
        <rFont val="Times New Roman Cyr"/>
        <family val="0"/>
      </rPr>
      <t>(плата за рекламу)</t>
    </r>
  </si>
  <si>
    <t xml:space="preserve">Прочие дотации (за достижение наилучших значений показателей по отдельным направлениям развития) </t>
  </si>
  <si>
    <t>Всего ДОХОДЫ</t>
  </si>
  <si>
    <t xml:space="preserve">Субсидии бюджетам субъектов Российской Федерации и муниципальных образований,в том числе: </t>
  </si>
  <si>
    <t>Дотации бюджетам городских округов на выравнивание бюджетной обеспеченности</t>
  </si>
  <si>
    <t>Прочие доходы от оказания платных услуг и компенсации затрат бюджетов городских округов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</si>
</sst>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&quot;&quot;###,##0.00"/>
    <numFmt numFmtId="180" formatCode="0.0%"/>
    <numFmt numFmtId="181" formatCode="&quot;&quot;###,##0.0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3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sz val="9"/>
      <name val="Times New Roman Cyr"/>
      <family val="0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6"/>
      <name val="Arial Cyr"/>
      <family val="0"/>
    </font>
    <font>
      <sz val="10"/>
      <color indexed="8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left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172" fontId="2" fillId="0" borderId="1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172" fontId="1" fillId="0" borderId="11" xfId="0" applyNumberFormat="1" applyFont="1" applyBorder="1" applyAlignment="1">
      <alignment vertical="center" wrapText="1"/>
    </xf>
    <xf numFmtId="172" fontId="1" fillId="0" borderId="0" xfId="0" applyNumberFormat="1" applyFont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1" fillId="33" borderId="11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vertical="center" wrapText="1"/>
    </xf>
    <xf numFmtId="172" fontId="2" fillId="33" borderId="11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/>
    </xf>
    <xf numFmtId="172" fontId="2" fillId="33" borderId="1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172" fontId="1" fillId="0" borderId="13" xfId="0" applyNumberFormat="1" applyFont="1" applyBorder="1" applyAlignment="1">
      <alignment horizontal="center" vertical="center" wrapText="1"/>
    </xf>
    <xf numFmtId="172" fontId="1" fillId="34" borderId="13" xfId="0" applyNumberFormat="1" applyFont="1" applyFill="1" applyBorder="1" applyAlignment="1">
      <alignment horizontal="center" vertical="center" wrapText="1"/>
    </xf>
    <xf numFmtId="172" fontId="2" fillId="33" borderId="13" xfId="0" applyNumberFormat="1" applyFont="1" applyFill="1" applyBorder="1" applyAlignment="1">
      <alignment horizontal="center" vertical="center" wrapText="1"/>
    </xf>
    <xf numFmtId="172" fontId="1" fillId="34" borderId="11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72" fontId="2" fillId="34" borderId="13" xfId="0" applyNumberFormat="1" applyFont="1" applyFill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34" borderId="11" xfId="0" applyNumberFormat="1" applyFont="1" applyFill="1" applyBorder="1" applyAlignment="1">
      <alignment horizontal="center" vertical="center"/>
    </xf>
    <xf numFmtId="172" fontId="1" fillId="33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left" wrapText="1"/>
    </xf>
    <xf numFmtId="172" fontId="2" fillId="35" borderId="13" xfId="0" applyNumberFormat="1" applyFont="1" applyFill="1" applyBorder="1" applyAlignment="1">
      <alignment horizontal="center" vertical="center" wrapText="1"/>
    </xf>
    <xf numFmtId="172" fontId="2" fillId="35" borderId="13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3" fontId="1" fillId="34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35" borderId="0" xfId="0" applyNumberFormat="1" applyFont="1" applyFill="1" applyAlignment="1">
      <alignment horizontal="center" vertical="center" wrapText="1"/>
    </xf>
    <xf numFmtId="3" fontId="2" fillId="35" borderId="0" xfId="0" applyNumberFormat="1" applyFont="1" applyFill="1" applyAlignment="1">
      <alignment horizontal="center" vertical="center" wrapText="1"/>
    </xf>
    <xf numFmtId="3" fontId="1" fillId="35" borderId="0" xfId="0" applyNumberFormat="1" applyFont="1" applyFill="1" applyAlignment="1">
      <alignment horizontal="center" vertical="center" wrapText="1"/>
    </xf>
    <xf numFmtId="3" fontId="2" fillId="35" borderId="0" xfId="0" applyNumberFormat="1" applyFont="1" applyFill="1" applyAlignment="1">
      <alignment horizontal="center" vertical="center" wrapText="1"/>
    </xf>
    <xf numFmtId="172" fontId="2" fillId="33" borderId="18" xfId="0" applyNumberFormat="1" applyFont="1" applyFill="1" applyBorder="1" applyAlignment="1">
      <alignment horizontal="center" vertical="center" wrapText="1"/>
    </xf>
    <xf numFmtId="172" fontId="1" fillId="34" borderId="19" xfId="0" applyNumberFormat="1" applyFont="1" applyFill="1" applyBorder="1" applyAlignment="1">
      <alignment horizontal="center" vertical="center" wrapText="1"/>
    </xf>
    <xf numFmtId="172" fontId="2" fillId="33" borderId="19" xfId="0" applyNumberFormat="1" applyFont="1" applyFill="1" applyBorder="1" applyAlignment="1">
      <alignment horizontal="center" vertical="center" wrapText="1"/>
    </xf>
    <xf numFmtId="172" fontId="1" fillId="34" borderId="18" xfId="0" applyNumberFormat="1" applyFont="1" applyFill="1" applyBorder="1" applyAlignment="1">
      <alignment horizontal="center" vertical="center" wrapText="1"/>
    </xf>
    <xf numFmtId="172" fontId="3" fillId="33" borderId="20" xfId="0" applyNumberFormat="1" applyFont="1" applyFill="1" applyBorder="1" applyAlignment="1">
      <alignment horizontal="left" vertical="center" wrapText="1"/>
    </xf>
    <xf numFmtId="172" fontId="2" fillId="33" borderId="21" xfId="0" applyNumberFormat="1" applyFont="1" applyFill="1" applyBorder="1" applyAlignment="1">
      <alignment horizontal="center" vertical="center" wrapText="1"/>
    </xf>
    <xf numFmtId="172" fontId="9" fillId="0" borderId="20" xfId="0" applyNumberFormat="1" applyFont="1" applyFill="1" applyBorder="1" applyAlignment="1">
      <alignment horizontal="left" vertical="center" wrapText="1"/>
    </xf>
    <xf numFmtId="172" fontId="2" fillId="35" borderId="21" xfId="0" applyNumberFormat="1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vertical="center" wrapText="1"/>
    </xf>
    <xf numFmtId="172" fontId="9" fillId="0" borderId="20" xfId="0" applyNumberFormat="1" applyFont="1" applyFill="1" applyBorder="1" applyAlignment="1">
      <alignment vertical="center" wrapText="1"/>
    </xf>
    <xf numFmtId="0" fontId="8" fillId="36" borderId="20" xfId="0" applyFont="1" applyFill="1" applyBorder="1" applyAlignment="1">
      <alignment horizontal="left" vertical="center" wrapText="1"/>
    </xf>
    <xf numFmtId="172" fontId="11" fillId="0" borderId="20" xfId="0" applyNumberFormat="1" applyFont="1" applyFill="1" applyBorder="1" applyAlignment="1">
      <alignment vertical="center" wrapText="1"/>
    </xf>
    <xf numFmtId="172" fontId="2" fillId="33" borderId="22" xfId="0" applyNumberFormat="1" applyFont="1" applyFill="1" applyBorder="1" applyAlignment="1">
      <alignment horizontal="left" vertical="center" wrapText="1"/>
    </xf>
    <xf numFmtId="172" fontId="2" fillId="33" borderId="23" xfId="0" applyNumberFormat="1" applyFont="1" applyFill="1" applyBorder="1" applyAlignment="1">
      <alignment horizontal="center" vertical="center" wrapText="1"/>
    </xf>
    <xf numFmtId="172" fontId="2" fillId="33" borderId="24" xfId="0" applyNumberFormat="1" applyFont="1" applyFill="1" applyBorder="1" applyAlignment="1">
      <alignment horizontal="center" vertical="center" wrapText="1"/>
    </xf>
    <xf numFmtId="3" fontId="1" fillId="35" borderId="0" xfId="0" applyNumberFormat="1" applyFont="1" applyFill="1" applyAlignment="1">
      <alignment horizontal="center" vertical="center" wrapText="1"/>
    </xf>
    <xf numFmtId="0" fontId="2" fillId="37" borderId="20" xfId="0" applyFont="1" applyFill="1" applyBorder="1" applyAlignment="1">
      <alignment horizontal="left" vertical="center"/>
    </xf>
    <xf numFmtId="172" fontId="1" fillId="37" borderId="11" xfId="0" applyNumberFormat="1" applyFont="1" applyFill="1" applyBorder="1" applyAlignment="1">
      <alignment horizontal="center" vertical="center" wrapText="1"/>
    </xf>
    <xf numFmtId="172" fontId="1" fillId="37" borderId="21" xfId="0" applyNumberFormat="1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left" vertical="center"/>
    </xf>
    <xf numFmtId="172" fontId="1" fillId="0" borderId="21" xfId="0" applyNumberFormat="1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172" fontId="2" fillId="33" borderId="2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172" fontId="1" fillId="35" borderId="21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2" fillId="37" borderId="21" xfId="0" applyNumberFormat="1" applyFont="1" applyFill="1" applyBorder="1" applyAlignment="1">
      <alignment horizontal="center" vertical="center" wrapText="1"/>
    </xf>
    <xf numFmtId="172" fontId="1" fillId="36" borderId="11" xfId="0" applyNumberFormat="1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left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/>
    </xf>
    <xf numFmtId="172" fontId="2" fillId="33" borderId="20" xfId="0" applyNumberFormat="1" applyFont="1" applyFill="1" applyBorder="1" applyAlignment="1">
      <alignment horizontal="left" vertical="center" wrapText="1"/>
    </xf>
    <xf numFmtId="172" fontId="1" fillId="0" borderId="20" xfId="0" applyNumberFormat="1" applyFont="1" applyBorder="1" applyAlignment="1">
      <alignment vertical="center" wrapText="1"/>
    </xf>
    <xf numFmtId="172" fontId="2" fillId="33" borderId="20" xfId="0" applyNumberFormat="1" applyFont="1" applyFill="1" applyBorder="1" applyAlignment="1">
      <alignment vertical="center" wrapText="1"/>
    </xf>
    <xf numFmtId="172" fontId="2" fillId="19" borderId="13" xfId="0" applyNumberFormat="1" applyFont="1" applyFill="1" applyBorder="1" applyAlignment="1">
      <alignment horizontal="center" vertical="center" wrapText="1"/>
    </xf>
    <xf numFmtId="172" fontId="1" fillId="19" borderId="21" xfId="0" applyNumberFormat="1" applyFont="1" applyFill="1" applyBorder="1" applyAlignment="1">
      <alignment horizontal="center" vertical="center" wrapText="1"/>
    </xf>
    <xf numFmtId="3" fontId="1" fillId="35" borderId="0" xfId="0" applyNumberFormat="1" applyFont="1" applyFill="1" applyAlignment="1">
      <alignment horizontal="center" vertical="center" wrapText="1"/>
    </xf>
    <xf numFmtId="172" fontId="15" fillId="0" borderId="25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Border="1" applyAlignment="1">
      <alignment vertical="center" wrapText="1"/>
    </xf>
    <xf numFmtId="172" fontId="7" fillId="0" borderId="13" xfId="0" applyNumberFormat="1" applyFont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wrapText="1"/>
    </xf>
    <xf numFmtId="179" fontId="14" fillId="0" borderId="27" xfId="0" applyNumberFormat="1" applyFont="1" applyBorder="1" applyAlignment="1">
      <alignment horizontal="center" wrapText="1"/>
    </xf>
    <xf numFmtId="180" fontId="2" fillId="19" borderId="11" xfId="57" applyNumberFormat="1" applyFont="1" applyFill="1" applyBorder="1" applyAlignment="1">
      <alignment horizontal="center" vertical="center"/>
    </xf>
    <xf numFmtId="172" fontId="1" fillId="35" borderId="21" xfId="0" applyNumberFormat="1" applyFont="1" applyFill="1" applyBorder="1" applyAlignment="1">
      <alignment horizontal="center" vertical="center" wrapText="1"/>
    </xf>
    <xf numFmtId="172" fontId="2" fillId="37" borderId="21" xfId="0" applyNumberFormat="1" applyFont="1" applyFill="1" applyBorder="1" applyAlignment="1">
      <alignment horizontal="center" vertical="center" wrapText="1"/>
    </xf>
    <xf numFmtId="172" fontId="2" fillId="37" borderId="13" xfId="0" applyNumberFormat="1" applyFont="1" applyFill="1" applyBorder="1" applyAlignment="1">
      <alignment horizontal="center" vertical="center" wrapText="1"/>
    </xf>
    <xf numFmtId="172" fontId="11" fillId="35" borderId="20" xfId="0" applyNumberFormat="1" applyFont="1" applyFill="1" applyBorder="1" applyAlignment="1">
      <alignment vertical="center" wrapText="1"/>
    </xf>
    <xf numFmtId="172" fontId="9" fillId="37" borderId="20" xfId="0" applyNumberFormat="1" applyFont="1" applyFill="1" applyBorder="1" applyAlignment="1">
      <alignment horizontal="left" vertical="center" wrapText="1"/>
    </xf>
    <xf numFmtId="172" fontId="2" fillId="37" borderId="13" xfId="0" applyNumberFormat="1" applyFont="1" applyFill="1" applyBorder="1" applyAlignment="1">
      <alignment horizontal="center" vertical="center" wrapText="1"/>
    </xf>
    <xf numFmtId="172" fontId="2" fillId="37" borderId="28" xfId="0" applyNumberFormat="1" applyFont="1" applyFill="1" applyBorder="1" applyAlignment="1">
      <alignment horizontal="left" vertical="center" wrapText="1"/>
    </xf>
    <xf numFmtId="172" fontId="2" fillId="37" borderId="29" xfId="0" applyNumberFormat="1" applyFont="1" applyFill="1" applyBorder="1" applyAlignment="1">
      <alignment horizontal="center" vertical="center" wrapText="1"/>
    </xf>
    <xf numFmtId="172" fontId="2" fillId="37" borderId="30" xfId="0" applyNumberFormat="1" applyFont="1" applyFill="1" applyBorder="1" applyAlignment="1">
      <alignment horizontal="center" vertical="center" wrapText="1"/>
    </xf>
    <xf numFmtId="172" fontId="2" fillId="37" borderId="31" xfId="0" applyNumberFormat="1" applyFont="1" applyFill="1" applyBorder="1" applyAlignment="1">
      <alignment horizontal="left" vertical="center" wrapText="1"/>
    </xf>
    <xf numFmtId="172" fontId="2" fillId="37" borderId="32" xfId="0" applyNumberFormat="1" applyFont="1" applyFill="1" applyBorder="1" applyAlignment="1">
      <alignment horizontal="center" vertical="center" wrapText="1"/>
    </xf>
    <xf numFmtId="172" fontId="2" fillId="37" borderId="33" xfId="0" applyNumberFormat="1" applyFont="1" applyFill="1" applyBorder="1" applyAlignment="1">
      <alignment horizontal="center" vertical="center" wrapText="1"/>
    </xf>
    <xf numFmtId="172" fontId="3" fillId="37" borderId="20" xfId="0" applyNumberFormat="1" applyFont="1" applyFill="1" applyBorder="1" applyAlignment="1">
      <alignment horizontal="left" vertical="center" wrapText="1"/>
    </xf>
    <xf numFmtId="172" fontId="2" fillId="37" borderId="11" xfId="0" applyNumberFormat="1" applyFont="1" applyFill="1" applyBorder="1" applyAlignment="1">
      <alignment horizontal="center" vertical="center" wrapText="1"/>
    </xf>
    <xf numFmtId="172" fontId="10" fillId="37" borderId="20" xfId="0" applyNumberFormat="1" applyFont="1" applyFill="1" applyBorder="1" applyAlignment="1">
      <alignment horizontal="left" vertical="center" wrapText="1"/>
    </xf>
    <xf numFmtId="172" fontId="3" fillId="37" borderId="20" xfId="0" applyNumberFormat="1" applyFont="1" applyFill="1" applyBorder="1" applyAlignment="1">
      <alignment vertical="center" wrapText="1"/>
    </xf>
    <xf numFmtId="0" fontId="2" fillId="37" borderId="34" xfId="0" applyFont="1" applyFill="1" applyBorder="1" applyAlignment="1">
      <alignment vertical="center"/>
    </xf>
    <xf numFmtId="172" fontId="2" fillId="37" borderId="22" xfId="0" applyNumberFormat="1" applyFont="1" applyFill="1" applyBorder="1" applyAlignment="1">
      <alignment horizontal="left" vertical="center" wrapText="1"/>
    </xf>
    <xf numFmtId="172" fontId="2" fillId="37" borderId="23" xfId="0" applyNumberFormat="1" applyFont="1" applyFill="1" applyBorder="1" applyAlignment="1">
      <alignment horizontal="center" vertical="center" wrapText="1"/>
    </xf>
    <xf numFmtId="172" fontId="2" fillId="37" borderId="24" xfId="0" applyNumberFormat="1" applyFont="1" applyFill="1" applyBorder="1" applyAlignment="1">
      <alignment horizontal="center" vertical="center" wrapText="1"/>
    </xf>
    <xf numFmtId="172" fontId="11" fillId="35" borderId="20" xfId="0" applyNumberFormat="1" applyFont="1" applyFill="1" applyBorder="1" applyAlignment="1">
      <alignment vertical="center" wrapText="1"/>
    </xf>
    <xf numFmtId="181" fontId="14" fillId="0" borderId="27" xfId="0" applyNumberFormat="1" applyFont="1" applyBorder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1" fillId="0" borderId="35" xfId="0" applyNumberFormat="1" applyFont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center" vertical="center" wrapText="1"/>
    </xf>
    <xf numFmtId="3" fontId="2" fillId="34" borderId="37" xfId="0" applyNumberFormat="1" applyFont="1" applyFill="1" applyBorder="1" applyAlignment="1">
      <alignment horizontal="center" vertical="center" wrapText="1"/>
    </xf>
    <xf numFmtId="3" fontId="2" fillId="34" borderId="38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3" fontId="1" fillId="35" borderId="0" xfId="0" applyNumberFormat="1" applyFont="1" applyFill="1" applyAlignment="1">
      <alignment horizontal="center" vertical="center" wrapText="1"/>
    </xf>
    <xf numFmtId="3" fontId="12" fillId="0" borderId="46" xfId="0" applyNumberFormat="1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9"/>
  <sheetViews>
    <sheetView tabSelected="1" zoomScale="95" zoomScaleNormal="95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45" sqref="Q45"/>
    </sheetView>
  </sheetViews>
  <sheetFormatPr defaultColWidth="9.125" defaultRowHeight="12.75"/>
  <cols>
    <col min="1" max="1" width="67.875" style="11" customWidth="1"/>
    <col min="2" max="2" width="14.625" style="1" customWidth="1"/>
    <col min="3" max="3" width="14.50390625" style="1" customWidth="1"/>
    <col min="4" max="4" width="15.00390625" style="1" customWidth="1"/>
    <col min="5" max="5" width="14.00390625" style="1" hidden="1" customWidth="1"/>
    <col min="6" max="6" width="12.125" style="1" hidden="1" customWidth="1"/>
    <col min="7" max="7" width="11.00390625" style="15" hidden="1" customWidth="1"/>
    <col min="8" max="8" width="13.50390625" style="1" hidden="1" customWidth="1"/>
    <col min="9" max="9" width="11.50390625" style="15" hidden="1" customWidth="1"/>
    <col min="10" max="10" width="0.12890625" style="46" customWidth="1"/>
    <col min="11" max="11" width="0" style="46" hidden="1" customWidth="1"/>
    <col min="12" max="12" width="0.37109375" style="46" hidden="1" customWidth="1"/>
    <col min="13" max="13" width="0" style="46" hidden="1" customWidth="1"/>
    <col min="14" max="14" width="0.37109375" style="46" customWidth="1"/>
    <col min="15" max="16384" width="9.125" style="1" customWidth="1"/>
  </cols>
  <sheetData>
    <row r="1" spans="1:9" ht="22.5" customHeight="1">
      <c r="A1" s="118"/>
      <c r="B1" s="118"/>
      <c r="C1" s="118"/>
      <c r="D1" s="118"/>
      <c r="E1" s="38"/>
      <c r="F1" s="38"/>
      <c r="G1" s="38"/>
      <c r="H1" s="38"/>
      <c r="I1" s="38"/>
    </row>
    <row r="2" spans="1:9" ht="16.5">
      <c r="A2" s="118"/>
      <c r="B2" s="118"/>
      <c r="C2" s="118"/>
      <c r="D2" s="118"/>
      <c r="E2" s="118"/>
      <c r="F2" s="118"/>
      <c r="G2" s="118"/>
      <c r="H2" s="118"/>
      <c r="I2" s="118"/>
    </row>
    <row r="3" spans="1:4" ht="41.25" customHeight="1" thickBot="1">
      <c r="A3" s="138" t="s">
        <v>180</v>
      </c>
      <c r="B3" s="139"/>
      <c r="C3" s="139"/>
      <c r="D3" s="139"/>
    </row>
    <row r="4" spans="1:9" ht="31.5" customHeight="1">
      <c r="A4" s="126" t="s">
        <v>134</v>
      </c>
      <c r="B4" s="129" t="s">
        <v>181</v>
      </c>
      <c r="C4" s="130"/>
      <c r="D4" s="131"/>
      <c r="E4" s="121" t="s">
        <v>138</v>
      </c>
      <c r="F4" s="132" t="s">
        <v>139</v>
      </c>
      <c r="G4" s="133"/>
      <c r="H4" s="133"/>
      <c r="I4" s="134"/>
    </row>
    <row r="5" spans="1:14" ht="50.25" customHeight="1">
      <c r="A5" s="127"/>
      <c r="B5" s="135" t="s">
        <v>35</v>
      </c>
      <c r="C5" s="135" t="s">
        <v>36</v>
      </c>
      <c r="D5" s="119" t="s">
        <v>156</v>
      </c>
      <c r="E5" s="122"/>
      <c r="F5" s="124" t="s">
        <v>140</v>
      </c>
      <c r="G5" s="125"/>
      <c r="H5" s="124" t="s">
        <v>141</v>
      </c>
      <c r="I5" s="125"/>
      <c r="L5" s="137"/>
      <c r="M5" s="137"/>
      <c r="N5" s="137"/>
    </row>
    <row r="6" spans="1:14" ht="39" customHeight="1" thickBot="1">
      <c r="A6" s="128"/>
      <c r="B6" s="136"/>
      <c r="C6" s="136"/>
      <c r="D6" s="120"/>
      <c r="E6" s="123"/>
      <c r="F6" s="3" t="s">
        <v>37</v>
      </c>
      <c r="G6" s="7" t="s">
        <v>38</v>
      </c>
      <c r="H6" s="3" t="s">
        <v>37</v>
      </c>
      <c r="I6" s="7" t="s">
        <v>38</v>
      </c>
      <c r="L6" s="137"/>
      <c r="M6" s="137"/>
      <c r="N6" s="137"/>
    </row>
    <row r="7" spans="1:9" ht="13.5" thickBot="1">
      <c r="A7" s="43">
        <v>1</v>
      </c>
      <c r="B7" s="44">
        <v>2</v>
      </c>
      <c r="C7" s="44">
        <v>3</v>
      </c>
      <c r="D7" s="45">
        <v>4</v>
      </c>
      <c r="E7" s="42">
        <v>5</v>
      </c>
      <c r="F7" s="2">
        <v>6</v>
      </c>
      <c r="G7" s="2">
        <v>7</v>
      </c>
      <c r="H7" s="2">
        <v>8</v>
      </c>
      <c r="I7" s="2">
        <v>9</v>
      </c>
    </row>
    <row r="8" spans="1:14" s="5" customFormat="1" ht="28.5" customHeight="1">
      <c r="A8" s="102" t="s">
        <v>155</v>
      </c>
      <c r="B8" s="103">
        <f>B9+B26</f>
        <v>1116775.2999999998</v>
      </c>
      <c r="C8" s="103">
        <f>C9+C26</f>
        <v>1123332.6</v>
      </c>
      <c r="D8" s="104">
        <f aca="true" t="shared" si="0" ref="D8:D16">C8*100/B8</f>
        <v>100.58716377412719</v>
      </c>
      <c r="E8" s="50" t="e">
        <f>E10+#REF!+E14+E19+#REF!+E22+E25+E27+E42+E48+E53+#REF!+#REF!+#REF!+#REF!</f>
        <v>#REF!</v>
      </c>
      <c r="F8" s="16" t="e">
        <f>E8-B8</f>
        <v>#REF!</v>
      </c>
      <c r="G8" s="16" t="e">
        <f>E8*100/B8</f>
        <v>#REF!</v>
      </c>
      <c r="H8" s="16" t="e">
        <f>E8-C8</f>
        <v>#REF!</v>
      </c>
      <c r="I8" s="16" t="e">
        <f>E8*100/C8</f>
        <v>#REF!</v>
      </c>
      <c r="J8" s="47"/>
      <c r="K8" s="47"/>
      <c r="L8" s="47"/>
      <c r="M8" s="47"/>
      <c r="N8" s="46"/>
    </row>
    <row r="9" spans="1:14" s="5" customFormat="1" ht="23.25" customHeight="1">
      <c r="A9" s="105" t="s">
        <v>154</v>
      </c>
      <c r="B9" s="106">
        <f>B10+B12+B14+B19+B22+B25</f>
        <v>838487.7</v>
      </c>
      <c r="C9" s="106">
        <f>C10+C12+C14+C19+C22+C25</f>
        <v>846047.4</v>
      </c>
      <c r="D9" s="107">
        <f t="shared" si="0"/>
        <v>100.90158746514707</v>
      </c>
      <c r="E9" s="50"/>
      <c r="F9" s="16"/>
      <c r="G9" s="16"/>
      <c r="H9" s="16"/>
      <c r="I9" s="16"/>
      <c r="J9" s="47"/>
      <c r="K9" s="47"/>
      <c r="L9" s="47"/>
      <c r="M9" s="47"/>
      <c r="N9" s="46"/>
    </row>
    <row r="10" spans="1:14" s="5" customFormat="1" ht="18" customHeight="1">
      <c r="A10" s="108" t="s">
        <v>39</v>
      </c>
      <c r="B10" s="109">
        <f>B11</f>
        <v>461825</v>
      </c>
      <c r="C10" s="109">
        <f>C11</f>
        <v>461825</v>
      </c>
      <c r="D10" s="97">
        <f t="shared" si="0"/>
        <v>100</v>
      </c>
      <c r="E10" s="50">
        <f>SUM(E11:E11)</f>
        <v>180700</v>
      </c>
      <c r="F10" s="16">
        <f>E10-B10</f>
        <v>-281125</v>
      </c>
      <c r="G10" s="16">
        <f>E10*100/B10</f>
        <v>39.12737508796622</v>
      </c>
      <c r="H10" s="16">
        <f aca="true" t="shared" si="1" ref="H10:H31">E10-C10</f>
        <v>-281125</v>
      </c>
      <c r="I10" s="16">
        <f aca="true" t="shared" si="2" ref="I10:I31">E10*100/C10</f>
        <v>39.12737508796622</v>
      </c>
      <c r="J10" s="47"/>
      <c r="K10" s="47"/>
      <c r="L10" s="47"/>
      <c r="M10" s="47"/>
      <c r="N10" s="46"/>
    </row>
    <row r="11" spans="1:16" ht="22.5" customHeight="1">
      <c r="A11" s="56" t="s">
        <v>40</v>
      </c>
      <c r="B11" s="39">
        <v>461825</v>
      </c>
      <c r="C11" s="40">
        <v>461825</v>
      </c>
      <c r="D11" s="57">
        <f t="shared" si="0"/>
        <v>100</v>
      </c>
      <c r="E11" s="51">
        <v>180700</v>
      </c>
      <c r="F11" s="16">
        <f>E11-B11</f>
        <v>-281125</v>
      </c>
      <c r="G11" s="7">
        <f>E11*100/B11</f>
        <v>39.12737508796622</v>
      </c>
      <c r="H11" s="7">
        <f t="shared" si="1"/>
        <v>-281125</v>
      </c>
      <c r="I11" s="7">
        <f t="shared" si="2"/>
        <v>39.12737508796622</v>
      </c>
      <c r="P11" s="15"/>
    </row>
    <row r="12" spans="1:9" ht="28.5" customHeight="1">
      <c r="A12" s="110" t="s">
        <v>151</v>
      </c>
      <c r="B12" s="101">
        <f>B13</f>
        <v>6748</v>
      </c>
      <c r="C12" s="98">
        <f>C13</f>
        <v>6748</v>
      </c>
      <c r="D12" s="97">
        <f t="shared" si="0"/>
        <v>100</v>
      </c>
      <c r="E12" s="51"/>
      <c r="F12" s="16"/>
      <c r="G12" s="7"/>
      <c r="H12" s="7"/>
      <c r="I12" s="7"/>
    </row>
    <row r="13" spans="1:9" ht="75.75" customHeight="1">
      <c r="A13" s="56" t="s">
        <v>148</v>
      </c>
      <c r="B13" s="39">
        <v>6748</v>
      </c>
      <c r="C13" s="40">
        <v>6748</v>
      </c>
      <c r="D13" s="57">
        <f t="shared" si="0"/>
        <v>100</v>
      </c>
      <c r="E13" s="51"/>
      <c r="F13" s="16"/>
      <c r="G13" s="7"/>
      <c r="H13" s="7"/>
      <c r="I13" s="7"/>
    </row>
    <row r="14" spans="1:14" s="5" customFormat="1" ht="24.75" customHeight="1">
      <c r="A14" s="111" t="s">
        <v>42</v>
      </c>
      <c r="B14" s="101">
        <f>B15+B16+B17+B18</f>
        <v>155035.09999999998</v>
      </c>
      <c r="C14" s="101">
        <f>C15+C16+C17+C18</f>
        <v>163936.8</v>
      </c>
      <c r="D14" s="97">
        <f t="shared" si="0"/>
        <v>105.74173203358465</v>
      </c>
      <c r="E14" s="52" t="e">
        <f>#REF!+#REF!+#REF!</f>
        <v>#REF!</v>
      </c>
      <c r="F14" s="16" t="e">
        <f>E14-B14</f>
        <v>#REF!</v>
      </c>
      <c r="G14" s="16" t="e">
        <f>E14*100/B14</f>
        <v>#REF!</v>
      </c>
      <c r="H14" s="16" t="e">
        <f t="shared" si="1"/>
        <v>#REF!</v>
      </c>
      <c r="I14" s="16" t="e">
        <f t="shared" si="2"/>
        <v>#REF!</v>
      </c>
      <c r="J14" s="47"/>
      <c r="K14" s="47"/>
      <c r="L14" s="47"/>
      <c r="M14" s="47"/>
      <c r="N14" s="46"/>
    </row>
    <row r="15" spans="1:14" s="5" customFormat="1" ht="33.75" customHeight="1">
      <c r="A15" s="58" t="s">
        <v>149</v>
      </c>
      <c r="B15" s="39">
        <v>137842.3</v>
      </c>
      <c r="C15" s="39">
        <v>151000</v>
      </c>
      <c r="D15" s="57">
        <f t="shared" si="0"/>
        <v>109.54547334163752</v>
      </c>
      <c r="E15" s="52"/>
      <c r="F15" s="16"/>
      <c r="G15" s="16"/>
      <c r="H15" s="16"/>
      <c r="I15" s="16"/>
      <c r="J15" s="47"/>
      <c r="K15" s="47"/>
      <c r="L15" s="47"/>
      <c r="M15" s="47"/>
      <c r="N15" s="46"/>
    </row>
    <row r="16" spans="1:14" s="5" customFormat="1" ht="34.5" customHeight="1">
      <c r="A16" s="59" t="s">
        <v>43</v>
      </c>
      <c r="B16" s="39">
        <v>2936.8</v>
      </c>
      <c r="C16" s="39">
        <v>2936.8</v>
      </c>
      <c r="D16" s="57">
        <f t="shared" si="0"/>
        <v>100</v>
      </c>
      <c r="E16" s="52"/>
      <c r="F16" s="16"/>
      <c r="G16" s="16"/>
      <c r="H16" s="16"/>
      <c r="I16" s="16"/>
      <c r="J16" s="47"/>
      <c r="K16" s="47"/>
      <c r="L16" s="47"/>
      <c r="M16" s="47"/>
      <c r="N16" s="46"/>
    </row>
    <row r="17" spans="1:14" s="5" customFormat="1" ht="25.5" customHeight="1">
      <c r="A17" s="60" t="s">
        <v>145</v>
      </c>
      <c r="B17" s="39">
        <v>0</v>
      </c>
      <c r="C17" s="39">
        <v>0</v>
      </c>
      <c r="D17" s="57"/>
      <c r="E17" s="52"/>
      <c r="F17" s="16"/>
      <c r="G17" s="16"/>
      <c r="H17" s="16"/>
      <c r="I17" s="16"/>
      <c r="J17" s="47"/>
      <c r="K17" s="47"/>
      <c r="L17" s="47"/>
      <c r="M17" s="47"/>
      <c r="N17" s="46"/>
    </row>
    <row r="18" spans="1:14" s="5" customFormat="1" ht="42" customHeight="1">
      <c r="A18" s="60" t="s">
        <v>146</v>
      </c>
      <c r="B18" s="39">
        <v>14256</v>
      </c>
      <c r="C18" s="39">
        <v>10000</v>
      </c>
      <c r="D18" s="57">
        <f aca="true" t="shared" si="3" ref="D18:D24">C18*100/B18</f>
        <v>70.14590347923681</v>
      </c>
      <c r="E18" s="52"/>
      <c r="F18" s="16"/>
      <c r="G18" s="16"/>
      <c r="H18" s="16"/>
      <c r="I18" s="16"/>
      <c r="J18" s="48"/>
      <c r="K18" s="47"/>
      <c r="L18" s="47"/>
      <c r="M18" s="47"/>
      <c r="N18" s="46"/>
    </row>
    <row r="19" spans="1:14" s="5" customFormat="1" ht="18" customHeight="1">
      <c r="A19" s="111" t="s">
        <v>44</v>
      </c>
      <c r="B19" s="109">
        <f>B20+B21</f>
        <v>207090.6</v>
      </c>
      <c r="C19" s="109">
        <f>C20+C21</f>
        <v>205781.6</v>
      </c>
      <c r="D19" s="97">
        <f t="shared" si="3"/>
        <v>99.36790950434253</v>
      </c>
      <c r="E19" s="50" t="e">
        <f>SUM(E20:E21,#REF!)</f>
        <v>#REF!</v>
      </c>
      <c r="F19" s="16" t="e">
        <f aca="true" t="shared" si="4" ref="F19:F25">E19-B19</f>
        <v>#REF!</v>
      </c>
      <c r="G19" s="16" t="e">
        <f aca="true" t="shared" si="5" ref="G19:G25">E19*100/B19</f>
        <v>#REF!</v>
      </c>
      <c r="H19" s="16" t="e">
        <f t="shared" si="1"/>
        <v>#REF!</v>
      </c>
      <c r="I19" s="16" t="e">
        <f t="shared" si="2"/>
        <v>#REF!</v>
      </c>
      <c r="J19" s="47"/>
      <c r="K19" s="47"/>
      <c r="L19" s="47"/>
      <c r="M19" s="47"/>
      <c r="N19" s="46"/>
    </row>
    <row r="20" spans="1:12" ht="57" customHeight="1">
      <c r="A20" s="60" t="s">
        <v>152</v>
      </c>
      <c r="B20" s="31">
        <v>26184</v>
      </c>
      <c r="C20" s="41">
        <v>24875</v>
      </c>
      <c r="D20" s="57">
        <f t="shared" si="3"/>
        <v>95.00076382523679</v>
      </c>
      <c r="E20" s="51">
        <v>350</v>
      </c>
      <c r="F20" s="16">
        <f t="shared" si="4"/>
        <v>-25834</v>
      </c>
      <c r="G20" s="7">
        <f t="shared" si="5"/>
        <v>1.336694164375191</v>
      </c>
      <c r="H20" s="7">
        <f t="shared" si="1"/>
        <v>-24525</v>
      </c>
      <c r="I20" s="7">
        <f t="shared" si="2"/>
        <v>1.407035175879397</v>
      </c>
      <c r="L20" s="47"/>
    </row>
    <row r="21" spans="1:12" ht="30" customHeight="1">
      <c r="A21" s="59" t="s">
        <v>45</v>
      </c>
      <c r="B21" s="31">
        <f>161936+18970.6</f>
        <v>180906.6</v>
      </c>
      <c r="C21" s="41">
        <v>180906.6</v>
      </c>
      <c r="D21" s="57">
        <f t="shared" si="3"/>
        <v>100</v>
      </c>
      <c r="E21" s="51">
        <v>118746.2</v>
      </c>
      <c r="F21" s="16">
        <f t="shared" si="4"/>
        <v>-62160.40000000001</v>
      </c>
      <c r="G21" s="7">
        <f t="shared" si="5"/>
        <v>65.63950679521919</v>
      </c>
      <c r="H21" s="7">
        <f t="shared" si="1"/>
        <v>-62160.40000000001</v>
      </c>
      <c r="I21" s="7">
        <f t="shared" si="2"/>
        <v>65.63950679521919</v>
      </c>
      <c r="L21" s="47"/>
    </row>
    <row r="22" spans="1:14" s="5" customFormat="1" ht="19.5" customHeight="1">
      <c r="A22" s="111" t="s">
        <v>46</v>
      </c>
      <c r="B22" s="101">
        <f>B23+B24</f>
        <v>7789</v>
      </c>
      <c r="C22" s="101">
        <f>C23+C24</f>
        <v>7756</v>
      </c>
      <c r="D22" s="97">
        <f t="shared" si="3"/>
        <v>99.5763255873668</v>
      </c>
      <c r="E22" s="52">
        <f>SUM(E23:E24)</f>
        <v>2240</v>
      </c>
      <c r="F22" s="16">
        <f t="shared" si="4"/>
        <v>-5549</v>
      </c>
      <c r="G22" s="17">
        <f t="shared" si="5"/>
        <v>28.758505584799074</v>
      </c>
      <c r="H22" s="16">
        <f t="shared" si="1"/>
        <v>-5516</v>
      </c>
      <c r="I22" s="17">
        <f t="shared" si="2"/>
        <v>28.880866425992778</v>
      </c>
      <c r="J22" s="47"/>
      <c r="K22" s="47"/>
      <c r="L22" s="47"/>
      <c r="M22" s="47"/>
      <c r="N22" s="46"/>
    </row>
    <row r="23" spans="1:12" ht="45.75" customHeight="1">
      <c r="A23" s="59" t="s">
        <v>150</v>
      </c>
      <c r="B23" s="31">
        <v>7659</v>
      </c>
      <c r="C23" s="41">
        <v>7691</v>
      </c>
      <c r="D23" s="57">
        <f t="shared" si="3"/>
        <v>100.41780911346129</v>
      </c>
      <c r="E23" s="51">
        <v>2000</v>
      </c>
      <c r="F23" s="16">
        <f t="shared" si="4"/>
        <v>-5659</v>
      </c>
      <c r="G23" s="7">
        <f t="shared" si="5"/>
        <v>26.11306959133046</v>
      </c>
      <c r="H23" s="7">
        <f>E23-C23</f>
        <v>-5691</v>
      </c>
      <c r="I23" s="7">
        <f>E23*100/C23</f>
        <v>26.00442075152776</v>
      </c>
      <c r="L23" s="47"/>
    </row>
    <row r="24" spans="1:12" ht="39.75" customHeight="1">
      <c r="A24" s="59" t="s">
        <v>142</v>
      </c>
      <c r="B24" s="31">
        <v>130</v>
      </c>
      <c r="C24" s="41">
        <v>65</v>
      </c>
      <c r="D24" s="57">
        <f t="shared" si="3"/>
        <v>50</v>
      </c>
      <c r="E24" s="51">
        <v>240</v>
      </c>
      <c r="F24" s="16">
        <f t="shared" si="4"/>
        <v>110</v>
      </c>
      <c r="G24" s="7">
        <f t="shared" si="5"/>
        <v>184.6153846153846</v>
      </c>
      <c r="H24" s="7">
        <f>E24-C24</f>
        <v>175</v>
      </c>
      <c r="I24" s="7">
        <f>E24*100/C24</f>
        <v>369.2307692307692</v>
      </c>
      <c r="L24" s="47"/>
    </row>
    <row r="25" spans="1:14" s="5" customFormat="1" ht="33" customHeight="1">
      <c r="A25" s="111" t="s">
        <v>135</v>
      </c>
      <c r="B25" s="101">
        <v>0</v>
      </c>
      <c r="C25" s="101">
        <v>0</v>
      </c>
      <c r="D25" s="97">
        <v>0</v>
      </c>
      <c r="E25" s="52" t="e">
        <f>SUM(#REF!)</f>
        <v>#REF!</v>
      </c>
      <c r="F25" s="16" t="e">
        <f t="shared" si="4"/>
        <v>#REF!</v>
      </c>
      <c r="G25" s="16" t="e">
        <f t="shared" si="5"/>
        <v>#REF!</v>
      </c>
      <c r="H25" s="16" t="e">
        <f t="shared" si="1"/>
        <v>#REF!</v>
      </c>
      <c r="I25" s="16" t="e">
        <f t="shared" si="2"/>
        <v>#REF!</v>
      </c>
      <c r="J25" s="47"/>
      <c r="K25" s="47"/>
      <c r="L25" s="47"/>
      <c r="M25" s="47"/>
      <c r="N25" s="46"/>
    </row>
    <row r="26" spans="1:14" s="5" customFormat="1" ht="21" customHeight="1">
      <c r="A26" s="111" t="s">
        <v>157</v>
      </c>
      <c r="B26" s="101">
        <f>B27+B37+B39+B41+B46+B47</f>
        <v>278287.6</v>
      </c>
      <c r="C26" s="101">
        <f>C27+C37+C39+C41+C46+C47</f>
        <v>277285.2</v>
      </c>
      <c r="D26" s="97">
        <f aca="true" t="shared" si="6" ref="D26:D41">C26*100/B26</f>
        <v>99.6397971019909</v>
      </c>
      <c r="E26" s="52"/>
      <c r="F26" s="16"/>
      <c r="G26" s="16"/>
      <c r="H26" s="16"/>
      <c r="I26" s="16"/>
      <c r="J26" s="47"/>
      <c r="K26" s="47"/>
      <c r="L26" s="47"/>
      <c r="M26" s="47"/>
      <c r="N26" s="46"/>
    </row>
    <row r="27" spans="1:14" s="5" customFormat="1" ht="32.25" customHeight="1">
      <c r="A27" s="111" t="s">
        <v>143</v>
      </c>
      <c r="B27" s="101">
        <f>B28+B29+B30+B31+B32+B33+B34+B35+B36</f>
        <v>99969.8</v>
      </c>
      <c r="C27" s="101">
        <f>C28+C29+C30+C31+C32+C33+C34+C35+C36</f>
        <v>100090.20000000001</v>
      </c>
      <c r="D27" s="97">
        <f t="shared" si="6"/>
        <v>100.1204363717843</v>
      </c>
      <c r="E27" s="52">
        <f>SUM(E32+E33+E34+E38+E41)</f>
        <v>155293.8</v>
      </c>
      <c r="F27" s="16">
        <f aca="true" t="shared" si="7" ref="F27:F38">E27-B27</f>
        <v>55323.999999999985</v>
      </c>
      <c r="G27" s="16">
        <f aca="true" t="shared" si="8" ref="G27:G38">E27*100/B27</f>
        <v>155.34071289529436</v>
      </c>
      <c r="H27" s="16">
        <f t="shared" si="1"/>
        <v>55203.59999999998</v>
      </c>
      <c r="I27" s="16">
        <f t="shared" si="2"/>
        <v>155.15385122619395</v>
      </c>
      <c r="J27" s="47"/>
      <c r="K27" s="47"/>
      <c r="L27" s="47"/>
      <c r="M27" s="47"/>
      <c r="N27" s="46"/>
    </row>
    <row r="28" spans="1:12" ht="62.25">
      <c r="A28" s="56" t="s">
        <v>188</v>
      </c>
      <c r="B28" s="31">
        <v>47334.6</v>
      </c>
      <c r="C28" s="41">
        <v>42544.5</v>
      </c>
      <c r="D28" s="57">
        <f t="shared" si="6"/>
        <v>89.8803412303051</v>
      </c>
      <c r="E28" s="51"/>
      <c r="F28" s="16">
        <f t="shared" si="7"/>
        <v>-47334.6</v>
      </c>
      <c r="G28" s="7">
        <f t="shared" si="8"/>
        <v>0</v>
      </c>
      <c r="H28" s="7">
        <f t="shared" si="1"/>
        <v>-42544.5</v>
      </c>
      <c r="I28" s="7">
        <f t="shared" si="2"/>
        <v>0</v>
      </c>
      <c r="L28" s="47"/>
    </row>
    <row r="29" spans="1:12" ht="78">
      <c r="A29" s="56" t="s">
        <v>189</v>
      </c>
      <c r="B29" s="31">
        <v>9450.6</v>
      </c>
      <c r="C29" s="41">
        <v>13931</v>
      </c>
      <c r="D29" s="57">
        <f t="shared" si="6"/>
        <v>147.4086301398853</v>
      </c>
      <c r="E29" s="51"/>
      <c r="F29" s="16">
        <f t="shared" si="7"/>
        <v>-9450.6</v>
      </c>
      <c r="G29" s="7">
        <f t="shared" si="8"/>
        <v>0</v>
      </c>
      <c r="H29" s="7">
        <f t="shared" si="1"/>
        <v>-13931</v>
      </c>
      <c r="I29" s="7">
        <f t="shared" si="2"/>
        <v>0</v>
      </c>
      <c r="L29" s="47"/>
    </row>
    <row r="30" spans="1:12" ht="39" customHeight="1">
      <c r="A30" s="56" t="s">
        <v>190</v>
      </c>
      <c r="B30" s="31">
        <v>278</v>
      </c>
      <c r="C30" s="41">
        <v>278.2</v>
      </c>
      <c r="D30" s="57">
        <f>C30*100/B30</f>
        <v>100.07194244604317</v>
      </c>
      <c r="E30" s="51"/>
      <c r="F30" s="16">
        <f t="shared" si="7"/>
        <v>-278</v>
      </c>
      <c r="G30" s="7">
        <f t="shared" si="8"/>
        <v>0</v>
      </c>
      <c r="H30" s="7">
        <f t="shared" si="1"/>
        <v>-278.2</v>
      </c>
      <c r="I30" s="7">
        <f t="shared" si="2"/>
        <v>0</v>
      </c>
      <c r="L30" s="47"/>
    </row>
    <row r="31" spans="1:12" ht="54" customHeight="1">
      <c r="A31" s="56" t="s">
        <v>191</v>
      </c>
      <c r="B31" s="31">
        <v>27655.3</v>
      </c>
      <c r="C31" s="41">
        <v>26655.3</v>
      </c>
      <c r="D31" s="57">
        <f t="shared" si="6"/>
        <v>96.3840565822826</v>
      </c>
      <c r="E31" s="51"/>
      <c r="F31" s="16">
        <f t="shared" si="7"/>
        <v>-27655.3</v>
      </c>
      <c r="G31" s="7">
        <f t="shared" si="8"/>
        <v>0</v>
      </c>
      <c r="H31" s="7">
        <f t="shared" si="1"/>
        <v>-26655.3</v>
      </c>
      <c r="I31" s="7">
        <f t="shared" si="2"/>
        <v>0</v>
      </c>
      <c r="L31" s="47"/>
    </row>
    <row r="32" spans="1:13" ht="39.75" customHeight="1">
      <c r="A32" s="56" t="s">
        <v>41</v>
      </c>
      <c r="B32" s="31">
        <v>2914</v>
      </c>
      <c r="C32" s="41">
        <v>3000</v>
      </c>
      <c r="D32" s="57">
        <f>C32*100/B32</f>
        <v>102.9512697323267</v>
      </c>
      <c r="E32" s="51">
        <v>81000</v>
      </c>
      <c r="F32" s="16">
        <f t="shared" si="7"/>
        <v>78086</v>
      </c>
      <c r="G32" s="7">
        <f t="shared" si="8"/>
        <v>2779.684282772821</v>
      </c>
      <c r="H32" s="7">
        <f aca="true" t="shared" si="9" ref="H32:H53">E32-C32</f>
        <v>78000</v>
      </c>
      <c r="I32" s="7">
        <f aca="true" t="shared" si="10" ref="I32:I51">E32*100/C32</f>
        <v>2700</v>
      </c>
      <c r="L32" s="47"/>
      <c r="M32" s="49"/>
    </row>
    <row r="33" spans="1:12" ht="47.25" customHeight="1">
      <c r="A33" s="56" t="s">
        <v>192</v>
      </c>
      <c r="B33" s="31">
        <v>10102.1</v>
      </c>
      <c r="C33" s="41">
        <v>10102.1</v>
      </c>
      <c r="D33" s="57">
        <f t="shared" si="6"/>
        <v>100</v>
      </c>
      <c r="E33" s="51">
        <v>7853.8</v>
      </c>
      <c r="F33" s="16">
        <f t="shared" si="7"/>
        <v>-2248.3</v>
      </c>
      <c r="G33" s="7">
        <f t="shared" si="8"/>
        <v>77.74423139743222</v>
      </c>
      <c r="H33" s="7">
        <f t="shared" si="9"/>
        <v>-2248.3</v>
      </c>
      <c r="I33" s="7">
        <f t="shared" si="10"/>
        <v>77.74423139743222</v>
      </c>
      <c r="L33" s="47"/>
    </row>
    <row r="34" spans="1:12" ht="80.25" customHeight="1">
      <c r="A34" s="56" t="s">
        <v>193</v>
      </c>
      <c r="B34" s="31">
        <v>31.7</v>
      </c>
      <c r="C34" s="41">
        <v>110.8</v>
      </c>
      <c r="D34" s="57">
        <f t="shared" si="6"/>
        <v>349.5268138801262</v>
      </c>
      <c r="E34" s="53">
        <v>59000</v>
      </c>
      <c r="F34" s="16">
        <f t="shared" si="7"/>
        <v>58968.3</v>
      </c>
      <c r="G34" s="7">
        <f t="shared" si="8"/>
        <v>186119.8738170347</v>
      </c>
      <c r="H34" s="7">
        <f t="shared" si="9"/>
        <v>58889.2</v>
      </c>
      <c r="I34" s="7">
        <f t="shared" si="10"/>
        <v>53249.097472924186</v>
      </c>
      <c r="L34" s="47"/>
    </row>
    <row r="35" spans="1:12" ht="108.75">
      <c r="A35" s="56" t="s">
        <v>194</v>
      </c>
      <c r="B35" s="31">
        <v>1780.7</v>
      </c>
      <c r="C35" s="41">
        <v>2580</v>
      </c>
      <c r="D35" s="57">
        <f t="shared" si="6"/>
        <v>144.88684225304655</v>
      </c>
      <c r="E35" s="53"/>
      <c r="F35" s="16">
        <f t="shared" si="7"/>
        <v>-1780.7</v>
      </c>
      <c r="G35" s="7">
        <f t="shared" si="8"/>
        <v>0</v>
      </c>
      <c r="H35" s="7">
        <f t="shared" si="9"/>
        <v>-2580</v>
      </c>
      <c r="I35" s="7">
        <f t="shared" si="10"/>
        <v>0</v>
      </c>
      <c r="L35" s="47"/>
    </row>
    <row r="36" spans="1:12" ht="105.75" customHeight="1">
      <c r="A36" s="56" t="s">
        <v>195</v>
      </c>
      <c r="B36" s="31">
        <v>422.8</v>
      </c>
      <c r="C36" s="41">
        <v>888.3</v>
      </c>
      <c r="D36" s="57">
        <f t="shared" si="6"/>
        <v>210.09933774834437</v>
      </c>
      <c r="E36" s="51"/>
      <c r="F36" s="16">
        <f t="shared" si="7"/>
        <v>-422.8</v>
      </c>
      <c r="G36" s="7">
        <f t="shared" si="8"/>
        <v>0</v>
      </c>
      <c r="H36" s="7">
        <f t="shared" si="9"/>
        <v>-888.3</v>
      </c>
      <c r="I36" s="7">
        <f t="shared" si="10"/>
        <v>0</v>
      </c>
      <c r="L36" s="47"/>
    </row>
    <row r="37" spans="1:12" ht="23.25" customHeight="1">
      <c r="A37" s="54" t="s">
        <v>47</v>
      </c>
      <c r="B37" s="29">
        <f>B38</f>
        <v>2188</v>
      </c>
      <c r="C37" s="29">
        <f>C38</f>
        <v>370</v>
      </c>
      <c r="D37" s="55">
        <f t="shared" si="6"/>
        <v>16.910420475319928</v>
      </c>
      <c r="E37" s="51"/>
      <c r="F37" s="16">
        <f t="shared" si="7"/>
        <v>-2188</v>
      </c>
      <c r="G37" s="7">
        <f t="shared" si="8"/>
        <v>0</v>
      </c>
      <c r="H37" s="7">
        <f t="shared" si="9"/>
        <v>-370</v>
      </c>
      <c r="I37" s="7">
        <f t="shared" si="10"/>
        <v>0</v>
      </c>
      <c r="L37" s="47"/>
    </row>
    <row r="38" spans="1:12" ht="32.25" customHeight="1">
      <c r="A38" s="100" t="s">
        <v>26</v>
      </c>
      <c r="B38" s="101">
        <v>2188</v>
      </c>
      <c r="C38" s="98">
        <v>370</v>
      </c>
      <c r="D38" s="97">
        <f t="shared" si="6"/>
        <v>16.910420475319928</v>
      </c>
      <c r="E38" s="51">
        <v>2240</v>
      </c>
      <c r="F38" s="16">
        <f t="shared" si="7"/>
        <v>52</v>
      </c>
      <c r="G38" s="7">
        <f t="shared" si="8"/>
        <v>102.37659963436928</v>
      </c>
      <c r="H38" s="7">
        <f t="shared" si="9"/>
        <v>1870</v>
      </c>
      <c r="I38" s="7">
        <f t="shared" si="10"/>
        <v>605.4054054054054</v>
      </c>
      <c r="L38" s="47"/>
    </row>
    <row r="39" spans="1:12" ht="27.75" customHeight="1">
      <c r="A39" s="108" t="s">
        <v>48</v>
      </c>
      <c r="B39" s="101">
        <f>B40</f>
        <v>202</v>
      </c>
      <c r="C39" s="101">
        <f>C40</f>
        <v>524.1</v>
      </c>
      <c r="D39" s="97">
        <f t="shared" si="6"/>
        <v>259.45544554455444</v>
      </c>
      <c r="E39" s="51"/>
      <c r="F39" s="16"/>
      <c r="G39" s="7"/>
      <c r="H39" s="7"/>
      <c r="I39" s="7"/>
      <c r="L39" s="47"/>
    </row>
    <row r="40" spans="1:14" ht="30.75">
      <c r="A40" s="56" t="s">
        <v>200</v>
      </c>
      <c r="B40" s="31">
        <v>202</v>
      </c>
      <c r="C40" s="41">
        <v>524.1</v>
      </c>
      <c r="D40" s="57">
        <f t="shared" si="6"/>
        <v>259.45544554455444</v>
      </c>
      <c r="E40" s="51"/>
      <c r="F40" s="16"/>
      <c r="G40" s="7"/>
      <c r="H40" s="7"/>
      <c r="I40" s="7"/>
      <c r="J40" s="65"/>
      <c r="K40" s="65"/>
      <c r="L40" s="47"/>
      <c r="M40" s="65"/>
      <c r="N40" s="65"/>
    </row>
    <row r="41" spans="1:12" ht="39.75" customHeight="1">
      <c r="A41" s="108" t="s">
        <v>49</v>
      </c>
      <c r="B41" s="101">
        <f>B42+B43+B44+B45</f>
        <v>39339.9</v>
      </c>
      <c r="C41" s="101">
        <f>C42+C43+C44+C45</f>
        <v>39258.9</v>
      </c>
      <c r="D41" s="97">
        <f t="shared" si="6"/>
        <v>99.79410217107821</v>
      </c>
      <c r="E41" s="51">
        <v>5200</v>
      </c>
      <c r="F41" s="16">
        <f aca="true" t="shared" si="11" ref="F41:F56">E41-B41</f>
        <v>-34139.9</v>
      </c>
      <c r="G41" s="7">
        <f>E41*100/B41</f>
        <v>13.218132227077344</v>
      </c>
      <c r="H41" s="7">
        <f t="shared" si="9"/>
        <v>-34058.9</v>
      </c>
      <c r="I41" s="7">
        <f t="shared" si="10"/>
        <v>13.245404226812264</v>
      </c>
      <c r="L41" s="47"/>
    </row>
    <row r="42" spans="1:14" s="5" customFormat="1" ht="26.25" customHeight="1">
      <c r="A42" s="56" t="s">
        <v>50</v>
      </c>
      <c r="B42" s="31">
        <v>0</v>
      </c>
      <c r="C42" s="41">
        <v>612.7</v>
      </c>
      <c r="D42" s="57"/>
      <c r="E42" s="52">
        <f>SUM(E43,E45)</f>
        <v>1116</v>
      </c>
      <c r="F42" s="16">
        <f t="shared" si="11"/>
        <v>1116</v>
      </c>
      <c r="G42" s="16" t="e">
        <f>E42*100/B42</f>
        <v>#DIV/0!</v>
      </c>
      <c r="H42" s="16">
        <f t="shared" si="9"/>
        <v>503.29999999999995</v>
      </c>
      <c r="I42" s="16">
        <f t="shared" si="10"/>
        <v>182.14460584299002</v>
      </c>
      <c r="J42" s="47"/>
      <c r="K42" s="47"/>
      <c r="L42" s="47"/>
      <c r="M42" s="47"/>
      <c r="N42" s="46"/>
    </row>
    <row r="43" spans="1:12" ht="49.5" customHeight="1">
      <c r="A43" s="56" t="s">
        <v>147</v>
      </c>
      <c r="B43" s="31">
        <v>37566.9</v>
      </c>
      <c r="C43" s="41">
        <v>37566.9</v>
      </c>
      <c r="D43" s="57">
        <f aca="true" t="shared" si="12" ref="D43:D54">C43*100/B43</f>
        <v>100</v>
      </c>
      <c r="E43" s="51">
        <v>1116</v>
      </c>
      <c r="F43" s="16">
        <f t="shared" si="11"/>
        <v>-36450.9</v>
      </c>
      <c r="G43" s="7">
        <f>E43*100/B43</f>
        <v>2.9707002707170407</v>
      </c>
      <c r="H43" s="7">
        <f t="shared" si="9"/>
        <v>-36450.9</v>
      </c>
      <c r="I43" s="7">
        <f t="shared" si="10"/>
        <v>2.9707002707170407</v>
      </c>
      <c r="L43" s="47"/>
    </row>
    <row r="44" spans="1:12" ht="30.75">
      <c r="A44" s="56" t="s">
        <v>0</v>
      </c>
      <c r="B44" s="31">
        <v>1773</v>
      </c>
      <c r="C44" s="41">
        <v>1079.3</v>
      </c>
      <c r="D44" s="57">
        <f t="shared" si="12"/>
        <v>60.87422447828539</v>
      </c>
      <c r="E44" s="51"/>
      <c r="F44" s="16">
        <f t="shared" si="11"/>
        <v>-1773</v>
      </c>
      <c r="G44" s="7"/>
      <c r="H44" s="7"/>
      <c r="I44" s="7"/>
      <c r="L44" s="47"/>
    </row>
    <row r="45" spans="1:12" ht="46.5">
      <c r="A45" s="56" t="s">
        <v>144</v>
      </c>
      <c r="B45" s="31">
        <v>0</v>
      </c>
      <c r="C45" s="41">
        <v>0</v>
      </c>
      <c r="D45" s="57">
        <v>0</v>
      </c>
      <c r="E45" s="51"/>
      <c r="F45" s="16">
        <f t="shared" si="11"/>
        <v>0</v>
      </c>
      <c r="G45" s="7"/>
      <c r="H45" s="7">
        <f t="shared" si="9"/>
        <v>0</v>
      </c>
      <c r="I45" s="7"/>
      <c r="L45" s="47"/>
    </row>
    <row r="46" spans="1:12" ht="19.5" customHeight="1">
      <c r="A46" s="111" t="s">
        <v>51</v>
      </c>
      <c r="B46" s="101">
        <v>845.6</v>
      </c>
      <c r="C46" s="101">
        <v>1200</v>
      </c>
      <c r="D46" s="97">
        <f t="shared" si="12"/>
        <v>141.91106906338695</v>
      </c>
      <c r="E46" s="51"/>
      <c r="F46" s="16">
        <f t="shared" si="11"/>
        <v>-845.6</v>
      </c>
      <c r="G46" s="7"/>
      <c r="H46" s="7">
        <f t="shared" si="9"/>
        <v>-1200</v>
      </c>
      <c r="I46" s="7"/>
      <c r="L46" s="47"/>
    </row>
    <row r="47" spans="1:12" ht="24" customHeight="1">
      <c r="A47" s="111" t="s">
        <v>52</v>
      </c>
      <c r="B47" s="109">
        <v>135742.3</v>
      </c>
      <c r="C47" s="109">
        <v>135842</v>
      </c>
      <c r="D47" s="97">
        <f t="shared" si="12"/>
        <v>100.07344799668196</v>
      </c>
      <c r="E47" s="51"/>
      <c r="F47" s="16">
        <f t="shared" si="11"/>
        <v>-135742.3</v>
      </c>
      <c r="G47" s="7"/>
      <c r="H47" s="7">
        <f t="shared" si="9"/>
        <v>-135842</v>
      </c>
      <c r="I47" s="7"/>
      <c r="L47" s="47"/>
    </row>
    <row r="48" spans="1:14" s="5" customFormat="1" ht="32.25" customHeight="1">
      <c r="A48" s="112" t="s">
        <v>53</v>
      </c>
      <c r="B48" s="101">
        <f>B49+B54</f>
        <v>2685371.5</v>
      </c>
      <c r="C48" s="101">
        <f>C49+C54</f>
        <v>2685371.5</v>
      </c>
      <c r="D48" s="97">
        <f t="shared" si="12"/>
        <v>100</v>
      </c>
      <c r="E48" s="52">
        <f>E50+E49</f>
        <v>0</v>
      </c>
      <c r="F48" s="16">
        <f t="shared" si="11"/>
        <v>-2685371.5</v>
      </c>
      <c r="G48" s="16">
        <f>E48*100/B48</f>
        <v>0</v>
      </c>
      <c r="H48" s="16">
        <f t="shared" si="9"/>
        <v>-2685371.5</v>
      </c>
      <c r="I48" s="16">
        <f t="shared" si="10"/>
        <v>0</v>
      </c>
      <c r="J48" s="47"/>
      <c r="K48" s="47"/>
      <c r="L48" s="47"/>
      <c r="M48" s="47"/>
      <c r="N48" s="46"/>
    </row>
    <row r="49" spans="1:12" ht="42" customHeight="1">
      <c r="A49" s="111" t="s">
        <v>12</v>
      </c>
      <c r="B49" s="101">
        <f>B50+B51+B52+B53</f>
        <v>2690131</v>
      </c>
      <c r="C49" s="101">
        <f>C50+C51+C52+C53</f>
        <v>2690131</v>
      </c>
      <c r="D49" s="97">
        <f t="shared" si="12"/>
        <v>100</v>
      </c>
      <c r="E49" s="51"/>
      <c r="F49" s="16">
        <f t="shared" si="11"/>
        <v>-2690131</v>
      </c>
      <c r="G49" s="7">
        <f>E49*100/B49</f>
        <v>0</v>
      </c>
      <c r="H49" s="7">
        <f t="shared" si="9"/>
        <v>-2690131</v>
      </c>
      <c r="I49" s="7">
        <f t="shared" si="10"/>
        <v>0</v>
      </c>
      <c r="L49" s="47"/>
    </row>
    <row r="50" spans="1:12" ht="37.5" customHeight="1">
      <c r="A50" s="99" t="s">
        <v>199</v>
      </c>
      <c r="B50" s="39">
        <v>542</v>
      </c>
      <c r="C50" s="39">
        <v>542</v>
      </c>
      <c r="D50" s="57">
        <f t="shared" si="12"/>
        <v>100</v>
      </c>
      <c r="E50" s="51"/>
      <c r="F50" s="16">
        <f t="shared" si="11"/>
        <v>-542</v>
      </c>
      <c r="G50" s="7">
        <f>E50*100/B50</f>
        <v>0</v>
      </c>
      <c r="H50" s="7">
        <f t="shared" si="9"/>
        <v>-542</v>
      </c>
      <c r="I50" s="7">
        <f t="shared" si="10"/>
        <v>0</v>
      </c>
      <c r="L50" s="47"/>
    </row>
    <row r="51" spans="1:12" ht="30.75">
      <c r="A51" s="116" t="s">
        <v>196</v>
      </c>
      <c r="B51" s="40">
        <v>48802</v>
      </c>
      <c r="C51" s="40">
        <v>48802</v>
      </c>
      <c r="D51" s="57">
        <f t="shared" si="12"/>
        <v>100</v>
      </c>
      <c r="E51" s="51"/>
      <c r="F51" s="16">
        <f t="shared" si="11"/>
        <v>-48802</v>
      </c>
      <c r="G51" s="7">
        <f>E51*100/B51</f>
        <v>0</v>
      </c>
      <c r="H51" s="7">
        <f t="shared" si="9"/>
        <v>-48802</v>
      </c>
      <c r="I51" s="7">
        <f t="shared" si="10"/>
        <v>0</v>
      </c>
      <c r="L51" s="47"/>
    </row>
    <row r="52" spans="1:12" ht="30.75">
      <c r="A52" s="99" t="s">
        <v>198</v>
      </c>
      <c r="B52" s="39">
        <v>1871022</v>
      </c>
      <c r="C52" s="39">
        <v>1871022</v>
      </c>
      <c r="D52" s="57">
        <f t="shared" si="12"/>
        <v>100</v>
      </c>
      <c r="E52" s="51"/>
      <c r="F52" s="16">
        <f t="shared" si="11"/>
        <v>-1871022</v>
      </c>
      <c r="G52" s="7"/>
      <c r="H52" s="7">
        <f t="shared" si="9"/>
        <v>-1871022</v>
      </c>
      <c r="I52" s="7"/>
      <c r="L52" s="47"/>
    </row>
    <row r="53" spans="1:14" s="5" customFormat="1" ht="38.25" customHeight="1">
      <c r="A53" s="99" t="s">
        <v>54</v>
      </c>
      <c r="B53" s="39">
        <v>769765</v>
      </c>
      <c r="C53" s="39">
        <v>769765</v>
      </c>
      <c r="D53" s="57">
        <f t="shared" si="12"/>
        <v>100</v>
      </c>
      <c r="E53" s="52">
        <f>SUM(E54:E56)</f>
        <v>18500</v>
      </c>
      <c r="F53" s="16">
        <f t="shared" si="11"/>
        <v>-751265</v>
      </c>
      <c r="G53" s="16">
        <f>E53*100/B53</f>
        <v>2.4033308866991874</v>
      </c>
      <c r="H53" s="16">
        <f t="shared" si="9"/>
        <v>-751265</v>
      </c>
      <c r="I53" s="16">
        <f>E53*100/C53</f>
        <v>2.4033308866991874</v>
      </c>
      <c r="J53" s="47"/>
      <c r="K53" s="47"/>
      <c r="L53" s="47"/>
      <c r="M53" s="47"/>
      <c r="N53" s="46"/>
    </row>
    <row r="54" spans="1:12" ht="28.5" customHeight="1">
      <c r="A54" s="99" t="s">
        <v>153</v>
      </c>
      <c r="B54" s="39">
        <v>-4759.5</v>
      </c>
      <c r="C54" s="39">
        <v>-4759.5</v>
      </c>
      <c r="D54" s="57">
        <f t="shared" si="12"/>
        <v>100</v>
      </c>
      <c r="E54" s="51">
        <v>1500</v>
      </c>
      <c r="F54" s="16">
        <f t="shared" si="11"/>
        <v>6259.5</v>
      </c>
      <c r="G54" s="37">
        <f>E54*100/B54</f>
        <v>-31.51591553734636</v>
      </c>
      <c r="H54" s="7">
        <f>E54-C54</f>
        <v>6259.5</v>
      </c>
      <c r="I54" s="37">
        <f>E54*100/C54</f>
        <v>-31.51591553734636</v>
      </c>
      <c r="L54" s="47"/>
    </row>
    <row r="55" spans="1:12" ht="23.25" customHeight="1" thickBot="1">
      <c r="A55" s="113" t="s">
        <v>197</v>
      </c>
      <c r="B55" s="114">
        <f>B8+B48</f>
        <v>3802146.8</v>
      </c>
      <c r="C55" s="114">
        <f>C8+C48</f>
        <v>3808704.1</v>
      </c>
      <c r="D55" s="115">
        <f>C55*100/B55</f>
        <v>100.17246309374484</v>
      </c>
      <c r="E55" s="51">
        <v>12000</v>
      </c>
      <c r="F55" s="16">
        <f t="shared" si="11"/>
        <v>-3790146.8</v>
      </c>
      <c r="G55" s="7">
        <f>E55*100/B55</f>
        <v>0.3156111699842836</v>
      </c>
      <c r="H55" s="7">
        <f>E55-C55</f>
        <v>-3796704.1</v>
      </c>
      <c r="I55" s="7">
        <f>E55*100/C55</f>
        <v>0.3150677943188078</v>
      </c>
      <c r="L55" s="47"/>
    </row>
    <row r="56" spans="1:12" ht="15">
      <c r="A56" s="56"/>
      <c r="B56" s="31"/>
      <c r="C56" s="41"/>
      <c r="D56" s="57"/>
      <c r="E56" s="51">
        <v>5000</v>
      </c>
      <c r="F56" s="16">
        <f t="shared" si="11"/>
        <v>5000</v>
      </c>
      <c r="G56" s="7" t="e">
        <f>E56*100/B56</f>
        <v>#DIV/0!</v>
      </c>
      <c r="H56" s="7">
        <f>E56-C56</f>
        <v>5000</v>
      </c>
      <c r="I56" s="7" t="e">
        <f>E56*100/C56</f>
        <v>#DIV/0!</v>
      </c>
      <c r="L56" s="47"/>
    </row>
    <row r="57" spans="1:14" s="5" customFormat="1" ht="15" hidden="1">
      <c r="A57" s="61" t="s">
        <v>153</v>
      </c>
      <c r="B57" s="31">
        <v>-4759.5</v>
      </c>
      <c r="C57" s="31">
        <v>-4759.5</v>
      </c>
      <c r="D57" s="55">
        <f>C57*100/B57</f>
        <v>100</v>
      </c>
      <c r="E57" s="32"/>
      <c r="F57" s="4"/>
      <c r="G57" s="4"/>
      <c r="H57" s="4"/>
      <c r="I57" s="4"/>
      <c r="J57" s="47"/>
      <c r="K57" s="47"/>
      <c r="L57" s="47"/>
      <c r="M57" s="47"/>
      <c r="N57" s="47"/>
    </row>
    <row r="58" spans="1:9" ht="13.5" hidden="1" thickBot="1">
      <c r="A58" s="62" t="s">
        <v>197</v>
      </c>
      <c r="B58" s="63" t="e">
        <f>B8+#REF!</f>
        <v>#REF!</v>
      </c>
      <c r="C58" s="63" t="e">
        <f>C8+#REF!</f>
        <v>#REF!</v>
      </c>
      <c r="D58" s="64" t="e">
        <f>C58*100/B58</f>
        <v>#REF!</v>
      </c>
      <c r="E58" s="32"/>
      <c r="F58" s="7"/>
      <c r="G58" s="7"/>
      <c r="H58" s="7"/>
      <c r="I58" s="7"/>
    </row>
    <row r="59" spans="1:14" s="5" customFormat="1" ht="12.75" hidden="1">
      <c r="A59" s="19" t="s">
        <v>55</v>
      </c>
      <c r="B59" s="29" t="e">
        <f>#REF!+B57</f>
        <v>#REF!</v>
      </c>
      <c r="C59" s="29" t="e">
        <f>#REF!+C57</f>
        <v>#REF!</v>
      </c>
      <c r="D59" s="16" t="e">
        <f>C59*100/B59</f>
        <v>#REF!</v>
      </c>
      <c r="E59" s="29" t="e">
        <f>#REF!+E57</f>
        <v>#REF!</v>
      </c>
      <c r="F59" s="16" t="e">
        <f>E59-B59</f>
        <v>#REF!</v>
      </c>
      <c r="G59" s="16" t="e">
        <f>E59*100/B59</f>
        <v>#REF!</v>
      </c>
      <c r="H59" s="16" t="e">
        <f>E59-C59</f>
        <v>#REF!</v>
      </c>
      <c r="I59" s="16" t="e">
        <f>E59*100/C59</f>
        <v>#REF!</v>
      </c>
      <c r="J59" s="47"/>
      <c r="K59" s="47"/>
      <c r="L59" s="47"/>
      <c r="M59" s="47"/>
      <c r="N59" s="47"/>
    </row>
    <row r="60" spans="1:14" s="5" customFormat="1" ht="12.75" hidden="1">
      <c r="A60" s="10" t="s">
        <v>136</v>
      </c>
      <c r="B60" s="31"/>
      <c r="C60" s="31"/>
      <c r="D60" s="4"/>
      <c r="E60" s="32"/>
      <c r="F60" s="4"/>
      <c r="G60" s="4"/>
      <c r="H60" s="4"/>
      <c r="I60" s="4"/>
      <c r="J60" s="47"/>
      <c r="K60" s="47"/>
      <c r="L60" s="47"/>
      <c r="M60" s="47"/>
      <c r="N60" s="47"/>
    </row>
    <row r="61" spans="1:9" ht="12.75" hidden="1">
      <c r="A61" s="6"/>
      <c r="B61" s="27"/>
      <c r="C61" s="27"/>
      <c r="D61" s="7"/>
      <c r="E61" s="28"/>
      <c r="F61" s="7"/>
      <c r="G61" s="7"/>
      <c r="H61" s="7"/>
      <c r="I61" s="7"/>
    </row>
    <row r="62" spans="1:14" s="5" customFormat="1" ht="12.75" hidden="1">
      <c r="A62" s="20" t="s">
        <v>59</v>
      </c>
      <c r="B62" s="16">
        <f>B64+B65+B66+B67+B68+B69+B70+B71+B72+B73</f>
        <v>28708986</v>
      </c>
      <c r="C62" s="16">
        <f>C64+C65+C66+C67+C68+C69+C70+C71+C72+C73</f>
        <v>28182417</v>
      </c>
      <c r="D62" s="16">
        <f>C62*100/B62</f>
        <v>98.16583908606177</v>
      </c>
      <c r="E62" s="16">
        <f>SUM(E64:E73)</f>
        <v>36606731</v>
      </c>
      <c r="F62" s="16">
        <f>E62-B62</f>
        <v>7897745</v>
      </c>
      <c r="G62" s="16">
        <f>E62*100/B62</f>
        <v>127.50966195740943</v>
      </c>
      <c r="H62" s="16">
        <f>E62-C62</f>
        <v>8424314</v>
      </c>
      <c r="I62" s="16">
        <f>E62*100/C62</f>
        <v>129.89209193803356</v>
      </c>
      <c r="J62" s="47"/>
      <c r="K62" s="47"/>
      <c r="L62" s="47"/>
      <c r="M62" s="47"/>
      <c r="N62" s="47"/>
    </row>
    <row r="63" spans="1:9" ht="12.75" hidden="1">
      <c r="A63" s="12" t="s">
        <v>60</v>
      </c>
      <c r="B63" s="34"/>
      <c r="C63" s="34"/>
      <c r="D63" s="7"/>
      <c r="E63" s="30"/>
      <c r="F63" s="7"/>
      <c r="G63" s="7"/>
      <c r="H63" s="7"/>
      <c r="I63" s="7"/>
    </row>
    <row r="64" spans="1:9" ht="26.25" hidden="1">
      <c r="A64" s="12" t="s">
        <v>13</v>
      </c>
      <c r="B64" s="34">
        <v>2114</v>
      </c>
      <c r="C64" s="34">
        <v>2114</v>
      </c>
      <c r="D64" s="7">
        <f aca="true" t="shared" si="13" ref="D64:D73">C64*100/B64</f>
        <v>100</v>
      </c>
      <c r="E64" s="30">
        <v>3259</v>
      </c>
      <c r="F64" s="7">
        <f aca="true" t="shared" si="14" ref="F64:F73">E64-B64</f>
        <v>1145</v>
      </c>
      <c r="G64" s="7">
        <f aca="true" t="shared" si="15" ref="G64:G73">E64*100/B64</f>
        <v>154.162724692526</v>
      </c>
      <c r="H64" s="7">
        <f aca="true" t="shared" si="16" ref="H64:H72">E64-C64</f>
        <v>1145</v>
      </c>
      <c r="I64" s="7">
        <f aca="true" t="shared" si="17" ref="I64:I72">E64*100/C64</f>
        <v>154.162724692526</v>
      </c>
    </row>
    <row r="65" spans="1:9" ht="26.25" hidden="1">
      <c r="A65" s="12" t="s">
        <v>14</v>
      </c>
      <c r="B65" s="34">
        <v>894360</v>
      </c>
      <c r="C65" s="34">
        <f>885881+8479</f>
        <v>894360</v>
      </c>
      <c r="D65" s="7">
        <f t="shared" si="13"/>
        <v>100</v>
      </c>
      <c r="E65" s="30">
        <v>1094101</v>
      </c>
      <c r="F65" s="7">
        <f t="shared" si="14"/>
        <v>199741</v>
      </c>
      <c r="G65" s="7">
        <f t="shared" si="15"/>
        <v>122.33340042041236</v>
      </c>
      <c r="H65" s="7">
        <f t="shared" si="16"/>
        <v>199741</v>
      </c>
      <c r="I65" s="7">
        <f t="shared" si="17"/>
        <v>122.33340042041236</v>
      </c>
    </row>
    <row r="66" spans="1:9" ht="39" hidden="1">
      <c r="A66" s="12" t="s">
        <v>17</v>
      </c>
      <c r="B66" s="34">
        <v>900186</v>
      </c>
      <c r="C66" s="34">
        <f>890517+9669</f>
        <v>900186</v>
      </c>
      <c r="D66" s="7">
        <f t="shared" si="13"/>
        <v>100</v>
      </c>
      <c r="E66" s="30">
        <v>1277717</v>
      </c>
      <c r="F66" s="7">
        <f t="shared" si="14"/>
        <v>377531</v>
      </c>
      <c r="G66" s="7">
        <f t="shared" si="15"/>
        <v>141.93922144978927</v>
      </c>
      <c r="H66" s="7">
        <f t="shared" si="16"/>
        <v>377531</v>
      </c>
      <c r="I66" s="7">
        <f t="shared" si="17"/>
        <v>141.93922144978927</v>
      </c>
    </row>
    <row r="67" spans="1:9" ht="12.75" hidden="1">
      <c r="A67" s="12" t="s">
        <v>61</v>
      </c>
      <c r="B67" s="34">
        <v>1151718</v>
      </c>
      <c r="C67" s="34">
        <v>1151718</v>
      </c>
      <c r="D67" s="7">
        <f t="shared" si="13"/>
        <v>100</v>
      </c>
      <c r="E67" s="30">
        <v>1592344</v>
      </c>
      <c r="F67" s="7">
        <f t="shared" si="14"/>
        <v>440626</v>
      </c>
      <c r="G67" s="7">
        <f t="shared" si="15"/>
        <v>138.25814999852395</v>
      </c>
      <c r="H67" s="7">
        <f t="shared" si="16"/>
        <v>440626</v>
      </c>
      <c r="I67" s="7">
        <f t="shared" si="17"/>
        <v>138.25814999852395</v>
      </c>
    </row>
    <row r="68" spans="1:9" ht="26.25" hidden="1">
      <c r="A68" s="12" t="s">
        <v>15</v>
      </c>
      <c r="B68" s="34">
        <v>2394370</v>
      </c>
      <c r="C68" s="34">
        <f>2389320+5050</f>
        <v>2394370</v>
      </c>
      <c r="D68" s="7">
        <f t="shared" si="13"/>
        <v>100</v>
      </c>
      <c r="E68" s="30">
        <v>3221741</v>
      </c>
      <c r="F68" s="7">
        <f t="shared" si="14"/>
        <v>827371</v>
      </c>
      <c r="G68" s="7">
        <f t="shared" si="15"/>
        <v>134.55485158935335</v>
      </c>
      <c r="H68" s="7">
        <f t="shared" si="16"/>
        <v>827371</v>
      </c>
      <c r="I68" s="7">
        <f t="shared" si="17"/>
        <v>134.55485158935335</v>
      </c>
    </row>
    <row r="69" spans="1:9" ht="30" customHeight="1" hidden="1">
      <c r="A69" s="12" t="s">
        <v>62</v>
      </c>
      <c r="B69" s="34">
        <v>67921</v>
      </c>
      <c r="C69" s="34">
        <v>67921</v>
      </c>
      <c r="D69" s="7">
        <f t="shared" si="13"/>
        <v>100</v>
      </c>
      <c r="E69" s="30">
        <v>96791</v>
      </c>
      <c r="F69" s="7">
        <f t="shared" si="14"/>
        <v>28870</v>
      </c>
      <c r="G69" s="7">
        <f t="shared" si="15"/>
        <v>142.50526346785236</v>
      </c>
      <c r="H69" s="7">
        <f t="shared" si="16"/>
        <v>28870</v>
      </c>
      <c r="I69" s="7">
        <f t="shared" si="17"/>
        <v>142.50526346785236</v>
      </c>
    </row>
    <row r="70" spans="1:9" ht="12.75" hidden="1">
      <c r="A70" s="9" t="s">
        <v>16</v>
      </c>
      <c r="B70" s="7">
        <v>209500</v>
      </c>
      <c r="C70" s="7">
        <v>209500</v>
      </c>
      <c r="D70" s="7">
        <f t="shared" si="13"/>
        <v>100</v>
      </c>
      <c r="E70" s="30">
        <v>9780</v>
      </c>
      <c r="F70" s="7">
        <f t="shared" si="14"/>
        <v>-199720</v>
      </c>
      <c r="G70" s="7">
        <f t="shared" si="15"/>
        <v>4.6682577565632455</v>
      </c>
      <c r="H70" s="7">
        <f t="shared" si="16"/>
        <v>-199720</v>
      </c>
      <c r="I70" s="7">
        <f t="shared" si="17"/>
        <v>4.6682577565632455</v>
      </c>
    </row>
    <row r="71" spans="1:9" ht="12.75" hidden="1">
      <c r="A71" s="12" t="s">
        <v>63</v>
      </c>
      <c r="B71" s="34">
        <v>10032000</v>
      </c>
      <c r="C71" s="34">
        <v>10032000</v>
      </c>
      <c r="D71" s="7">
        <f t="shared" si="13"/>
        <v>100</v>
      </c>
      <c r="E71" s="30">
        <v>12568000</v>
      </c>
      <c r="F71" s="7">
        <f t="shared" si="14"/>
        <v>2536000</v>
      </c>
      <c r="G71" s="7">
        <f t="shared" si="15"/>
        <v>125.27910685805422</v>
      </c>
      <c r="H71" s="7">
        <f t="shared" si="16"/>
        <v>2536000</v>
      </c>
      <c r="I71" s="7">
        <f t="shared" si="17"/>
        <v>125.27910685805422</v>
      </c>
    </row>
    <row r="72" spans="1:9" ht="12.75" hidden="1">
      <c r="A72" s="12" t="s">
        <v>64</v>
      </c>
      <c r="B72" s="34">
        <v>1555107</v>
      </c>
      <c r="C72" s="34">
        <v>1555107</v>
      </c>
      <c r="D72" s="7">
        <f t="shared" si="13"/>
        <v>100</v>
      </c>
      <c r="E72" s="30">
        <v>1555107</v>
      </c>
      <c r="F72" s="7">
        <f t="shared" si="14"/>
        <v>0</v>
      </c>
      <c r="G72" s="7">
        <f t="shared" si="15"/>
        <v>100</v>
      </c>
      <c r="H72" s="7">
        <f t="shared" si="16"/>
        <v>0</v>
      </c>
      <c r="I72" s="7">
        <f t="shared" si="17"/>
        <v>100</v>
      </c>
    </row>
    <row r="73" spans="1:9" ht="12.75" hidden="1">
      <c r="A73" s="12" t="s">
        <v>65</v>
      </c>
      <c r="B73" s="34">
        <v>11501710</v>
      </c>
      <c r="C73" s="34">
        <f>4081083+375064+29602+26190+6463202</f>
        <v>10975141</v>
      </c>
      <c r="D73" s="7">
        <f t="shared" si="13"/>
        <v>95.42181988591261</v>
      </c>
      <c r="E73" s="30">
        <v>15187891</v>
      </c>
      <c r="F73" s="7">
        <f t="shared" si="14"/>
        <v>3686181</v>
      </c>
      <c r="G73" s="7">
        <f t="shared" si="15"/>
        <v>132.04898228176506</v>
      </c>
      <c r="H73" s="7">
        <f>E73-C73</f>
        <v>4212750</v>
      </c>
      <c r="I73" s="7">
        <f>E73*100/C73</f>
        <v>138.38447269151257</v>
      </c>
    </row>
    <row r="74" spans="1:9" ht="12.75" hidden="1">
      <c r="A74" s="12"/>
      <c r="B74" s="34"/>
      <c r="C74" s="34"/>
      <c r="D74" s="7"/>
      <c r="E74" s="30"/>
      <c r="F74" s="7"/>
      <c r="G74" s="7"/>
      <c r="H74" s="7"/>
      <c r="I74" s="7"/>
    </row>
    <row r="75" spans="1:14" s="5" customFormat="1" ht="12.75" hidden="1">
      <c r="A75" s="20" t="s">
        <v>90</v>
      </c>
      <c r="B75" s="16">
        <f>B77</f>
        <v>12972</v>
      </c>
      <c r="C75" s="16">
        <f>C77</f>
        <v>12972</v>
      </c>
      <c r="D75" s="16">
        <f>C75*100/B75</f>
        <v>100</v>
      </c>
      <c r="E75" s="16">
        <f>E77</f>
        <v>38595</v>
      </c>
      <c r="F75" s="16">
        <f>E75-B75</f>
        <v>25623</v>
      </c>
      <c r="G75" s="16">
        <f>E75*100/B75</f>
        <v>297.5254394079556</v>
      </c>
      <c r="H75" s="16">
        <f>E75-C75</f>
        <v>25623</v>
      </c>
      <c r="I75" s="16">
        <f>E75*100/C75</f>
        <v>297.5254394079556</v>
      </c>
      <c r="J75" s="47"/>
      <c r="K75" s="47"/>
      <c r="L75" s="47"/>
      <c r="M75" s="47"/>
      <c r="N75" s="47"/>
    </row>
    <row r="76" spans="1:9" ht="12.75" hidden="1">
      <c r="A76" s="12" t="s">
        <v>60</v>
      </c>
      <c r="B76" s="34"/>
      <c r="C76" s="34"/>
      <c r="D76" s="7"/>
      <c r="E76" s="30"/>
      <c r="F76" s="7"/>
      <c r="G76" s="7"/>
      <c r="H76" s="7"/>
      <c r="I76" s="7"/>
    </row>
    <row r="77" spans="1:9" ht="12.75" hidden="1">
      <c r="A77" s="12" t="s">
        <v>34</v>
      </c>
      <c r="B77" s="34">
        <v>12972</v>
      </c>
      <c r="C77" s="34">
        <v>12972</v>
      </c>
      <c r="D77" s="7">
        <f>C77*100/B77</f>
        <v>100</v>
      </c>
      <c r="E77" s="30">
        <v>38595</v>
      </c>
      <c r="F77" s="7">
        <f>E77-B77</f>
        <v>25623</v>
      </c>
      <c r="G77" s="7">
        <f>E77*100/B77</f>
        <v>297.5254394079556</v>
      </c>
      <c r="H77" s="7">
        <f>E77-C77</f>
        <v>25623</v>
      </c>
      <c r="I77" s="7">
        <f>E77*100/C77</f>
        <v>297.5254394079556</v>
      </c>
    </row>
    <row r="78" spans="1:9" ht="12.75" hidden="1">
      <c r="A78" s="12"/>
      <c r="B78" s="34"/>
      <c r="C78" s="34"/>
      <c r="D78" s="7"/>
      <c r="E78" s="30"/>
      <c r="F78" s="7"/>
      <c r="G78" s="7"/>
      <c r="H78" s="7"/>
      <c r="I78" s="7"/>
    </row>
    <row r="79" spans="1:14" s="5" customFormat="1" ht="12.75" hidden="1">
      <c r="A79" s="20" t="s">
        <v>66</v>
      </c>
      <c r="B79" s="16">
        <f>SUM(B81:B86)</f>
        <v>17041701</v>
      </c>
      <c r="C79" s="16">
        <f>SUM(C81:C86)</f>
        <v>16821701</v>
      </c>
      <c r="D79" s="16">
        <f>C79*100/B79</f>
        <v>98.70904905560776</v>
      </c>
      <c r="E79" s="16">
        <f>SUM(E81:E86)</f>
        <v>21988891</v>
      </c>
      <c r="F79" s="16">
        <f>E79-B79</f>
        <v>4947190</v>
      </c>
      <c r="G79" s="16">
        <f>E79*100/B79</f>
        <v>129.02990728448998</v>
      </c>
      <c r="H79" s="16">
        <f>E79-C79</f>
        <v>5167190</v>
      </c>
      <c r="I79" s="16">
        <f>E79*100/C79</f>
        <v>130.71740485697612</v>
      </c>
      <c r="J79" s="47"/>
      <c r="K79" s="47"/>
      <c r="L79" s="47"/>
      <c r="M79" s="47"/>
      <c r="N79" s="47"/>
    </row>
    <row r="80" spans="1:9" ht="12.75" hidden="1">
      <c r="A80" s="12" t="s">
        <v>60</v>
      </c>
      <c r="B80" s="34"/>
      <c r="C80" s="34"/>
      <c r="D80" s="7"/>
      <c r="E80" s="30"/>
      <c r="F80" s="7"/>
      <c r="G80" s="7"/>
      <c r="H80" s="7"/>
      <c r="I80" s="7"/>
    </row>
    <row r="81" spans="1:9" ht="12.75" hidden="1">
      <c r="A81" s="12" t="s">
        <v>67</v>
      </c>
      <c r="B81" s="34">
        <v>12332807</v>
      </c>
      <c r="C81" s="34">
        <f>11764572+576585-8350</f>
        <v>12332807</v>
      </c>
      <c r="D81" s="7">
        <f>C81*100/B81</f>
        <v>100</v>
      </c>
      <c r="E81" s="30">
        <v>17462718</v>
      </c>
      <c r="F81" s="7">
        <f>E81-B81</f>
        <v>5129911</v>
      </c>
      <c r="G81" s="7">
        <f>E81*100/B81</f>
        <v>141.59564809536062</v>
      </c>
      <c r="H81" s="7">
        <f aca="true" t="shared" si="18" ref="H81:H86">E81-C81</f>
        <v>5129911</v>
      </c>
      <c r="I81" s="7">
        <f>E81*100/C81</f>
        <v>141.59564809536062</v>
      </c>
    </row>
    <row r="82" spans="1:9" ht="12.75" hidden="1">
      <c r="A82" s="12" t="s">
        <v>7</v>
      </c>
      <c r="B82" s="34"/>
      <c r="C82" s="34"/>
      <c r="D82" s="7"/>
      <c r="E82" s="30"/>
      <c r="F82" s="7"/>
      <c r="G82" s="7"/>
      <c r="H82" s="7"/>
      <c r="I82" s="7"/>
    </row>
    <row r="83" spans="1:9" ht="26.25" hidden="1">
      <c r="A83" s="12" t="s">
        <v>8</v>
      </c>
      <c r="B83" s="34">
        <v>67662</v>
      </c>
      <c r="C83" s="34">
        <v>67662</v>
      </c>
      <c r="D83" s="7">
        <f>C83*100/B83</f>
        <v>100</v>
      </c>
      <c r="E83" s="30">
        <v>96154</v>
      </c>
      <c r="F83" s="7">
        <f>E83-B83</f>
        <v>28492</v>
      </c>
      <c r="G83" s="7">
        <f>E83*100/B83</f>
        <v>142.10930803109574</v>
      </c>
      <c r="H83" s="7">
        <f>E83-C83</f>
        <v>28492</v>
      </c>
      <c r="I83" s="7">
        <f>E83*100/C83</f>
        <v>142.10930803109574</v>
      </c>
    </row>
    <row r="84" spans="1:9" ht="26.25" hidden="1">
      <c r="A84" s="12" t="s">
        <v>18</v>
      </c>
      <c r="B84" s="34">
        <v>1021168</v>
      </c>
      <c r="C84" s="34">
        <v>1021168</v>
      </c>
      <c r="D84" s="7">
        <f>C84*100/B84</f>
        <v>100</v>
      </c>
      <c r="E84" s="30">
        <v>1527215</v>
      </c>
      <c r="F84" s="7">
        <f>E84-B84</f>
        <v>506047</v>
      </c>
      <c r="G84" s="7">
        <f>E84*100/B84</f>
        <v>149.555704839948</v>
      </c>
      <c r="H84" s="7">
        <f t="shared" si="18"/>
        <v>506047</v>
      </c>
      <c r="I84" s="7">
        <f>E84*100/C84</f>
        <v>149.555704839948</v>
      </c>
    </row>
    <row r="85" spans="1:9" ht="12.75" hidden="1">
      <c r="A85" s="12" t="s">
        <v>19</v>
      </c>
      <c r="B85" s="34">
        <v>3519964</v>
      </c>
      <c r="C85" s="34">
        <f>3253113+46851</f>
        <v>3299964</v>
      </c>
      <c r="D85" s="7">
        <f>C85*100/B85</f>
        <v>93.74993607889172</v>
      </c>
      <c r="E85" s="30">
        <v>2883462</v>
      </c>
      <c r="F85" s="7">
        <f>E85-B85</f>
        <v>-636502</v>
      </c>
      <c r="G85" s="7">
        <f>E85*100/B85</f>
        <v>81.91737188221244</v>
      </c>
      <c r="H85" s="7">
        <f t="shared" si="18"/>
        <v>-416502</v>
      </c>
      <c r="I85" s="7">
        <f>E85*100/C85</f>
        <v>87.37858958461365</v>
      </c>
    </row>
    <row r="86" spans="1:9" ht="26.25" hidden="1">
      <c r="A86" s="12" t="s">
        <v>68</v>
      </c>
      <c r="B86" s="34">
        <v>100100</v>
      </c>
      <c r="C86" s="34">
        <v>100100</v>
      </c>
      <c r="D86" s="7">
        <f>C86*100/B86</f>
        <v>100</v>
      </c>
      <c r="E86" s="30">
        <v>19342</v>
      </c>
      <c r="F86" s="7">
        <f>E86-B86</f>
        <v>-80758</v>
      </c>
      <c r="G86" s="7">
        <f>E86*100/B86</f>
        <v>19.322677322677322</v>
      </c>
      <c r="H86" s="7">
        <f t="shared" si="18"/>
        <v>-80758</v>
      </c>
      <c r="I86" s="7">
        <f>E86*100/C86</f>
        <v>19.322677322677322</v>
      </c>
    </row>
    <row r="87" spans="1:9" ht="12.75" hidden="1">
      <c r="A87" s="12"/>
      <c r="B87" s="34"/>
      <c r="C87" s="34"/>
      <c r="D87" s="7"/>
      <c r="E87" s="30"/>
      <c r="F87" s="7"/>
      <c r="G87" s="7"/>
      <c r="H87" s="7"/>
      <c r="I87" s="7"/>
    </row>
    <row r="88" spans="1:14" s="5" customFormat="1" ht="12.75" hidden="1">
      <c r="A88" s="20" t="s">
        <v>69</v>
      </c>
      <c r="B88" s="16">
        <f>SUM(B90:B100)</f>
        <v>43047236</v>
      </c>
      <c r="C88" s="16">
        <f>SUM(C90:C100)</f>
        <v>43027360</v>
      </c>
      <c r="D88" s="16">
        <f>C88*100/B88</f>
        <v>99.95382746525236</v>
      </c>
      <c r="E88" s="16">
        <f>SUM(E90:E100)</f>
        <v>47873691</v>
      </c>
      <c r="F88" s="16">
        <f>E88-B88</f>
        <v>4826455</v>
      </c>
      <c r="G88" s="16">
        <f>E88*100/B88</f>
        <v>111.21199744392416</v>
      </c>
      <c r="H88" s="16">
        <f>E88-C88</f>
        <v>4846331</v>
      </c>
      <c r="I88" s="16">
        <f>E88*100/C88</f>
        <v>111.26337056235846</v>
      </c>
      <c r="J88" s="47"/>
      <c r="K88" s="47"/>
      <c r="L88" s="47"/>
      <c r="M88" s="47"/>
      <c r="N88" s="47"/>
    </row>
    <row r="89" spans="1:9" ht="12.75" hidden="1">
      <c r="A89" s="12" t="s">
        <v>60</v>
      </c>
      <c r="B89" s="34"/>
      <c r="C89" s="34"/>
      <c r="D89" s="7"/>
      <c r="E89" s="30"/>
      <c r="F89" s="7"/>
      <c r="G89" s="7"/>
      <c r="H89" s="7"/>
      <c r="I89" s="7"/>
    </row>
    <row r="90" spans="1:9" ht="12.75" hidden="1">
      <c r="A90" s="12" t="s">
        <v>70</v>
      </c>
      <c r="B90" s="34">
        <v>1262429</v>
      </c>
      <c r="C90" s="34">
        <f>719352+542017+1060</f>
        <v>1262429</v>
      </c>
      <c r="D90" s="7">
        <f>C90*100/B90</f>
        <v>100</v>
      </c>
      <c r="E90" s="30">
        <v>1552835</v>
      </c>
      <c r="F90" s="7">
        <f aca="true" t="shared" si="19" ref="F90:F100">E90-B90</f>
        <v>290406</v>
      </c>
      <c r="G90" s="7">
        <f>E90*100/B90</f>
        <v>123.00374912173278</v>
      </c>
      <c r="H90" s="7">
        <f>E90-C90</f>
        <v>290406</v>
      </c>
      <c r="I90" s="7">
        <f>E90*100/C90</f>
        <v>123.00374912173278</v>
      </c>
    </row>
    <row r="91" spans="1:9" ht="12.75" hidden="1">
      <c r="A91" s="12" t="s">
        <v>87</v>
      </c>
      <c r="B91" s="34">
        <v>139333</v>
      </c>
      <c r="C91" s="34">
        <f>139180+153</f>
        <v>139333</v>
      </c>
      <c r="D91" s="7">
        <f>C91*100/B91</f>
        <v>100</v>
      </c>
      <c r="E91" s="30">
        <v>180440</v>
      </c>
      <c r="F91" s="7">
        <f t="shared" si="19"/>
        <v>41107</v>
      </c>
      <c r="G91" s="7">
        <f>E91*100/B91</f>
        <v>129.50270215957454</v>
      </c>
      <c r="H91" s="7">
        <f>E91-C91</f>
        <v>41107</v>
      </c>
      <c r="I91" s="7">
        <f>E91*100/C91</f>
        <v>129.50270215957454</v>
      </c>
    </row>
    <row r="92" spans="1:9" ht="12.75" hidden="1">
      <c r="A92" s="26" t="s">
        <v>88</v>
      </c>
      <c r="B92" s="34"/>
      <c r="C92" s="34"/>
      <c r="D92" s="7"/>
      <c r="E92" s="30">
        <v>7000</v>
      </c>
      <c r="F92" s="7">
        <f t="shared" si="19"/>
        <v>7000</v>
      </c>
      <c r="G92" s="7"/>
      <c r="H92" s="7">
        <f>E92-C92</f>
        <v>7000</v>
      </c>
      <c r="I92" s="7"/>
    </row>
    <row r="93" spans="1:9" ht="12.75" hidden="1">
      <c r="A93" s="12" t="s">
        <v>71</v>
      </c>
      <c r="B93" s="34">
        <v>2300722</v>
      </c>
      <c r="C93" s="34">
        <f>131789+2168933</f>
        <v>2300722</v>
      </c>
      <c r="D93" s="7">
        <f aca="true" t="shared" si="20" ref="D93:D100">C93*100/B93</f>
        <v>100</v>
      </c>
      <c r="E93" s="30">
        <v>7905291</v>
      </c>
      <c r="F93" s="7">
        <f t="shared" si="19"/>
        <v>5604569</v>
      </c>
      <c r="G93" s="7">
        <f aca="true" t="shared" si="21" ref="G93:G100">E93*100/B93</f>
        <v>343.60044368680786</v>
      </c>
      <c r="H93" s="7">
        <f aca="true" t="shared" si="22" ref="H93:H153">E93-C93</f>
        <v>5604569</v>
      </c>
      <c r="I93" s="7">
        <f aca="true" t="shared" si="23" ref="I93:I154">E93*100/C93</f>
        <v>343.60044368680786</v>
      </c>
    </row>
    <row r="94" spans="1:9" ht="12.75" hidden="1">
      <c r="A94" s="12" t="s">
        <v>33</v>
      </c>
      <c r="B94" s="34">
        <v>46277</v>
      </c>
      <c r="C94" s="34">
        <v>32711</v>
      </c>
      <c r="D94" s="7">
        <f t="shared" si="20"/>
        <v>70.68522160036304</v>
      </c>
      <c r="E94" s="30">
        <v>51756</v>
      </c>
      <c r="F94" s="7">
        <f t="shared" si="19"/>
        <v>5479</v>
      </c>
      <c r="G94" s="7">
        <f t="shared" si="21"/>
        <v>111.83957473474945</v>
      </c>
      <c r="H94" s="7">
        <f t="shared" si="22"/>
        <v>19045</v>
      </c>
      <c r="I94" s="7">
        <f t="shared" si="23"/>
        <v>158.22200483017946</v>
      </c>
    </row>
    <row r="95" spans="1:9" ht="12.75" hidden="1">
      <c r="A95" s="12" t="s">
        <v>72</v>
      </c>
      <c r="B95" s="34"/>
      <c r="C95" s="34"/>
      <c r="D95" s="7" t="e">
        <f t="shared" si="20"/>
        <v>#DIV/0!</v>
      </c>
      <c r="E95" s="30"/>
      <c r="F95" s="7">
        <f t="shared" si="19"/>
        <v>0</v>
      </c>
      <c r="G95" s="7" t="e">
        <f t="shared" si="21"/>
        <v>#DIV/0!</v>
      </c>
      <c r="H95" s="7">
        <f t="shared" si="22"/>
        <v>0</v>
      </c>
      <c r="I95" s="7" t="e">
        <f t="shared" si="23"/>
        <v>#DIV/0!</v>
      </c>
    </row>
    <row r="96" spans="1:9" ht="12.75" hidden="1">
      <c r="A96" s="12" t="s">
        <v>73</v>
      </c>
      <c r="B96" s="34">
        <v>2155251</v>
      </c>
      <c r="C96" s="34">
        <f>442920+1712331</f>
        <v>2155251</v>
      </c>
      <c r="D96" s="7">
        <f t="shared" si="20"/>
        <v>100</v>
      </c>
      <c r="E96" s="30">
        <v>3389225</v>
      </c>
      <c r="F96" s="7">
        <f t="shared" si="19"/>
        <v>1233974</v>
      </c>
      <c r="G96" s="7">
        <f t="shared" si="21"/>
        <v>157.25430587899044</v>
      </c>
      <c r="H96" s="7">
        <f t="shared" si="22"/>
        <v>1233974</v>
      </c>
      <c r="I96" s="7">
        <f t="shared" si="23"/>
        <v>157.25430587899044</v>
      </c>
    </row>
    <row r="97" spans="1:9" ht="12.75" hidden="1">
      <c r="A97" s="12" t="s">
        <v>137</v>
      </c>
      <c r="B97" s="34">
        <v>31438518</v>
      </c>
      <c r="C97" s="34">
        <v>31438518</v>
      </c>
      <c r="D97" s="7">
        <f t="shared" si="20"/>
        <v>100</v>
      </c>
      <c r="E97" s="30">
        <v>26878466</v>
      </c>
      <c r="F97" s="7">
        <f t="shared" si="19"/>
        <v>-4560052</v>
      </c>
      <c r="G97" s="7">
        <f t="shared" si="21"/>
        <v>85.49533409939998</v>
      </c>
      <c r="H97" s="7">
        <f t="shared" si="22"/>
        <v>-4560052</v>
      </c>
      <c r="I97" s="7">
        <f t="shared" si="23"/>
        <v>85.49533409939998</v>
      </c>
    </row>
    <row r="98" spans="1:9" ht="12.75" hidden="1">
      <c r="A98" s="12" t="s">
        <v>74</v>
      </c>
      <c r="B98" s="34">
        <v>473523</v>
      </c>
      <c r="C98" s="34">
        <f>82000+391523</f>
        <v>473523</v>
      </c>
      <c r="D98" s="7">
        <f t="shared" si="20"/>
        <v>100</v>
      </c>
      <c r="E98" s="30">
        <v>443999</v>
      </c>
      <c r="F98" s="7">
        <f t="shared" si="19"/>
        <v>-29524</v>
      </c>
      <c r="G98" s="7">
        <f t="shared" si="21"/>
        <v>93.76503358865357</v>
      </c>
      <c r="H98" s="7">
        <f t="shared" si="22"/>
        <v>-29524</v>
      </c>
      <c r="I98" s="7">
        <f t="shared" si="23"/>
        <v>93.76503358865357</v>
      </c>
    </row>
    <row r="99" spans="1:9" ht="12.75" hidden="1">
      <c r="A99" s="12" t="s">
        <v>75</v>
      </c>
      <c r="B99" s="34">
        <v>98065</v>
      </c>
      <c r="C99" s="34">
        <v>91755</v>
      </c>
      <c r="D99" s="7">
        <f t="shared" si="20"/>
        <v>93.56549227553154</v>
      </c>
      <c r="E99" s="30">
        <v>124000</v>
      </c>
      <c r="F99" s="7">
        <f t="shared" si="19"/>
        <v>25935</v>
      </c>
      <c r="G99" s="7">
        <f t="shared" si="21"/>
        <v>126.44674450619488</v>
      </c>
      <c r="H99" s="7">
        <f>E99-C99</f>
        <v>32245</v>
      </c>
      <c r="I99" s="7">
        <f>E99*100/C99</f>
        <v>135.1424990463735</v>
      </c>
    </row>
    <row r="100" spans="1:9" ht="12.75" hidden="1">
      <c r="A100" s="12" t="s">
        <v>76</v>
      </c>
      <c r="B100" s="34">
        <v>5133118</v>
      </c>
      <c r="C100" s="34">
        <f>556978+184237+6896+3824070+256+134055+6896+53397+494652-128319</f>
        <v>5133118</v>
      </c>
      <c r="D100" s="7">
        <f t="shared" si="20"/>
        <v>100</v>
      </c>
      <c r="E100" s="30">
        <v>7340679</v>
      </c>
      <c r="F100" s="7">
        <f t="shared" si="19"/>
        <v>2207561</v>
      </c>
      <c r="G100" s="7">
        <f t="shared" si="21"/>
        <v>143.00623909288663</v>
      </c>
      <c r="H100" s="7">
        <f t="shared" si="22"/>
        <v>2207561</v>
      </c>
      <c r="I100" s="7">
        <f t="shared" si="23"/>
        <v>143.00623909288663</v>
      </c>
    </row>
    <row r="101" spans="1:9" ht="12.75" hidden="1">
      <c r="A101" s="12"/>
      <c r="B101" s="34"/>
      <c r="C101" s="34"/>
      <c r="D101" s="7"/>
      <c r="E101" s="30"/>
      <c r="F101" s="7"/>
      <c r="G101" s="7"/>
      <c r="H101" s="7"/>
      <c r="I101" s="7"/>
    </row>
    <row r="102" spans="1:14" s="5" customFormat="1" ht="12.75" hidden="1">
      <c r="A102" s="20" t="s">
        <v>77</v>
      </c>
      <c r="B102" s="16">
        <f>B104+B105+B106</f>
        <v>2617399</v>
      </c>
      <c r="C102" s="16">
        <f>C104+C105+C106</f>
        <v>2617399</v>
      </c>
      <c r="D102" s="16">
        <f>C102*100/B102</f>
        <v>100</v>
      </c>
      <c r="E102" s="16">
        <f>E104+E105+E106</f>
        <v>4574464</v>
      </c>
      <c r="F102" s="16">
        <f>E102-B102</f>
        <v>1957065</v>
      </c>
      <c r="G102" s="16">
        <f>E102*100/B102</f>
        <v>174.77136653601534</v>
      </c>
      <c r="H102" s="16">
        <f t="shared" si="22"/>
        <v>1957065</v>
      </c>
      <c r="I102" s="16">
        <f t="shared" si="23"/>
        <v>174.77136653601534</v>
      </c>
      <c r="J102" s="47"/>
      <c r="K102" s="47"/>
      <c r="L102" s="47"/>
      <c r="M102" s="47"/>
      <c r="N102" s="47"/>
    </row>
    <row r="103" spans="1:9" ht="12.75" hidden="1">
      <c r="A103" s="12" t="s">
        <v>60</v>
      </c>
      <c r="B103" s="34"/>
      <c r="C103" s="34"/>
      <c r="D103" s="7"/>
      <c r="E103" s="30"/>
      <c r="F103" s="7"/>
      <c r="G103" s="7"/>
      <c r="H103" s="7"/>
      <c r="I103" s="7"/>
    </row>
    <row r="104" spans="1:9" ht="12.75" hidden="1">
      <c r="A104" s="12" t="s">
        <v>78</v>
      </c>
      <c r="B104" s="34">
        <v>477000</v>
      </c>
      <c r="C104" s="34">
        <v>477000</v>
      </c>
      <c r="D104" s="7">
        <f>C104*100/B104</f>
        <v>100</v>
      </c>
      <c r="E104" s="30">
        <v>536000</v>
      </c>
      <c r="F104" s="7">
        <f>E104-B104</f>
        <v>59000</v>
      </c>
      <c r="G104" s="7">
        <f>E104*100/B104</f>
        <v>112.36897274633124</v>
      </c>
      <c r="H104" s="7">
        <f t="shared" si="22"/>
        <v>59000</v>
      </c>
      <c r="I104" s="7">
        <f t="shared" si="23"/>
        <v>112.36897274633124</v>
      </c>
    </row>
    <row r="105" spans="1:9" ht="12.75" hidden="1">
      <c r="A105" s="12" t="s">
        <v>79</v>
      </c>
      <c r="B105" s="34">
        <v>1087133</v>
      </c>
      <c r="C105" s="34">
        <f>72000+1015133</f>
        <v>1087133</v>
      </c>
      <c r="D105" s="7">
        <f>C105*100/B105</f>
        <v>100</v>
      </c>
      <c r="E105" s="30">
        <v>2666275</v>
      </c>
      <c r="F105" s="7">
        <f>E105-B105</f>
        <v>1579142</v>
      </c>
      <c r="G105" s="7">
        <f>E105*100/B105</f>
        <v>245.25747999554793</v>
      </c>
      <c r="H105" s="7">
        <f>E105-C105</f>
        <v>1579142</v>
      </c>
      <c r="I105" s="7">
        <f>E105*100/C105</f>
        <v>245.25747999554793</v>
      </c>
    </row>
    <row r="106" spans="1:9" ht="12.75" hidden="1">
      <c r="A106" s="12" t="s">
        <v>80</v>
      </c>
      <c r="B106" s="34">
        <v>1053266</v>
      </c>
      <c r="C106" s="34">
        <f>901726+147910+3130+500</f>
        <v>1053266</v>
      </c>
      <c r="D106" s="7">
        <f>C106*100/B106</f>
        <v>100</v>
      </c>
      <c r="E106" s="30">
        <v>1372189</v>
      </c>
      <c r="F106" s="7">
        <f>E106-B106</f>
        <v>318923</v>
      </c>
      <c r="G106" s="7">
        <f>E106*100/B106</f>
        <v>130.27943558417343</v>
      </c>
      <c r="H106" s="7">
        <f t="shared" si="22"/>
        <v>318923</v>
      </c>
      <c r="I106" s="7">
        <f t="shared" si="23"/>
        <v>130.27943558417343</v>
      </c>
    </row>
    <row r="107" spans="1:9" ht="12.75" hidden="1">
      <c r="A107" s="12"/>
      <c r="B107" s="34"/>
      <c r="C107" s="34"/>
      <c r="D107" s="7"/>
      <c r="E107" s="30"/>
      <c r="F107" s="7"/>
      <c r="G107" s="7"/>
      <c r="H107" s="7"/>
      <c r="I107" s="7"/>
    </row>
    <row r="108" spans="1:14" s="5" customFormat="1" ht="12.75" hidden="1">
      <c r="A108" s="20" t="s">
        <v>81</v>
      </c>
      <c r="B108" s="16">
        <f>SUM(B110:B112)</f>
        <v>451855</v>
      </c>
      <c r="C108" s="16">
        <f>SUM(C110:C112)</f>
        <v>444389</v>
      </c>
      <c r="D108" s="16">
        <f>C108*100/B108</f>
        <v>98.34770003651614</v>
      </c>
      <c r="E108" s="16">
        <f>E110+E111+E112</f>
        <v>599941</v>
      </c>
      <c r="F108" s="16">
        <f>E108-B108</f>
        <v>148086</v>
      </c>
      <c r="G108" s="16">
        <f>E108*100/B108</f>
        <v>132.7729028117427</v>
      </c>
      <c r="H108" s="16">
        <f t="shared" si="22"/>
        <v>155552</v>
      </c>
      <c r="I108" s="16">
        <f t="shared" si="23"/>
        <v>135.0035666949452</v>
      </c>
      <c r="J108" s="47"/>
      <c r="K108" s="47"/>
      <c r="L108" s="47"/>
      <c r="M108" s="47"/>
      <c r="N108" s="47"/>
    </row>
    <row r="109" spans="1:9" ht="12.75" hidden="1">
      <c r="A109" s="12" t="s">
        <v>60</v>
      </c>
      <c r="B109" s="34"/>
      <c r="C109" s="34"/>
      <c r="D109" s="7"/>
      <c r="E109" s="30"/>
      <c r="F109" s="7"/>
      <c r="G109" s="7"/>
      <c r="H109" s="7"/>
      <c r="I109" s="7"/>
    </row>
    <row r="110" spans="1:9" ht="12.75" hidden="1">
      <c r="A110" s="12" t="s">
        <v>32</v>
      </c>
      <c r="B110" s="34">
        <v>5125</v>
      </c>
      <c r="C110" s="34">
        <v>5125</v>
      </c>
      <c r="D110" s="7">
        <f>C110*100/B110</f>
        <v>100</v>
      </c>
      <c r="E110" s="30">
        <v>504</v>
      </c>
      <c r="F110" s="7">
        <f>E110-B110</f>
        <v>-4621</v>
      </c>
      <c r="G110" s="7">
        <f>E110*100/B110</f>
        <v>9.834146341463414</v>
      </c>
      <c r="H110" s="7">
        <f t="shared" si="22"/>
        <v>-4621</v>
      </c>
      <c r="I110" s="7">
        <f>E110*100/C110</f>
        <v>9.834146341463414</v>
      </c>
    </row>
    <row r="111" spans="1:9" ht="12.75" hidden="1">
      <c r="A111" s="12" t="s">
        <v>82</v>
      </c>
      <c r="B111" s="34"/>
      <c r="C111" s="34"/>
      <c r="D111" s="7" t="e">
        <f>C111*100/B111</f>
        <v>#DIV/0!</v>
      </c>
      <c r="E111" s="30">
        <v>0</v>
      </c>
      <c r="F111" s="7">
        <f>E111-B111</f>
        <v>0</v>
      </c>
      <c r="G111" s="7"/>
      <c r="H111" s="7">
        <f>E111-C111</f>
        <v>0</v>
      </c>
      <c r="I111" s="7"/>
    </row>
    <row r="112" spans="1:9" ht="12.75" hidden="1">
      <c r="A112" s="12" t="s">
        <v>83</v>
      </c>
      <c r="B112" s="34">
        <v>446730</v>
      </c>
      <c r="C112" s="34">
        <f>280161+158253+850</f>
        <v>439264</v>
      </c>
      <c r="D112" s="7">
        <f>C112*100/B112</f>
        <v>98.32874443175967</v>
      </c>
      <c r="E112" s="30">
        <v>599437</v>
      </c>
      <c r="F112" s="7">
        <f>E112-B112</f>
        <v>152707</v>
      </c>
      <c r="G112" s="7">
        <f>E112*100/B112</f>
        <v>134.18328744431759</v>
      </c>
      <c r="H112" s="7">
        <f t="shared" si="22"/>
        <v>160173</v>
      </c>
      <c r="I112" s="7">
        <f t="shared" si="23"/>
        <v>136.463948787062</v>
      </c>
    </row>
    <row r="113" spans="1:9" ht="12.75" hidden="1">
      <c r="A113" s="12"/>
      <c r="B113" s="34"/>
      <c r="C113" s="34"/>
      <c r="D113" s="7"/>
      <c r="E113" s="30"/>
      <c r="F113" s="7"/>
      <c r="G113" s="7"/>
      <c r="H113" s="7"/>
      <c r="I113" s="7"/>
    </row>
    <row r="114" spans="1:14" s="5" customFormat="1" ht="12.75" hidden="1">
      <c r="A114" s="20" t="s">
        <v>84</v>
      </c>
      <c r="B114" s="16">
        <f>SUM(B116:B123)</f>
        <v>16581019</v>
      </c>
      <c r="C114" s="16">
        <f>SUM(C116:C123)</f>
        <v>16581019</v>
      </c>
      <c r="D114" s="16">
        <f>C114*100/B114</f>
        <v>100</v>
      </c>
      <c r="E114" s="16">
        <f>SUM(E116:E123)</f>
        <v>19608221</v>
      </c>
      <c r="F114" s="16">
        <f>E114-B114</f>
        <v>3027202</v>
      </c>
      <c r="G114" s="16">
        <f>E114*100/B114</f>
        <v>118.25703233317566</v>
      </c>
      <c r="H114" s="16">
        <f t="shared" si="22"/>
        <v>3027202</v>
      </c>
      <c r="I114" s="16">
        <f t="shared" si="23"/>
        <v>118.25703233317566</v>
      </c>
      <c r="J114" s="47"/>
      <c r="K114" s="47"/>
      <c r="L114" s="47"/>
      <c r="M114" s="47"/>
      <c r="N114" s="47"/>
    </row>
    <row r="115" spans="1:9" ht="12.75" hidden="1">
      <c r="A115" s="12" t="s">
        <v>60</v>
      </c>
      <c r="B115" s="34"/>
      <c r="C115" s="34"/>
      <c r="D115" s="7"/>
      <c r="E115" s="30"/>
      <c r="F115" s="7"/>
      <c r="G115" s="7"/>
      <c r="H115" s="7"/>
      <c r="I115" s="7"/>
    </row>
    <row r="116" spans="1:9" ht="12.75" hidden="1">
      <c r="A116" s="12" t="s">
        <v>85</v>
      </c>
      <c r="B116" s="34">
        <v>1798637</v>
      </c>
      <c r="C116" s="34">
        <f>1718637+80000</f>
        <v>1798637</v>
      </c>
      <c r="D116" s="7">
        <f aca="true" t="shared" si="24" ref="D116:D123">C116*100/B116</f>
        <v>100</v>
      </c>
      <c r="E116" s="30">
        <v>2035737</v>
      </c>
      <c r="F116" s="7">
        <f aca="true" t="shared" si="25" ref="F116:F123">E116-B116</f>
        <v>237100</v>
      </c>
      <c r="G116" s="7">
        <f aca="true" t="shared" si="26" ref="G116:G123">E116*100/B116</f>
        <v>113.18220408008953</v>
      </c>
      <c r="H116" s="7">
        <f t="shared" si="22"/>
        <v>237100</v>
      </c>
      <c r="I116" s="7">
        <f t="shared" si="23"/>
        <v>113.18220408008953</v>
      </c>
    </row>
    <row r="117" spans="1:9" ht="12.75" hidden="1">
      <c r="A117" s="12" t="s">
        <v>86</v>
      </c>
      <c r="B117" s="34">
        <v>4694172</v>
      </c>
      <c r="C117" s="34">
        <v>4694172</v>
      </c>
      <c r="D117" s="7">
        <f t="shared" si="24"/>
        <v>100</v>
      </c>
      <c r="E117" s="30">
        <v>5345153</v>
      </c>
      <c r="F117" s="7">
        <f t="shared" si="25"/>
        <v>650981</v>
      </c>
      <c r="G117" s="7">
        <f t="shared" si="26"/>
        <v>113.86785571555538</v>
      </c>
      <c r="H117" s="7">
        <f t="shared" si="22"/>
        <v>650981</v>
      </c>
      <c r="I117" s="7">
        <f t="shared" si="23"/>
        <v>113.86785571555538</v>
      </c>
    </row>
    <row r="118" spans="1:9" ht="12.75" hidden="1">
      <c r="A118" s="12" t="s">
        <v>92</v>
      </c>
      <c r="B118" s="34">
        <v>3424213</v>
      </c>
      <c r="C118" s="34">
        <f>3343993+80220</f>
        <v>3424213</v>
      </c>
      <c r="D118" s="7">
        <f t="shared" si="24"/>
        <v>100</v>
      </c>
      <c r="E118" s="30">
        <v>4574043</v>
      </c>
      <c r="F118" s="7">
        <f t="shared" si="25"/>
        <v>1149830</v>
      </c>
      <c r="G118" s="7">
        <f t="shared" si="26"/>
        <v>133.5793947397548</v>
      </c>
      <c r="H118" s="7">
        <f t="shared" si="22"/>
        <v>1149830</v>
      </c>
      <c r="I118" s="7">
        <f t="shared" si="23"/>
        <v>133.5793947397548</v>
      </c>
    </row>
    <row r="119" spans="1:9" ht="12.75" hidden="1">
      <c r="A119" s="12" t="s">
        <v>9</v>
      </c>
      <c r="B119" s="34">
        <v>476192</v>
      </c>
      <c r="C119" s="34">
        <v>476192</v>
      </c>
      <c r="D119" s="7">
        <f t="shared" si="24"/>
        <v>100</v>
      </c>
      <c r="E119" s="30">
        <v>500173</v>
      </c>
      <c r="F119" s="7">
        <f t="shared" si="25"/>
        <v>23981</v>
      </c>
      <c r="G119" s="7">
        <f t="shared" si="26"/>
        <v>105.03599388481958</v>
      </c>
      <c r="H119" s="7">
        <f t="shared" si="22"/>
        <v>23981</v>
      </c>
      <c r="I119" s="7">
        <f t="shared" si="23"/>
        <v>105.03599388481958</v>
      </c>
    </row>
    <row r="120" spans="1:9" ht="12.75" hidden="1">
      <c r="A120" s="12" t="s">
        <v>10</v>
      </c>
      <c r="B120" s="34">
        <v>3658748</v>
      </c>
      <c r="C120" s="34">
        <f>3214928+443820</f>
        <v>3658748</v>
      </c>
      <c r="D120" s="7">
        <f t="shared" si="24"/>
        <v>100</v>
      </c>
      <c r="E120" s="30">
        <v>3910939</v>
      </c>
      <c r="F120" s="7">
        <f t="shared" si="25"/>
        <v>252191</v>
      </c>
      <c r="G120" s="7">
        <f t="shared" si="26"/>
        <v>106.89282235343893</v>
      </c>
      <c r="H120" s="7">
        <f t="shared" si="22"/>
        <v>252191</v>
      </c>
      <c r="I120" s="7">
        <f t="shared" si="23"/>
        <v>106.89282235343893</v>
      </c>
    </row>
    <row r="121" spans="1:9" ht="12.75" hidden="1">
      <c r="A121" s="12" t="s">
        <v>93</v>
      </c>
      <c r="B121" s="34">
        <v>380904</v>
      </c>
      <c r="C121" s="34">
        <f>38584+73808+458+268054</f>
        <v>380904</v>
      </c>
      <c r="D121" s="7">
        <f t="shared" si="24"/>
        <v>100</v>
      </c>
      <c r="E121" s="30">
        <v>514583</v>
      </c>
      <c r="F121" s="7">
        <f t="shared" si="25"/>
        <v>133679</v>
      </c>
      <c r="G121" s="7">
        <f t="shared" si="26"/>
        <v>135.0951945897129</v>
      </c>
      <c r="H121" s="7">
        <f t="shared" si="22"/>
        <v>133679</v>
      </c>
      <c r="I121" s="7">
        <f t="shared" si="23"/>
        <v>135.0951945897129</v>
      </c>
    </row>
    <row r="122" spans="1:9" ht="12.75" hidden="1">
      <c r="A122" s="12" t="s">
        <v>94</v>
      </c>
      <c r="B122" s="34">
        <v>13960</v>
      </c>
      <c r="C122" s="34">
        <v>13960</v>
      </c>
      <c r="D122" s="7">
        <f t="shared" si="24"/>
        <v>100</v>
      </c>
      <c r="E122" s="30"/>
      <c r="F122" s="7">
        <f t="shared" si="25"/>
        <v>-13960</v>
      </c>
      <c r="G122" s="7">
        <f t="shared" si="26"/>
        <v>0</v>
      </c>
      <c r="H122" s="7">
        <f t="shared" si="22"/>
        <v>-13960</v>
      </c>
      <c r="I122" s="7">
        <f t="shared" si="23"/>
        <v>0</v>
      </c>
    </row>
    <row r="123" spans="1:9" ht="12.75" hidden="1">
      <c r="A123" s="12" t="s">
        <v>95</v>
      </c>
      <c r="B123" s="34">
        <v>2134193</v>
      </c>
      <c r="C123" s="34">
        <f>996925+80550+520+1056198</f>
        <v>2134193</v>
      </c>
      <c r="D123" s="7">
        <f t="shared" si="24"/>
        <v>100</v>
      </c>
      <c r="E123" s="30">
        <v>2727593</v>
      </c>
      <c r="F123" s="7">
        <f t="shared" si="25"/>
        <v>593400</v>
      </c>
      <c r="G123" s="7">
        <f t="shared" si="26"/>
        <v>127.80442068735114</v>
      </c>
      <c r="H123" s="7">
        <f t="shared" si="22"/>
        <v>593400</v>
      </c>
      <c r="I123" s="7">
        <f t="shared" si="23"/>
        <v>127.80442068735114</v>
      </c>
    </row>
    <row r="124" spans="1:9" ht="12.75" hidden="1">
      <c r="A124" s="12"/>
      <c r="B124" s="34"/>
      <c r="C124" s="34"/>
      <c r="D124" s="7"/>
      <c r="E124" s="30"/>
      <c r="F124" s="7"/>
      <c r="G124" s="7"/>
      <c r="H124" s="7"/>
      <c r="I124" s="7"/>
    </row>
    <row r="125" spans="1:14" s="5" customFormat="1" ht="12.75" hidden="1">
      <c r="A125" s="20" t="s">
        <v>96</v>
      </c>
      <c r="B125" s="16">
        <f>SUM(B127:B130)</f>
        <v>4970463</v>
      </c>
      <c r="C125" s="16">
        <f>SUM(C127:C130)</f>
        <v>4952045</v>
      </c>
      <c r="D125" s="16">
        <f>C125*100/B125</f>
        <v>99.62945101894934</v>
      </c>
      <c r="E125" s="16">
        <f>SUM(E127:E130)</f>
        <v>5845025</v>
      </c>
      <c r="F125" s="16">
        <f>E125-B125</f>
        <v>874562</v>
      </c>
      <c r="G125" s="16">
        <f>E125*100/B125</f>
        <v>117.59518177682844</v>
      </c>
      <c r="H125" s="16">
        <f t="shared" si="22"/>
        <v>892980</v>
      </c>
      <c r="I125" s="16">
        <f t="shared" si="23"/>
        <v>118.03255018886136</v>
      </c>
      <c r="J125" s="47"/>
      <c r="K125" s="47"/>
      <c r="L125" s="47"/>
      <c r="M125" s="47"/>
      <c r="N125" s="47"/>
    </row>
    <row r="126" spans="1:9" ht="12.75" hidden="1">
      <c r="A126" s="12" t="s">
        <v>60</v>
      </c>
      <c r="B126" s="34"/>
      <c r="C126" s="34"/>
      <c r="D126" s="7"/>
      <c r="E126" s="30"/>
      <c r="F126" s="7"/>
      <c r="G126" s="7"/>
      <c r="H126" s="7"/>
      <c r="I126" s="7"/>
    </row>
    <row r="127" spans="1:9" ht="12.75" hidden="1">
      <c r="A127" s="12" t="s">
        <v>97</v>
      </c>
      <c r="B127" s="34">
        <v>2430761</v>
      </c>
      <c r="C127" s="34">
        <f>2172311+258450</f>
        <v>2430761</v>
      </c>
      <c r="D127" s="7">
        <f>C127*100/B127</f>
        <v>100</v>
      </c>
      <c r="E127" s="30">
        <v>2899582</v>
      </c>
      <c r="F127" s="7">
        <f>E127-B127</f>
        <v>468821</v>
      </c>
      <c r="G127" s="7">
        <f>E127*100/B127</f>
        <v>119.2870051806821</v>
      </c>
      <c r="H127" s="7">
        <f>E127-C127</f>
        <v>468821</v>
      </c>
      <c r="I127" s="7">
        <f>E127*100/C127</f>
        <v>119.2870051806821</v>
      </c>
    </row>
    <row r="128" spans="1:9" ht="12.75" hidden="1">
      <c r="A128" s="12" t="s">
        <v>98</v>
      </c>
      <c r="B128" s="34">
        <v>289157</v>
      </c>
      <c r="C128" s="34">
        <v>289157</v>
      </c>
      <c r="D128" s="7">
        <f>C128*100/B128</f>
        <v>100</v>
      </c>
      <c r="E128" s="30">
        <v>317920</v>
      </c>
      <c r="F128" s="7">
        <f>E128-B128</f>
        <v>28763</v>
      </c>
      <c r="G128" s="7">
        <f>E128*100/B128</f>
        <v>109.94719131821121</v>
      </c>
      <c r="H128" s="7">
        <f t="shared" si="22"/>
        <v>28763</v>
      </c>
      <c r="I128" s="7">
        <f t="shared" si="23"/>
        <v>109.94719131821121</v>
      </c>
    </row>
    <row r="129" spans="1:9" ht="12.75" hidden="1">
      <c r="A129" s="12" t="s">
        <v>99</v>
      </c>
      <c r="B129" s="34">
        <v>389830</v>
      </c>
      <c r="C129" s="34">
        <v>371412</v>
      </c>
      <c r="D129" s="7">
        <f>C129*100/B129</f>
        <v>95.27537644614318</v>
      </c>
      <c r="E129" s="30">
        <v>439675</v>
      </c>
      <c r="F129" s="7">
        <f>E129-B129</f>
        <v>49845</v>
      </c>
      <c r="G129" s="7">
        <f>E129*100/B129</f>
        <v>112.78634276479491</v>
      </c>
      <c r="H129" s="7">
        <f t="shared" si="22"/>
        <v>68263</v>
      </c>
      <c r="I129" s="7">
        <f t="shared" si="23"/>
        <v>118.3793200004308</v>
      </c>
    </row>
    <row r="130" spans="1:9" ht="26.25" hidden="1">
      <c r="A130" s="12" t="s">
        <v>100</v>
      </c>
      <c r="B130" s="34">
        <v>1860715</v>
      </c>
      <c r="C130" s="34">
        <f>317994+1700+1546040-5019</f>
        <v>1860715</v>
      </c>
      <c r="D130" s="7">
        <f>C130*100/B130</f>
        <v>100</v>
      </c>
      <c r="E130" s="30">
        <v>2187848</v>
      </c>
      <c r="F130" s="7">
        <f>E130-B130</f>
        <v>327133</v>
      </c>
      <c r="G130" s="7">
        <f>E130*100/B130</f>
        <v>117.58103739691462</v>
      </c>
      <c r="H130" s="7">
        <f t="shared" si="22"/>
        <v>327133</v>
      </c>
      <c r="I130" s="7">
        <f t="shared" si="23"/>
        <v>117.58103739691462</v>
      </c>
    </row>
    <row r="131" spans="1:9" ht="12.75" hidden="1">
      <c r="A131" s="12"/>
      <c r="B131" s="34"/>
      <c r="C131" s="34"/>
      <c r="D131" s="7"/>
      <c r="E131" s="30"/>
      <c r="F131" s="7"/>
      <c r="G131" s="7"/>
      <c r="H131" s="7"/>
      <c r="I131" s="7"/>
    </row>
    <row r="132" spans="1:14" s="5" customFormat="1" ht="12.75" hidden="1">
      <c r="A132" s="20" t="s">
        <v>89</v>
      </c>
      <c r="B132" s="16">
        <f>SUM(B134:B140)</f>
        <v>23312379</v>
      </c>
      <c r="C132" s="16">
        <f>SUM(C134:C140)</f>
        <v>22495126</v>
      </c>
      <c r="D132" s="16">
        <f>C132*100/B132</f>
        <v>96.49433890895476</v>
      </c>
      <c r="E132" s="16">
        <f>SUM(E134:E140)</f>
        <v>30707856</v>
      </c>
      <c r="F132" s="16">
        <f>E132-B132</f>
        <v>7395477</v>
      </c>
      <c r="G132" s="16">
        <f>E132*100/B132</f>
        <v>131.72339039271796</v>
      </c>
      <c r="H132" s="16">
        <f t="shared" si="22"/>
        <v>8212730</v>
      </c>
      <c r="I132" s="16">
        <f t="shared" si="23"/>
        <v>136.5089308679578</v>
      </c>
      <c r="J132" s="47"/>
      <c r="K132" s="47"/>
      <c r="L132" s="47"/>
      <c r="M132" s="47"/>
      <c r="N132" s="47"/>
    </row>
    <row r="133" spans="1:9" ht="12.75" hidden="1">
      <c r="A133" s="12" t="s">
        <v>60</v>
      </c>
      <c r="B133" s="34"/>
      <c r="C133" s="34"/>
      <c r="D133" s="7"/>
      <c r="E133" s="30"/>
      <c r="F133" s="7"/>
      <c r="G133" s="7"/>
      <c r="H133" s="7"/>
      <c r="I133" s="7"/>
    </row>
    <row r="134" spans="1:9" ht="12.75" hidden="1">
      <c r="A134" s="12" t="s">
        <v>20</v>
      </c>
      <c r="B134" s="34">
        <v>13587152</v>
      </c>
      <c r="C134" s="34">
        <f>838090+12111609</f>
        <v>12949699</v>
      </c>
      <c r="D134" s="7">
        <f aca="true" t="shared" si="27" ref="D134:D140">C134*100/B134</f>
        <v>95.30841341879446</v>
      </c>
      <c r="E134" s="30">
        <v>10691575</v>
      </c>
      <c r="F134" s="7">
        <f aca="true" t="shared" si="28" ref="F134:F140">E134-B134</f>
        <v>-2895577</v>
      </c>
      <c r="G134" s="7">
        <f aca="true" t="shared" si="29" ref="G134:G140">E134*100/B134</f>
        <v>78.68885988763502</v>
      </c>
      <c r="H134" s="7">
        <f>E134-C134</f>
        <v>-2258124</v>
      </c>
      <c r="I134" s="7">
        <f>E134*100/C134</f>
        <v>82.5623437270627</v>
      </c>
    </row>
    <row r="135" spans="1:9" ht="12.75" hidden="1">
      <c r="A135" s="12" t="s">
        <v>21</v>
      </c>
      <c r="B135" s="34">
        <v>685486</v>
      </c>
      <c r="C135" s="34">
        <v>651212</v>
      </c>
      <c r="D135" s="7">
        <f t="shared" si="27"/>
        <v>95.00004376456995</v>
      </c>
      <c r="E135" s="30">
        <v>828560</v>
      </c>
      <c r="F135" s="7">
        <f t="shared" si="28"/>
        <v>143074</v>
      </c>
      <c r="G135" s="7">
        <f t="shared" si="29"/>
        <v>120.87190693901844</v>
      </c>
      <c r="H135" s="7">
        <f>E135-C135</f>
        <v>177348</v>
      </c>
      <c r="I135" s="7">
        <f>E135*100/C135</f>
        <v>127.2335276376971</v>
      </c>
    </row>
    <row r="136" spans="1:9" ht="12.75" hidden="1">
      <c r="A136" s="12" t="s">
        <v>22</v>
      </c>
      <c r="B136" s="34">
        <v>824315</v>
      </c>
      <c r="C136" s="34">
        <v>783099</v>
      </c>
      <c r="D136" s="7">
        <f t="shared" si="27"/>
        <v>94.9999696717881</v>
      </c>
      <c r="E136" s="30">
        <v>731979</v>
      </c>
      <c r="F136" s="7">
        <f t="shared" si="28"/>
        <v>-92336</v>
      </c>
      <c r="G136" s="7">
        <f t="shared" si="29"/>
        <v>88.79845690057806</v>
      </c>
      <c r="H136" s="7">
        <f>E136-C136</f>
        <v>-51120</v>
      </c>
      <c r="I136" s="7">
        <f>E136*100/C136</f>
        <v>93.47208973578053</v>
      </c>
    </row>
    <row r="137" spans="1:9" ht="26.25" hidden="1">
      <c r="A137" s="12" t="s">
        <v>23</v>
      </c>
      <c r="B137" s="34">
        <v>367360</v>
      </c>
      <c r="C137" s="34">
        <v>348992</v>
      </c>
      <c r="D137" s="7">
        <f t="shared" si="27"/>
        <v>95</v>
      </c>
      <c r="E137" s="30">
        <v>384672</v>
      </c>
      <c r="F137" s="7">
        <f t="shared" si="28"/>
        <v>17312</v>
      </c>
      <c r="G137" s="7">
        <f t="shared" si="29"/>
        <v>104.71254355400697</v>
      </c>
      <c r="H137" s="7">
        <f>E137-C137</f>
        <v>35680</v>
      </c>
      <c r="I137" s="7">
        <f>E137*100/C137</f>
        <v>110.22373005684945</v>
      </c>
    </row>
    <row r="138" spans="1:9" ht="12.75" hidden="1">
      <c r="A138" s="12" t="s">
        <v>24</v>
      </c>
      <c r="B138" s="34">
        <v>2071655</v>
      </c>
      <c r="C138" s="34">
        <f>300000+7800+1699157</f>
        <v>2006957</v>
      </c>
      <c r="D138" s="7">
        <f t="shared" si="27"/>
        <v>96.87698965319998</v>
      </c>
      <c r="E138" s="30">
        <v>2867935</v>
      </c>
      <c r="F138" s="7">
        <f t="shared" si="28"/>
        <v>796280</v>
      </c>
      <c r="G138" s="7">
        <f t="shared" si="29"/>
        <v>138.43690189727536</v>
      </c>
      <c r="H138" s="7">
        <f t="shared" si="22"/>
        <v>860978</v>
      </c>
      <c r="I138" s="7">
        <f t="shared" si="23"/>
        <v>142.89967348577972</v>
      </c>
    </row>
    <row r="139" spans="1:9" ht="26.25" hidden="1">
      <c r="A139" s="12" t="s">
        <v>25</v>
      </c>
      <c r="B139" s="34">
        <v>278800</v>
      </c>
      <c r="C139" s="34">
        <v>257556</v>
      </c>
      <c r="D139" s="7">
        <f t="shared" si="27"/>
        <v>92.38020086083213</v>
      </c>
      <c r="E139" s="30">
        <v>278169</v>
      </c>
      <c r="F139" s="7">
        <f t="shared" si="28"/>
        <v>-631</v>
      </c>
      <c r="G139" s="7">
        <f t="shared" si="29"/>
        <v>99.77367288378767</v>
      </c>
      <c r="H139" s="7">
        <f t="shared" si="22"/>
        <v>20613</v>
      </c>
      <c r="I139" s="7">
        <f t="shared" si="23"/>
        <v>108.00330801845035</v>
      </c>
    </row>
    <row r="140" spans="1:9" ht="12.75" hidden="1">
      <c r="A140" s="12" t="s">
        <v>27</v>
      </c>
      <c r="B140" s="34">
        <v>5497611</v>
      </c>
      <c r="C140" s="34">
        <v>5497611</v>
      </c>
      <c r="D140" s="7">
        <f t="shared" si="27"/>
        <v>100</v>
      </c>
      <c r="E140" s="30">
        <f>14624966+300000</f>
        <v>14924966</v>
      </c>
      <c r="F140" s="7">
        <f t="shared" si="28"/>
        <v>9427355</v>
      </c>
      <c r="G140" s="7">
        <f t="shared" si="29"/>
        <v>271.48093962995927</v>
      </c>
      <c r="H140" s="7">
        <f t="shared" si="22"/>
        <v>9427355</v>
      </c>
      <c r="I140" s="7">
        <f t="shared" si="23"/>
        <v>271.48093962995927</v>
      </c>
    </row>
    <row r="141" spans="1:9" ht="12.75" hidden="1">
      <c r="A141" s="12"/>
      <c r="B141" s="34"/>
      <c r="C141" s="34"/>
      <c r="D141" s="7"/>
      <c r="E141" s="30"/>
      <c r="F141" s="7"/>
      <c r="G141" s="7"/>
      <c r="H141" s="7"/>
      <c r="I141" s="7"/>
    </row>
    <row r="142" spans="1:14" s="5" customFormat="1" ht="12.75" hidden="1">
      <c r="A142" s="20" t="s">
        <v>101</v>
      </c>
      <c r="B142" s="16">
        <f>SUM(B144:B148)</f>
        <v>45082878</v>
      </c>
      <c r="C142" s="16">
        <f>SUM(C144:C148)</f>
        <v>44342820</v>
      </c>
      <c r="D142" s="16">
        <f>C142*100/B142</f>
        <v>98.35844996408615</v>
      </c>
      <c r="E142" s="16">
        <f>SUM(E144:E148)</f>
        <v>59499302</v>
      </c>
      <c r="F142" s="16">
        <f>E142-B142</f>
        <v>14416424</v>
      </c>
      <c r="G142" s="16">
        <f>E142*100/B142</f>
        <v>131.97760355938235</v>
      </c>
      <c r="H142" s="16">
        <f t="shared" si="22"/>
        <v>15156482</v>
      </c>
      <c r="I142" s="16">
        <f t="shared" si="23"/>
        <v>134.1802393262314</v>
      </c>
      <c r="J142" s="47"/>
      <c r="K142" s="47"/>
      <c r="L142" s="47"/>
      <c r="M142" s="47"/>
      <c r="N142" s="47"/>
    </row>
    <row r="143" spans="1:9" ht="12.75" hidden="1">
      <c r="A143" s="12" t="s">
        <v>60</v>
      </c>
      <c r="B143" s="34"/>
      <c r="C143" s="34"/>
      <c r="D143" s="7"/>
      <c r="E143" s="30"/>
      <c r="F143" s="7"/>
      <c r="G143" s="7"/>
      <c r="H143" s="7"/>
      <c r="I143" s="7"/>
    </row>
    <row r="144" spans="1:9" ht="12.75" hidden="1">
      <c r="A144" s="12" t="s">
        <v>102</v>
      </c>
      <c r="B144" s="34">
        <v>142633</v>
      </c>
      <c r="C144" s="34">
        <v>142633</v>
      </c>
      <c r="D144" s="7">
        <f>C144*100/B144</f>
        <v>100</v>
      </c>
      <c r="E144" s="30">
        <v>190122</v>
      </c>
      <c r="F144" s="7">
        <f>E144-B144</f>
        <v>47489</v>
      </c>
      <c r="G144" s="7">
        <f>E144*100/B144</f>
        <v>133.29453913189795</v>
      </c>
      <c r="H144" s="7">
        <f t="shared" si="22"/>
        <v>47489</v>
      </c>
      <c r="I144" s="7">
        <f t="shared" si="23"/>
        <v>133.29453913189795</v>
      </c>
    </row>
    <row r="145" spans="1:9" ht="12.75" hidden="1">
      <c r="A145" s="12" t="s">
        <v>103</v>
      </c>
      <c r="B145" s="34">
        <v>7312340</v>
      </c>
      <c r="C145" s="34">
        <v>7312340</v>
      </c>
      <c r="D145" s="7">
        <f>C145*100/B145</f>
        <v>100</v>
      </c>
      <c r="E145" s="30">
        <v>9314620</v>
      </c>
      <c r="F145" s="7">
        <f>E145-B145</f>
        <v>2002280</v>
      </c>
      <c r="G145" s="7">
        <f>E145*100/B145</f>
        <v>127.3822059696349</v>
      </c>
      <c r="H145" s="7">
        <f t="shared" si="22"/>
        <v>2002280</v>
      </c>
      <c r="I145" s="7">
        <f t="shared" si="23"/>
        <v>127.3822059696349</v>
      </c>
    </row>
    <row r="146" spans="1:9" ht="12.75" hidden="1">
      <c r="A146" s="12" t="s">
        <v>104</v>
      </c>
      <c r="B146" s="34">
        <v>32248892</v>
      </c>
      <c r="C146" s="34">
        <f>530+11590019+393+11572280+334219+7264362+749081</f>
        <v>31510884</v>
      </c>
      <c r="D146" s="7">
        <f>C146*100/B146</f>
        <v>97.71152447656186</v>
      </c>
      <c r="E146" s="30">
        <v>42793303</v>
      </c>
      <c r="F146" s="7">
        <f>E146-B146</f>
        <v>10544411</v>
      </c>
      <c r="G146" s="7">
        <f>E146*100/B146</f>
        <v>132.6969714184289</v>
      </c>
      <c r="H146" s="7">
        <f t="shared" si="22"/>
        <v>11282419</v>
      </c>
      <c r="I146" s="7">
        <f t="shared" si="23"/>
        <v>135.80483175273662</v>
      </c>
    </row>
    <row r="147" spans="1:9" ht="12.75" hidden="1">
      <c r="A147" s="9" t="s">
        <v>28</v>
      </c>
      <c r="B147" s="7">
        <v>2884414</v>
      </c>
      <c r="C147" s="7">
        <f>530+2881834</f>
        <v>2882364</v>
      </c>
      <c r="D147" s="7">
        <f>C147*100/B147</f>
        <v>99.92892837158605</v>
      </c>
      <c r="E147" s="30">
        <v>3898791</v>
      </c>
      <c r="F147" s="7">
        <f>E147-B147</f>
        <v>1014377</v>
      </c>
      <c r="G147" s="7">
        <f>E147*100/B147</f>
        <v>135.16752449544344</v>
      </c>
      <c r="H147" s="7">
        <f>E147-C147</f>
        <v>1016427</v>
      </c>
      <c r="I147" s="7">
        <f>E147*100/C147</f>
        <v>135.26365858024872</v>
      </c>
    </row>
    <row r="148" spans="1:9" ht="12.75" hidden="1">
      <c r="A148" s="12" t="s">
        <v>105</v>
      </c>
      <c r="B148" s="34">
        <v>2494599</v>
      </c>
      <c r="C148" s="34">
        <f>2267475+90107+84563+55144-2690</f>
        <v>2494599</v>
      </c>
      <c r="D148" s="7">
        <f>C148*100/B148</f>
        <v>100</v>
      </c>
      <c r="E148" s="30">
        <v>3302466</v>
      </c>
      <c r="F148" s="7">
        <f>E148-B148</f>
        <v>807867</v>
      </c>
      <c r="G148" s="7">
        <f>E148*100/B148</f>
        <v>132.3846437844319</v>
      </c>
      <c r="H148" s="7">
        <f t="shared" si="22"/>
        <v>807867</v>
      </c>
      <c r="I148" s="7">
        <f t="shared" si="23"/>
        <v>132.3846437844319</v>
      </c>
    </row>
    <row r="149" spans="1:9" ht="12.75" hidden="1">
      <c r="A149" s="12"/>
      <c r="B149" s="34"/>
      <c r="C149" s="34"/>
      <c r="D149" s="7"/>
      <c r="E149" s="30"/>
      <c r="F149" s="7"/>
      <c r="G149" s="7"/>
      <c r="H149" s="7"/>
      <c r="I149" s="7"/>
    </row>
    <row r="150" spans="1:14" s="5" customFormat="1" ht="12.75" hidden="1">
      <c r="A150" s="20" t="s">
        <v>106</v>
      </c>
      <c r="B150" s="16">
        <f>SUM(B152:B156)</f>
        <v>72677888</v>
      </c>
      <c r="C150" s="16">
        <f>SUM(C152:C156)</f>
        <v>72677888</v>
      </c>
      <c r="D150" s="16">
        <f>C150*100/B150</f>
        <v>100</v>
      </c>
      <c r="E150" s="16">
        <f>SUM(E152:E156)</f>
        <v>104074871</v>
      </c>
      <c r="F150" s="16">
        <f>E150-B150</f>
        <v>31396983</v>
      </c>
      <c r="G150" s="16">
        <f>E150*100/B150</f>
        <v>143.20018627949122</v>
      </c>
      <c r="H150" s="16">
        <f t="shared" si="22"/>
        <v>31396983</v>
      </c>
      <c r="I150" s="16">
        <f t="shared" si="23"/>
        <v>143.20018627949122</v>
      </c>
      <c r="J150" s="47"/>
      <c r="K150" s="47"/>
      <c r="L150" s="47"/>
      <c r="M150" s="47"/>
      <c r="N150" s="47"/>
    </row>
    <row r="151" spans="1:9" ht="12.75" hidden="1">
      <c r="A151" s="12" t="s">
        <v>60</v>
      </c>
      <c r="B151" s="34"/>
      <c r="C151" s="34"/>
      <c r="D151" s="7"/>
      <c r="E151" s="30"/>
      <c r="F151" s="7"/>
      <c r="G151" s="7"/>
      <c r="H151" s="7"/>
      <c r="I151" s="7"/>
    </row>
    <row r="152" spans="1:9" ht="26.25" hidden="1">
      <c r="A152" s="12" t="s">
        <v>29</v>
      </c>
      <c r="B152" s="34">
        <v>4713428</v>
      </c>
      <c r="C152" s="34">
        <v>4713428</v>
      </c>
      <c r="D152" s="7">
        <f>C152*100/B152</f>
        <v>100</v>
      </c>
      <c r="E152" s="30">
        <v>4197292</v>
      </c>
      <c r="F152" s="7">
        <f>E152-B152</f>
        <v>-516136</v>
      </c>
      <c r="G152" s="7">
        <f>E152*100/B152</f>
        <v>89.04966830934937</v>
      </c>
      <c r="H152" s="7">
        <f t="shared" si="22"/>
        <v>-516136</v>
      </c>
      <c r="I152" s="7">
        <f t="shared" si="23"/>
        <v>89.04966830934937</v>
      </c>
    </row>
    <row r="153" spans="1:9" ht="26.25" hidden="1">
      <c r="A153" s="12" t="s">
        <v>30</v>
      </c>
      <c r="B153" s="34">
        <v>14473647</v>
      </c>
      <c r="C153" s="34">
        <v>14473647</v>
      </c>
      <c r="D153" s="7">
        <f>C153*100/B153</f>
        <v>100</v>
      </c>
      <c r="E153" s="30">
        <f>25596935-300000</f>
        <v>25296935</v>
      </c>
      <c r="F153" s="7">
        <f>E153-B153</f>
        <v>10823288</v>
      </c>
      <c r="G153" s="7">
        <f>E153*100/B153</f>
        <v>174.77927297798544</v>
      </c>
      <c r="H153" s="7">
        <f t="shared" si="22"/>
        <v>10823288</v>
      </c>
      <c r="I153" s="7">
        <f t="shared" si="23"/>
        <v>174.77927297798544</v>
      </c>
    </row>
    <row r="154" spans="1:9" ht="26.25" hidden="1">
      <c r="A154" s="12" t="s">
        <v>31</v>
      </c>
      <c r="B154" s="34">
        <v>35895575</v>
      </c>
      <c r="C154" s="34">
        <v>35895575</v>
      </c>
      <c r="D154" s="7">
        <f>C154*100/B154</f>
        <v>100</v>
      </c>
      <c r="E154" s="30">
        <v>47307355</v>
      </c>
      <c r="F154" s="7">
        <f>E154-B154</f>
        <v>11411780</v>
      </c>
      <c r="G154" s="7">
        <f>E154*100/B154</f>
        <v>131.79160662560776</v>
      </c>
      <c r="H154" s="7">
        <f>E154-C154</f>
        <v>11411780</v>
      </c>
      <c r="I154" s="7">
        <f t="shared" si="23"/>
        <v>131.79160662560776</v>
      </c>
    </row>
    <row r="155" spans="1:9" ht="12.75" hidden="1">
      <c r="A155" s="12" t="s">
        <v>11</v>
      </c>
      <c r="B155" s="34">
        <v>1775608</v>
      </c>
      <c r="C155" s="34">
        <v>1775608</v>
      </c>
      <c r="D155" s="7">
        <f>C155*100/B155</f>
        <v>100</v>
      </c>
      <c r="E155" s="30">
        <v>7286362</v>
      </c>
      <c r="F155" s="7">
        <f>E155-B155</f>
        <v>5510754</v>
      </c>
      <c r="G155" s="7">
        <f>E155*100/B155</f>
        <v>410.35870529981844</v>
      </c>
      <c r="H155" s="7">
        <f>E155-C155</f>
        <v>5510754</v>
      </c>
      <c r="I155" s="7">
        <f>E155*100/C155</f>
        <v>410.35870529981844</v>
      </c>
    </row>
    <row r="156" spans="1:9" ht="26.25" hidden="1">
      <c r="A156" s="12" t="s">
        <v>1</v>
      </c>
      <c r="B156" s="34">
        <v>15819630</v>
      </c>
      <c r="C156" s="34">
        <v>15819630</v>
      </c>
      <c r="D156" s="7">
        <f>C156*100/B156</f>
        <v>100</v>
      </c>
      <c r="E156" s="30">
        <v>19986927</v>
      </c>
      <c r="F156" s="7">
        <f>E156-B156</f>
        <v>4167297</v>
      </c>
      <c r="G156" s="7">
        <f>E156*100/B156</f>
        <v>126.34256932684266</v>
      </c>
      <c r="H156" s="7">
        <f>E156-C156</f>
        <v>4167297</v>
      </c>
      <c r="I156" s="7">
        <f>E156*100/C156</f>
        <v>126.34256932684266</v>
      </c>
    </row>
    <row r="157" spans="1:9" ht="12.75" hidden="1">
      <c r="A157" s="12"/>
      <c r="B157" s="34"/>
      <c r="C157" s="34"/>
      <c r="D157" s="7"/>
      <c r="E157" s="30"/>
      <c r="F157" s="7"/>
      <c r="G157" s="7"/>
      <c r="H157" s="7"/>
      <c r="I157" s="7"/>
    </row>
    <row r="158" spans="1:14" s="5" customFormat="1" ht="12.75" hidden="1">
      <c r="A158" s="21" t="s">
        <v>91</v>
      </c>
      <c r="B158" s="22">
        <f>B150+B142+B132+B125+B114+B108+B102+B88+B79+B62+B75</f>
        <v>254504776</v>
      </c>
      <c r="C158" s="22">
        <f>C150+C142+C132+C125+C114+C108+C102+C88+C79+C62+C75</f>
        <v>252155136</v>
      </c>
      <c r="D158" s="16">
        <f>C158*100/B158</f>
        <v>99.0767796043246</v>
      </c>
      <c r="E158" s="22">
        <f>E150+E142+E132+E125+E114+E108+E102+E88+E79+E62+E75</f>
        <v>331417588</v>
      </c>
      <c r="F158" s="16">
        <f>E158-B158</f>
        <v>76912812</v>
      </c>
      <c r="G158" s="16">
        <f>E158*100/B158</f>
        <v>130.22057707867927</v>
      </c>
      <c r="H158" s="16">
        <f>E158-C158</f>
        <v>79262452</v>
      </c>
      <c r="I158" s="16">
        <f aca="true" t="shared" si="30" ref="I158:I174">E158*100/C158</f>
        <v>131.43400259751203</v>
      </c>
      <c r="J158" s="47"/>
      <c r="K158" s="47"/>
      <c r="L158" s="47"/>
      <c r="M158" s="47"/>
      <c r="N158" s="47"/>
    </row>
    <row r="159" spans="1:9" ht="12.75" hidden="1">
      <c r="A159" s="13"/>
      <c r="B159" s="35"/>
      <c r="C159" s="35"/>
      <c r="D159" s="7"/>
      <c r="E159" s="36"/>
      <c r="F159" s="7"/>
      <c r="G159" s="4"/>
      <c r="H159" s="4"/>
      <c r="I159" s="4"/>
    </row>
    <row r="160" spans="1:9" ht="12.75" hidden="1">
      <c r="A160" s="13"/>
      <c r="B160" s="35"/>
      <c r="C160" s="35"/>
      <c r="D160" s="7"/>
      <c r="E160" s="36"/>
      <c r="F160" s="7"/>
      <c r="G160" s="4"/>
      <c r="H160" s="4"/>
      <c r="I160" s="4"/>
    </row>
    <row r="161" spans="1:14" s="5" customFormat="1" ht="25.5" customHeight="1" hidden="1">
      <c r="A161" s="19" t="s">
        <v>56</v>
      </c>
      <c r="B161" s="22" t="e">
        <f>#REF!-B158</f>
        <v>#REF!</v>
      </c>
      <c r="C161" s="22" t="e">
        <f>#REF!-C158</f>
        <v>#REF!</v>
      </c>
      <c r="D161" s="16" t="e">
        <f>C161*100/B161</f>
        <v>#REF!</v>
      </c>
      <c r="E161" s="22" t="e">
        <f>#REF!-E158</f>
        <v>#REF!</v>
      </c>
      <c r="F161" s="16" t="e">
        <f>E161-B161</f>
        <v>#REF!</v>
      </c>
      <c r="G161" s="16" t="e">
        <f>E161*100/B161</f>
        <v>#REF!</v>
      </c>
      <c r="H161" s="16" t="e">
        <f>E161-C161</f>
        <v>#REF!</v>
      </c>
      <c r="I161" s="16" t="e">
        <f>E161*100/C161</f>
        <v>#REF!</v>
      </c>
      <c r="J161" s="47"/>
      <c r="K161" s="47"/>
      <c r="L161" s="47"/>
      <c r="M161" s="47"/>
      <c r="N161" s="47"/>
    </row>
    <row r="162" spans="1:14" s="5" customFormat="1" ht="12.75" hidden="1">
      <c r="A162" s="19" t="s">
        <v>107</v>
      </c>
      <c r="B162" s="22" t="e">
        <f>-B161/(#REF!-#REF!-#REF!-#REF!)*100</f>
        <v>#REF!</v>
      </c>
      <c r="C162" s="22" t="e">
        <f>-C161/(#REF!-#REF!-#REF!-#REF!)*100</f>
        <v>#REF!</v>
      </c>
      <c r="D162" s="16"/>
      <c r="E162" s="22" t="e">
        <f>-E161/(#REF!-#REF!-#REF!)*100</f>
        <v>#REF!</v>
      </c>
      <c r="F162" s="16" t="e">
        <f>E162-B162</f>
        <v>#REF!</v>
      </c>
      <c r="G162" s="16"/>
      <c r="H162" s="16" t="e">
        <f>E162-C162</f>
        <v>#REF!</v>
      </c>
      <c r="I162" s="16"/>
      <c r="J162" s="47"/>
      <c r="K162" s="47"/>
      <c r="L162" s="47"/>
      <c r="M162" s="47"/>
      <c r="N162" s="47"/>
    </row>
    <row r="163" spans="1:9" ht="12.75" hidden="1">
      <c r="A163" s="10"/>
      <c r="B163" s="35"/>
      <c r="C163" s="35"/>
      <c r="D163" s="7"/>
      <c r="E163" s="36"/>
      <c r="F163" s="4"/>
      <c r="G163" s="4"/>
      <c r="H163" s="4"/>
      <c r="I163" s="4"/>
    </row>
    <row r="164" spans="1:9" ht="12.75" hidden="1">
      <c r="A164" s="10"/>
      <c r="B164" s="35"/>
      <c r="C164" s="35"/>
      <c r="D164" s="7"/>
      <c r="E164" s="36"/>
      <c r="F164" s="4"/>
      <c r="G164" s="4"/>
      <c r="H164" s="4"/>
      <c r="I164" s="4"/>
    </row>
    <row r="165" spans="1:14" s="5" customFormat="1" ht="12.75" hidden="1">
      <c r="A165" s="19" t="s">
        <v>108</v>
      </c>
      <c r="B165" s="16" t="e">
        <f>B166+B171-B176+B179+B184</f>
        <v>#REF!</v>
      </c>
      <c r="C165" s="16" t="e">
        <f>C166+C171-C176+C179+C184</f>
        <v>#REF!</v>
      </c>
      <c r="D165" s="16" t="e">
        <f aca="true" t="shared" si="31" ref="D165:D178">C165*100/B165</f>
        <v>#REF!</v>
      </c>
      <c r="E165" s="16" t="e">
        <f>E166+E171-E176+E179+E184</f>
        <v>#REF!</v>
      </c>
      <c r="F165" s="16" t="e">
        <f aca="true" t="shared" si="32" ref="F165:F197">E165-B165</f>
        <v>#REF!</v>
      </c>
      <c r="G165" s="16" t="e">
        <f aca="true" t="shared" si="33" ref="G165:G178">E165*100/B165</f>
        <v>#REF!</v>
      </c>
      <c r="H165" s="16" t="e">
        <f aca="true" t="shared" si="34" ref="H165:H176">E165-C165</f>
        <v>#REF!</v>
      </c>
      <c r="I165" s="16" t="e">
        <f>E165*100/C165</f>
        <v>#REF!</v>
      </c>
      <c r="J165" s="47"/>
      <c r="K165" s="47"/>
      <c r="L165" s="47"/>
      <c r="M165" s="47"/>
      <c r="N165" s="47"/>
    </row>
    <row r="166" spans="1:14" s="5" customFormat="1" ht="26.25" hidden="1">
      <c r="A166" s="18" t="s">
        <v>109</v>
      </c>
      <c r="B166" s="16">
        <f>B167-B169</f>
        <v>19000000</v>
      </c>
      <c r="C166" s="16">
        <f>C167-C169</f>
        <v>19000000</v>
      </c>
      <c r="D166" s="16">
        <f t="shared" si="31"/>
        <v>100</v>
      </c>
      <c r="E166" s="16">
        <f>E167-E169</f>
        <v>10500000</v>
      </c>
      <c r="F166" s="16">
        <f t="shared" si="32"/>
        <v>-8500000</v>
      </c>
      <c r="G166" s="16">
        <f t="shared" si="33"/>
        <v>55.26315789473684</v>
      </c>
      <c r="H166" s="16">
        <f t="shared" si="34"/>
        <v>-8500000</v>
      </c>
      <c r="I166" s="16">
        <f>E166*100/C166</f>
        <v>55.26315789473684</v>
      </c>
      <c r="J166" s="47"/>
      <c r="K166" s="47"/>
      <c r="L166" s="47"/>
      <c r="M166" s="47"/>
      <c r="N166" s="47"/>
    </row>
    <row r="167" spans="1:9" ht="26.25" hidden="1">
      <c r="A167" s="14" t="s">
        <v>110</v>
      </c>
      <c r="B167" s="7">
        <f>B168</f>
        <v>24000000</v>
      </c>
      <c r="C167" s="7">
        <f>C168</f>
        <v>24000000</v>
      </c>
      <c r="D167" s="7">
        <f t="shared" si="31"/>
        <v>100</v>
      </c>
      <c r="E167" s="30">
        <f>E168</f>
        <v>27000000</v>
      </c>
      <c r="F167" s="7">
        <f t="shared" si="32"/>
        <v>3000000</v>
      </c>
      <c r="G167" s="7">
        <f t="shared" si="33"/>
        <v>112.5</v>
      </c>
      <c r="H167" s="7">
        <f t="shared" si="34"/>
        <v>3000000</v>
      </c>
      <c r="I167" s="7">
        <f t="shared" si="30"/>
        <v>112.5</v>
      </c>
    </row>
    <row r="168" spans="1:9" ht="39" hidden="1">
      <c r="A168" s="14" t="s">
        <v>111</v>
      </c>
      <c r="B168" s="7">
        <v>24000000</v>
      </c>
      <c r="C168" s="7">
        <v>24000000</v>
      </c>
      <c r="D168" s="7">
        <f t="shared" si="31"/>
        <v>100</v>
      </c>
      <c r="E168" s="30">
        <v>27000000</v>
      </c>
      <c r="F168" s="7">
        <f t="shared" si="32"/>
        <v>3000000</v>
      </c>
      <c r="G168" s="7">
        <f t="shared" si="33"/>
        <v>112.5</v>
      </c>
      <c r="H168" s="7">
        <f t="shared" si="34"/>
        <v>3000000</v>
      </c>
      <c r="I168" s="7">
        <f t="shared" si="30"/>
        <v>112.5</v>
      </c>
    </row>
    <row r="169" spans="1:14" s="5" customFormat="1" ht="26.25" hidden="1">
      <c r="A169" s="14" t="s">
        <v>112</v>
      </c>
      <c r="B169" s="33">
        <f>B170</f>
        <v>5000000</v>
      </c>
      <c r="C169" s="33">
        <f>C170</f>
        <v>5000000</v>
      </c>
      <c r="D169" s="7">
        <f t="shared" si="31"/>
        <v>100</v>
      </c>
      <c r="E169" s="28">
        <f>E170</f>
        <v>16500000</v>
      </c>
      <c r="F169" s="7">
        <f t="shared" si="32"/>
        <v>11500000</v>
      </c>
      <c r="G169" s="7">
        <f t="shared" si="33"/>
        <v>330</v>
      </c>
      <c r="H169" s="7">
        <f t="shared" si="34"/>
        <v>11500000</v>
      </c>
      <c r="I169" s="7">
        <f t="shared" si="30"/>
        <v>330</v>
      </c>
      <c r="J169" s="47"/>
      <c r="K169" s="47"/>
      <c r="L169" s="47"/>
      <c r="M169" s="47"/>
      <c r="N169" s="47"/>
    </row>
    <row r="170" spans="1:9" ht="39" hidden="1">
      <c r="A170" s="14" t="s">
        <v>113</v>
      </c>
      <c r="B170" s="7">
        <v>5000000</v>
      </c>
      <c r="C170" s="7">
        <v>5000000</v>
      </c>
      <c r="D170" s="7">
        <f t="shared" si="31"/>
        <v>100</v>
      </c>
      <c r="E170" s="30">
        <v>16500000</v>
      </c>
      <c r="F170" s="7">
        <f t="shared" si="32"/>
        <v>11500000</v>
      </c>
      <c r="G170" s="7">
        <f t="shared" si="33"/>
        <v>330</v>
      </c>
      <c r="H170" s="7">
        <f t="shared" si="34"/>
        <v>11500000</v>
      </c>
      <c r="I170" s="7">
        <f t="shared" si="30"/>
        <v>330</v>
      </c>
    </row>
    <row r="171" spans="1:9" ht="12.75" hidden="1">
      <c r="A171" s="18" t="s">
        <v>114</v>
      </c>
      <c r="B171" s="29">
        <f>B172-B174</f>
        <v>8397770</v>
      </c>
      <c r="C171" s="29">
        <f>C172-C174</f>
        <v>8546717</v>
      </c>
      <c r="D171" s="16">
        <f t="shared" si="31"/>
        <v>101.77364943312331</v>
      </c>
      <c r="E171" s="29">
        <f>E172-E174</f>
        <v>16253376</v>
      </c>
      <c r="F171" s="16">
        <f t="shared" si="32"/>
        <v>7855606</v>
      </c>
      <c r="G171" s="16">
        <f t="shared" si="33"/>
        <v>193.5439527398345</v>
      </c>
      <c r="H171" s="16">
        <f t="shared" si="34"/>
        <v>7706659</v>
      </c>
      <c r="I171" s="16">
        <f t="shared" si="30"/>
        <v>190.17098612250763</v>
      </c>
    </row>
    <row r="172" spans="1:9" ht="26.25" hidden="1">
      <c r="A172" s="14" t="s">
        <v>115</v>
      </c>
      <c r="B172" s="7">
        <f>B173</f>
        <v>51882416</v>
      </c>
      <c r="C172" s="7">
        <f>C173</f>
        <v>51882416</v>
      </c>
      <c r="D172" s="7">
        <f t="shared" si="31"/>
        <v>100</v>
      </c>
      <c r="E172" s="30">
        <f>E173</f>
        <v>33253376</v>
      </c>
      <c r="F172" s="7">
        <f t="shared" si="32"/>
        <v>-18629040</v>
      </c>
      <c r="G172" s="7">
        <f t="shared" si="33"/>
        <v>64.09373071600983</v>
      </c>
      <c r="H172" s="7">
        <f t="shared" si="34"/>
        <v>-18629040</v>
      </c>
      <c r="I172" s="7">
        <f t="shared" si="30"/>
        <v>64.09373071600983</v>
      </c>
    </row>
    <row r="173" spans="1:14" s="5" customFormat="1" ht="41.25" customHeight="1" hidden="1">
      <c r="A173" s="14" t="s">
        <v>117</v>
      </c>
      <c r="B173" s="7">
        <v>51882416</v>
      </c>
      <c r="C173" s="7">
        <v>51882416</v>
      </c>
      <c r="D173" s="7">
        <f t="shared" si="31"/>
        <v>100</v>
      </c>
      <c r="E173" s="30">
        <v>33253376</v>
      </c>
      <c r="F173" s="7">
        <f t="shared" si="32"/>
        <v>-18629040</v>
      </c>
      <c r="G173" s="7">
        <f t="shared" si="33"/>
        <v>64.09373071600983</v>
      </c>
      <c r="H173" s="7">
        <f t="shared" si="34"/>
        <v>-18629040</v>
      </c>
      <c r="I173" s="7">
        <f>E173*100/C173</f>
        <v>64.09373071600983</v>
      </c>
      <c r="J173" s="47"/>
      <c r="K173" s="47"/>
      <c r="L173" s="47"/>
      <c r="M173" s="47"/>
      <c r="N173" s="47"/>
    </row>
    <row r="174" spans="1:9" ht="26.25" hidden="1">
      <c r="A174" s="14" t="s">
        <v>116</v>
      </c>
      <c r="B174" s="7">
        <f>B175</f>
        <v>43484646</v>
      </c>
      <c r="C174" s="7">
        <f>C175</f>
        <v>43335699</v>
      </c>
      <c r="D174" s="7">
        <f t="shared" si="31"/>
        <v>99.65747220294722</v>
      </c>
      <c r="E174" s="30">
        <f>E175</f>
        <v>17000000</v>
      </c>
      <c r="F174" s="7">
        <f t="shared" si="32"/>
        <v>-26484646</v>
      </c>
      <c r="G174" s="7">
        <f t="shared" si="33"/>
        <v>39.094258695356515</v>
      </c>
      <c r="H174" s="7">
        <f t="shared" si="34"/>
        <v>-26335699</v>
      </c>
      <c r="I174" s="7">
        <f t="shared" si="30"/>
        <v>39.22862764945825</v>
      </c>
    </row>
    <row r="175" spans="1:9" ht="26.25" hidden="1">
      <c r="A175" s="14" t="s">
        <v>118</v>
      </c>
      <c r="B175" s="7">
        <v>43484646</v>
      </c>
      <c r="C175" s="7">
        <v>43335699</v>
      </c>
      <c r="D175" s="7">
        <f t="shared" si="31"/>
        <v>99.65747220294722</v>
      </c>
      <c r="E175" s="30">
        <v>17000000</v>
      </c>
      <c r="F175" s="7">
        <f t="shared" si="32"/>
        <v>-26484646</v>
      </c>
      <c r="G175" s="7">
        <f t="shared" si="33"/>
        <v>39.094258695356515</v>
      </c>
      <c r="H175" s="7">
        <f aca="true" t="shared" si="35" ref="H175:H184">E175-C175</f>
        <v>-26335699</v>
      </c>
      <c r="I175" s="7">
        <f aca="true" t="shared" si="36" ref="I175:I183">E175*100/C175</f>
        <v>39.22862764945825</v>
      </c>
    </row>
    <row r="176" spans="1:9" ht="26.25" hidden="1">
      <c r="A176" s="18" t="s">
        <v>2</v>
      </c>
      <c r="B176" s="29">
        <f>B177</f>
        <v>41553</v>
      </c>
      <c r="C176" s="29">
        <f>C177</f>
        <v>41553</v>
      </c>
      <c r="D176" s="29">
        <f t="shared" si="31"/>
        <v>100</v>
      </c>
      <c r="E176" s="29">
        <f>E177</f>
        <v>41553</v>
      </c>
      <c r="F176" s="16">
        <f t="shared" si="32"/>
        <v>0</v>
      </c>
      <c r="G176" s="16">
        <f t="shared" si="33"/>
        <v>100</v>
      </c>
      <c r="H176" s="16">
        <f t="shared" si="34"/>
        <v>0</v>
      </c>
      <c r="I176" s="16">
        <f t="shared" si="36"/>
        <v>100</v>
      </c>
    </row>
    <row r="177" spans="1:9" ht="26.25" hidden="1">
      <c r="A177" s="14" t="s">
        <v>3</v>
      </c>
      <c r="B177" s="27">
        <f>B178</f>
        <v>41553</v>
      </c>
      <c r="C177" s="27">
        <f>C178</f>
        <v>41553</v>
      </c>
      <c r="D177" s="7">
        <f t="shared" si="31"/>
        <v>100</v>
      </c>
      <c r="E177" s="28">
        <f>E178</f>
        <v>41553</v>
      </c>
      <c r="F177" s="7">
        <f t="shared" si="32"/>
        <v>0</v>
      </c>
      <c r="G177" s="7">
        <f t="shared" si="33"/>
        <v>100</v>
      </c>
      <c r="H177" s="7">
        <f>E177-C177</f>
        <v>0</v>
      </c>
      <c r="I177" s="7">
        <f>E177*100/C177</f>
        <v>100</v>
      </c>
    </row>
    <row r="178" spans="1:9" ht="39" hidden="1">
      <c r="A178" s="14" t="s">
        <v>4</v>
      </c>
      <c r="B178" s="27">
        <v>41553</v>
      </c>
      <c r="C178" s="27">
        <v>41553</v>
      </c>
      <c r="D178" s="7">
        <f t="shared" si="31"/>
        <v>100</v>
      </c>
      <c r="E178" s="28">
        <v>41553</v>
      </c>
      <c r="F178" s="7">
        <f t="shared" si="32"/>
        <v>0</v>
      </c>
      <c r="G178" s="7">
        <f t="shared" si="33"/>
        <v>100</v>
      </c>
      <c r="H178" s="7">
        <f>E178-C178</f>
        <v>0</v>
      </c>
      <c r="I178" s="7">
        <f>E178*100/C178</f>
        <v>100</v>
      </c>
    </row>
    <row r="179" spans="1:9" ht="12.75" hidden="1">
      <c r="A179" s="18" t="s">
        <v>119</v>
      </c>
      <c r="B179" s="29" t="e">
        <f>-(B180-B182)</f>
        <v>#REF!</v>
      </c>
      <c r="C179" s="29" t="e">
        <f>-(C180-C182)</f>
        <v>#REF!</v>
      </c>
      <c r="D179" s="16"/>
      <c r="E179" s="29" t="e">
        <f>-(E180-E182)</f>
        <v>#REF!</v>
      </c>
      <c r="F179" s="16" t="e">
        <f t="shared" si="32"/>
        <v>#REF!</v>
      </c>
      <c r="G179" s="16"/>
      <c r="H179" s="16" t="e">
        <f t="shared" si="35"/>
        <v>#REF!</v>
      </c>
      <c r="I179" s="16"/>
    </row>
    <row r="180" spans="1:9" ht="26.25" hidden="1">
      <c r="A180" s="14" t="s">
        <v>57</v>
      </c>
      <c r="B180" s="7" t="e">
        <f>SUM(#REF!,B168,B173,B187,B193,B194)</f>
        <v>#REF!</v>
      </c>
      <c r="C180" s="7" t="e">
        <f>SUM(#REF!,C168,C173,C187,C193,C194)</f>
        <v>#REF!</v>
      </c>
      <c r="D180" s="7" t="e">
        <f>C180*100/B180</f>
        <v>#REF!</v>
      </c>
      <c r="E180" s="30" t="e">
        <f>SUM(#REF!,E168,E173,E193,E194)</f>
        <v>#REF!</v>
      </c>
      <c r="F180" s="7" t="e">
        <f t="shared" si="32"/>
        <v>#REF!</v>
      </c>
      <c r="G180" s="7" t="e">
        <f>E180*100/B180</f>
        <v>#REF!</v>
      </c>
      <c r="H180" s="7" t="e">
        <f t="shared" si="35"/>
        <v>#REF!</v>
      </c>
      <c r="I180" s="7" t="e">
        <f t="shared" si="36"/>
        <v>#REF!</v>
      </c>
    </row>
    <row r="181" spans="1:9" ht="26.25" hidden="1">
      <c r="A181" s="14" t="s">
        <v>120</v>
      </c>
      <c r="B181" s="7">
        <v>5582000</v>
      </c>
      <c r="C181" s="7">
        <v>5582000</v>
      </c>
      <c r="D181" s="7">
        <f>C181*100/B181</f>
        <v>100</v>
      </c>
      <c r="E181" s="30"/>
      <c r="F181" s="7">
        <f t="shared" si="32"/>
        <v>-5582000</v>
      </c>
      <c r="G181" s="7">
        <f>E181*100/B181</f>
        <v>0</v>
      </c>
      <c r="H181" s="7">
        <f t="shared" si="35"/>
        <v>-5582000</v>
      </c>
      <c r="I181" s="7">
        <f t="shared" si="36"/>
        <v>0</v>
      </c>
    </row>
    <row r="182" spans="1:9" ht="26.25" hidden="1">
      <c r="A182" s="14" t="s">
        <v>58</v>
      </c>
      <c r="B182" s="7">
        <f>B158+B170+B175+B178-B190+B195</f>
        <v>373471118</v>
      </c>
      <c r="C182" s="7">
        <f>C158+C170+C175+C178-C190+C195</f>
        <v>339277636</v>
      </c>
      <c r="D182" s="7">
        <f>C182*100/B182</f>
        <v>90.84441062454528</v>
      </c>
      <c r="E182" s="30">
        <f>E158+E170+E175-E186+E178-E190+E195</f>
        <v>385905122</v>
      </c>
      <c r="F182" s="7">
        <f t="shared" si="32"/>
        <v>12434004</v>
      </c>
      <c r="G182" s="7">
        <f>E182*100/B182</f>
        <v>103.32930805107131</v>
      </c>
      <c r="H182" s="7">
        <f t="shared" si="35"/>
        <v>46627486</v>
      </c>
      <c r="I182" s="7">
        <f t="shared" si="36"/>
        <v>113.74316519937082</v>
      </c>
    </row>
    <row r="183" spans="1:9" ht="26.25" hidden="1">
      <c r="A183" s="14" t="s">
        <v>121</v>
      </c>
      <c r="B183" s="7">
        <v>5582000</v>
      </c>
      <c r="C183" s="7">
        <v>5582000</v>
      </c>
      <c r="D183" s="7">
        <f>C183*100/B183</f>
        <v>100</v>
      </c>
      <c r="E183" s="30"/>
      <c r="F183" s="7">
        <f t="shared" si="32"/>
        <v>-5582000</v>
      </c>
      <c r="G183" s="7">
        <f>E183*100/B183</f>
        <v>0</v>
      </c>
      <c r="H183" s="7">
        <f t="shared" si="35"/>
        <v>-5582000</v>
      </c>
      <c r="I183" s="7">
        <f t="shared" si="36"/>
        <v>0</v>
      </c>
    </row>
    <row r="184" spans="1:9" ht="12.75" hidden="1">
      <c r="A184" s="18" t="s">
        <v>122</v>
      </c>
      <c r="B184" s="29">
        <f>SUM(B185,B188,B191)</f>
        <v>-11807911</v>
      </c>
      <c r="C184" s="29">
        <f>SUM(C185,C188,C191)</f>
        <v>-15404988</v>
      </c>
      <c r="D184" s="16"/>
      <c r="E184" s="29">
        <f>SUM(E185,E188,E191)</f>
        <v>-17754577</v>
      </c>
      <c r="F184" s="16">
        <f t="shared" si="32"/>
        <v>-5946666</v>
      </c>
      <c r="G184" s="16"/>
      <c r="H184" s="16">
        <f t="shared" si="35"/>
        <v>-2349589</v>
      </c>
      <c r="I184" s="16"/>
    </row>
    <row r="185" spans="1:9" ht="26.25" hidden="1">
      <c r="A185" s="14" t="s">
        <v>123</v>
      </c>
      <c r="B185" s="7">
        <f>B186</f>
        <v>14141616</v>
      </c>
      <c r="C185" s="7">
        <f>C186</f>
        <v>14141616</v>
      </c>
      <c r="D185" s="7">
        <f aca="true" t="shared" si="37" ref="D185:D197">C185*100/B185</f>
        <v>100</v>
      </c>
      <c r="E185" s="30">
        <f>E186</f>
        <v>44372</v>
      </c>
      <c r="F185" s="7">
        <f t="shared" si="32"/>
        <v>-14097244</v>
      </c>
      <c r="G185" s="7">
        <f aca="true" t="shared" si="38" ref="G185:G197">E185*100/B185</f>
        <v>0.31376894974379166</v>
      </c>
      <c r="H185" s="7">
        <f aca="true" t="shared" si="39" ref="H185:H197">E185-C185</f>
        <v>-14097244</v>
      </c>
      <c r="I185" s="7">
        <f aca="true" t="shared" si="40" ref="I185:I195">E185*100/C185</f>
        <v>0.31376894974379166</v>
      </c>
    </row>
    <row r="186" spans="1:9" ht="26.25" hidden="1">
      <c r="A186" s="8" t="s">
        <v>5</v>
      </c>
      <c r="B186" s="7">
        <f>B187</f>
        <v>14141616</v>
      </c>
      <c r="C186" s="7">
        <f>C187</f>
        <v>14141616</v>
      </c>
      <c r="D186" s="7">
        <f t="shared" si="37"/>
        <v>100</v>
      </c>
      <c r="E186" s="30">
        <f>E187</f>
        <v>44372</v>
      </c>
      <c r="F186" s="7">
        <f t="shared" si="32"/>
        <v>-14097244</v>
      </c>
      <c r="G186" s="7">
        <f t="shared" si="38"/>
        <v>0.31376894974379166</v>
      </c>
      <c r="H186" s="7">
        <f t="shared" si="39"/>
        <v>-14097244</v>
      </c>
      <c r="I186" s="7">
        <f t="shared" si="40"/>
        <v>0.31376894974379166</v>
      </c>
    </row>
    <row r="187" spans="1:9" ht="26.25" hidden="1">
      <c r="A187" s="8" t="s">
        <v>6</v>
      </c>
      <c r="B187" s="7">
        <v>14141616</v>
      </c>
      <c r="C187" s="7">
        <v>14141616</v>
      </c>
      <c r="D187" s="7">
        <f t="shared" si="37"/>
        <v>100</v>
      </c>
      <c r="E187" s="30">
        <v>44372</v>
      </c>
      <c r="F187" s="7">
        <f t="shared" si="32"/>
        <v>-14097244</v>
      </c>
      <c r="G187" s="7">
        <f t="shared" si="38"/>
        <v>0.31376894974379166</v>
      </c>
      <c r="H187" s="7">
        <f t="shared" si="39"/>
        <v>-14097244</v>
      </c>
      <c r="I187" s="7">
        <f t="shared" si="40"/>
        <v>0.31376894974379166</v>
      </c>
    </row>
    <row r="188" spans="1:9" ht="26.25" hidden="1">
      <c r="A188" s="14" t="s">
        <v>124</v>
      </c>
      <c r="B188" s="7">
        <f>B189</f>
        <v>-33745248</v>
      </c>
      <c r="C188" s="7">
        <f aca="true" t="shared" si="41" ref="C188:E189">C189</f>
        <v>-33745248</v>
      </c>
      <c r="D188" s="7">
        <f t="shared" si="37"/>
        <v>100</v>
      </c>
      <c r="E188" s="30">
        <f t="shared" si="41"/>
        <v>-17990353</v>
      </c>
      <c r="F188" s="7">
        <f t="shared" si="32"/>
        <v>15754895</v>
      </c>
      <c r="G188" s="7">
        <f t="shared" si="38"/>
        <v>53.312255995273766</v>
      </c>
      <c r="H188" s="7">
        <f t="shared" si="39"/>
        <v>15754895</v>
      </c>
      <c r="I188" s="7">
        <f t="shared" si="40"/>
        <v>53.312255995273766</v>
      </c>
    </row>
    <row r="189" spans="1:9" ht="66" hidden="1">
      <c r="A189" s="14" t="s">
        <v>125</v>
      </c>
      <c r="B189" s="7">
        <f>B190</f>
        <v>-33745248</v>
      </c>
      <c r="C189" s="7">
        <f t="shared" si="41"/>
        <v>-33745248</v>
      </c>
      <c r="D189" s="7">
        <f t="shared" si="37"/>
        <v>100</v>
      </c>
      <c r="E189" s="30">
        <f>E190</f>
        <v>-17990353</v>
      </c>
      <c r="F189" s="7">
        <f t="shared" si="32"/>
        <v>15754895</v>
      </c>
      <c r="G189" s="7">
        <f t="shared" si="38"/>
        <v>53.312255995273766</v>
      </c>
      <c r="H189" s="7">
        <f t="shared" si="39"/>
        <v>15754895</v>
      </c>
      <c r="I189" s="7">
        <f t="shared" si="40"/>
        <v>53.312255995273766</v>
      </c>
    </row>
    <row r="190" spans="1:9" ht="66" hidden="1">
      <c r="A190" s="14" t="s">
        <v>128</v>
      </c>
      <c r="B190" s="7">
        <v>-33745248</v>
      </c>
      <c r="C190" s="7">
        <v>-33745248</v>
      </c>
      <c r="D190" s="7">
        <f t="shared" si="37"/>
        <v>100</v>
      </c>
      <c r="E190" s="30">
        <v>-17990353</v>
      </c>
      <c r="F190" s="7">
        <f t="shared" si="32"/>
        <v>15754895</v>
      </c>
      <c r="G190" s="7">
        <f t="shared" si="38"/>
        <v>53.312255995273766</v>
      </c>
      <c r="H190" s="7">
        <f t="shared" si="39"/>
        <v>15754895</v>
      </c>
      <c r="I190" s="7">
        <f t="shared" si="40"/>
        <v>53.312255995273766</v>
      </c>
    </row>
    <row r="191" spans="1:9" ht="26.25" hidden="1">
      <c r="A191" s="14" t="s">
        <v>126</v>
      </c>
      <c r="B191" s="7">
        <f>B192-B195</f>
        <v>7795721</v>
      </c>
      <c r="C191" s="7">
        <f>C192-C195</f>
        <v>4198644</v>
      </c>
      <c r="D191" s="7">
        <f t="shared" si="37"/>
        <v>53.85831535017736</v>
      </c>
      <c r="E191" s="30">
        <f>E192-E195</f>
        <v>191404</v>
      </c>
      <c r="F191" s="7">
        <f t="shared" si="32"/>
        <v>-7604317</v>
      </c>
      <c r="G191" s="7">
        <f t="shared" si="38"/>
        <v>2.4552443577701153</v>
      </c>
      <c r="H191" s="7">
        <f t="shared" si="39"/>
        <v>-4007240</v>
      </c>
      <c r="I191" s="7">
        <f t="shared" si="40"/>
        <v>4.558709907293879</v>
      </c>
    </row>
    <row r="192" spans="1:9" ht="26.25" hidden="1">
      <c r="A192" s="14" t="s">
        <v>127</v>
      </c>
      <c r="B192" s="7">
        <f>SUM(B193:B194)</f>
        <v>44490616</v>
      </c>
      <c r="C192" s="7">
        <f>SUM(C193:C194)</f>
        <v>9198644</v>
      </c>
      <c r="D192" s="7">
        <f t="shared" si="37"/>
        <v>20.675470081151495</v>
      </c>
      <c r="E192" s="30">
        <f>SUM(E193:E194)</f>
        <v>3191404</v>
      </c>
      <c r="F192" s="7">
        <f t="shared" si="32"/>
        <v>-41299212</v>
      </c>
      <c r="G192" s="7">
        <f t="shared" si="38"/>
        <v>7.17320704213221</v>
      </c>
      <c r="H192" s="7">
        <f t="shared" si="39"/>
        <v>-6007240</v>
      </c>
      <c r="I192" s="7">
        <f t="shared" si="40"/>
        <v>34.694287549338796</v>
      </c>
    </row>
    <row r="193" spans="1:9" ht="26.25" hidden="1">
      <c r="A193" s="14" t="s">
        <v>129</v>
      </c>
      <c r="B193" s="7">
        <v>21490616</v>
      </c>
      <c r="C193" s="7">
        <v>4198644</v>
      </c>
      <c r="D193" s="7">
        <f t="shared" si="37"/>
        <v>19.5371040085589</v>
      </c>
      <c r="E193" s="30">
        <v>191404</v>
      </c>
      <c r="F193" s="7">
        <f t="shared" si="32"/>
        <v>-21299212</v>
      </c>
      <c r="G193" s="7">
        <f t="shared" si="38"/>
        <v>0.890639896036484</v>
      </c>
      <c r="H193" s="7">
        <f t="shared" si="39"/>
        <v>-4007240</v>
      </c>
      <c r="I193" s="7">
        <f t="shared" si="40"/>
        <v>4.558709907293879</v>
      </c>
    </row>
    <row r="194" spans="1:9" ht="39" hidden="1">
      <c r="A194" s="14" t="s">
        <v>130</v>
      </c>
      <c r="B194" s="7">
        <v>23000000</v>
      </c>
      <c r="C194" s="7">
        <v>5000000</v>
      </c>
      <c r="D194" s="7">
        <f t="shared" si="37"/>
        <v>21.73913043478261</v>
      </c>
      <c r="E194" s="30">
        <v>3000000</v>
      </c>
      <c r="F194" s="7">
        <f t="shared" si="32"/>
        <v>-20000000</v>
      </c>
      <c r="G194" s="7">
        <f t="shared" si="38"/>
        <v>13.043478260869565</v>
      </c>
      <c r="H194" s="7">
        <f t="shared" si="39"/>
        <v>-2000000</v>
      </c>
      <c r="I194" s="7">
        <f t="shared" si="40"/>
        <v>60</v>
      </c>
    </row>
    <row r="195" spans="1:9" ht="26.25" hidden="1">
      <c r="A195" s="14" t="s">
        <v>131</v>
      </c>
      <c r="B195" s="7">
        <f>SUM(B196:B197)</f>
        <v>36694895</v>
      </c>
      <c r="C195" s="7">
        <f>SUM(C196:C197)</f>
        <v>5000000</v>
      </c>
      <c r="D195" s="7">
        <f t="shared" si="37"/>
        <v>13.625873571787029</v>
      </c>
      <c r="E195" s="30">
        <f>SUM(E196:E197)</f>
        <v>3000000</v>
      </c>
      <c r="F195" s="7">
        <f t="shared" si="32"/>
        <v>-33694895</v>
      </c>
      <c r="G195" s="7">
        <f t="shared" si="38"/>
        <v>8.175524143072218</v>
      </c>
      <c r="H195" s="7">
        <f t="shared" si="39"/>
        <v>-2000000</v>
      </c>
      <c r="I195" s="7">
        <f t="shared" si="40"/>
        <v>60</v>
      </c>
    </row>
    <row r="196" spans="1:9" ht="26.25" hidden="1">
      <c r="A196" s="14" t="s">
        <v>132</v>
      </c>
      <c r="B196" s="7">
        <v>13694895</v>
      </c>
      <c r="C196" s="7">
        <v>0</v>
      </c>
      <c r="D196" s="7">
        <f t="shared" si="37"/>
        <v>0</v>
      </c>
      <c r="E196" s="30">
        <v>0</v>
      </c>
      <c r="F196" s="7">
        <f t="shared" si="32"/>
        <v>-13694895</v>
      </c>
      <c r="G196" s="7">
        <f t="shared" si="38"/>
        <v>0</v>
      </c>
      <c r="H196" s="7">
        <f t="shared" si="39"/>
        <v>0</v>
      </c>
      <c r="I196" s="7">
        <v>0</v>
      </c>
    </row>
    <row r="197" spans="1:9" ht="39" hidden="1">
      <c r="A197" s="14" t="s">
        <v>133</v>
      </c>
      <c r="B197" s="7">
        <v>23000000</v>
      </c>
      <c r="C197" s="7">
        <v>5000000</v>
      </c>
      <c r="D197" s="7">
        <f t="shared" si="37"/>
        <v>21.73913043478261</v>
      </c>
      <c r="E197" s="30">
        <v>3000000</v>
      </c>
      <c r="F197" s="7">
        <f t="shared" si="32"/>
        <v>-20000000</v>
      </c>
      <c r="G197" s="7">
        <f t="shared" si="38"/>
        <v>13.043478260869565</v>
      </c>
      <c r="H197" s="7">
        <f t="shared" si="39"/>
        <v>-2000000</v>
      </c>
      <c r="I197" s="7">
        <f>E197*100/C197</f>
        <v>60</v>
      </c>
    </row>
    <row r="198" spans="1:9" ht="21" customHeight="1">
      <c r="A198" s="66" t="s">
        <v>158</v>
      </c>
      <c r="B198" s="67"/>
      <c r="C198" s="67"/>
      <c r="D198" s="68"/>
      <c r="E198" s="23"/>
      <c r="F198" s="23"/>
      <c r="G198" s="24"/>
      <c r="H198" s="25"/>
      <c r="I198" s="24"/>
    </row>
    <row r="199" spans="1:9" ht="12.75">
      <c r="A199" s="69"/>
      <c r="B199" s="7"/>
      <c r="C199" s="7"/>
      <c r="D199" s="70"/>
      <c r="E199" s="23"/>
      <c r="F199" s="23"/>
      <c r="G199" s="24"/>
      <c r="H199" s="25"/>
      <c r="I199" s="24"/>
    </row>
    <row r="200" spans="1:9" ht="12.75">
      <c r="A200" s="71" t="s">
        <v>59</v>
      </c>
      <c r="B200" s="16">
        <f>B202+B203+B204+B205+B206+B207+B208</f>
        <v>286218.8</v>
      </c>
      <c r="C200" s="16">
        <f>C202+C203+C204+C205+C206+C207+C208</f>
        <v>283160</v>
      </c>
      <c r="D200" s="55">
        <f>C200*100/B200</f>
        <v>98.93130709792649</v>
      </c>
      <c r="E200" s="23"/>
      <c r="F200" s="23"/>
      <c r="G200" s="24"/>
      <c r="H200" s="25"/>
      <c r="I200" s="24"/>
    </row>
    <row r="201" spans="1:9" ht="12.75">
      <c r="A201" s="72" t="s">
        <v>60</v>
      </c>
      <c r="B201" s="34"/>
      <c r="C201" s="34"/>
      <c r="D201" s="70"/>
      <c r="E201" s="23"/>
      <c r="F201" s="23"/>
      <c r="G201" s="24"/>
      <c r="H201" s="25"/>
      <c r="I201" s="24"/>
    </row>
    <row r="202" spans="1:9" ht="26.25">
      <c r="A202" s="72" t="s">
        <v>13</v>
      </c>
      <c r="B202" s="34">
        <v>2587.8</v>
      </c>
      <c r="C202" s="34">
        <v>2587.8</v>
      </c>
      <c r="D202" s="70">
        <f aca="true" t="shared" si="42" ref="D202:D208">C202*100/B202</f>
        <v>100</v>
      </c>
      <c r="E202" s="23"/>
      <c r="F202" s="23"/>
      <c r="G202" s="24"/>
      <c r="H202" s="25"/>
      <c r="I202" s="24"/>
    </row>
    <row r="203" spans="1:9" ht="26.25">
      <c r="A203" s="72" t="s">
        <v>14</v>
      </c>
      <c r="B203" s="34">
        <v>12037.1</v>
      </c>
      <c r="C203" s="34">
        <v>12037.1</v>
      </c>
      <c r="D203" s="70">
        <f t="shared" si="42"/>
        <v>100</v>
      </c>
      <c r="E203" s="23"/>
      <c r="F203" s="23"/>
      <c r="G203" s="24"/>
      <c r="H203" s="25"/>
      <c r="I203" s="24"/>
    </row>
    <row r="204" spans="1:9" ht="39">
      <c r="A204" s="72" t="s">
        <v>17</v>
      </c>
      <c r="B204" s="34">
        <v>64248.2</v>
      </c>
      <c r="C204" s="34">
        <v>64248.2</v>
      </c>
      <c r="D204" s="70">
        <f t="shared" si="42"/>
        <v>100</v>
      </c>
      <c r="E204" s="23"/>
      <c r="F204" s="23"/>
      <c r="G204" s="24"/>
      <c r="H204" s="25"/>
      <c r="I204" s="24"/>
    </row>
    <row r="205" spans="1:4" ht="26.25">
      <c r="A205" s="72" t="s">
        <v>15</v>
      </c>
      <c r="B205" s="34">
        <v>24506.4</v>
      </c>
      <c r="C205" s="34">
        <v>24506.4</v>
      </c>
      <c r="D205" s="70">
        <f t="shared" si="42"/>
        <v>100</v>
      </c>
    </row>
    <row r="206" spans="1:4" ht="12.75">
      <c r="A206" s="72" t="s">
        <v>159</v>
      </c>
      <c r="B206" s="34">
        <v>4405</v>
      </c>
      <c r="C206" s="34">
        <v>4405</v>
      </c>
      <c r="D206" s="70">
        <f t="shared" si="42"/>
        <v>100</v>
      </c>
    </row>
    <row r="207" spans="1:4" ht="12.75">
      <c r="A207" s="72" t="s">
        <v>64</v>
      </c>
      <c r="B207" s="34">
        <v>3058.8</v>
      </c>
      <c r="C207" s="34">
        <v>0</v>
      </c>
      <c r="D207" s="70">
        <f t="shared" si="42"/>
        <v>0</v>
      </c>
    </row>
    <row r="208" spans="1:4" ht="12.75">
      <c r="A208" s="72" t="s">
        <v>65</v>
      </c>
      <c r="B208" s="34">
        <v>175375.5</v>
      </c>
      <c r="C208" s="34">
        <v>175375.5</v>
      </c>
      <c r="D208" s="70">
        <f t="shared" si="42"/>
        <v>100</v>
      </c>
    </row>
    <row r="209" spans="1:4" ht="12.75">
      <c r="A209" s="72"/>
      <c r="B209" s="34"/>
      <c r="C209" s="34"/>
      <c r="D209" s="70"/>
    </row>
    <row r="210" spans="1:4" ht="12.75">
      <c r="A210" s="71" t="s">
        <v>90</v>
      </c>
      <c r="B210" s="16">
        <f>B213+B212</f>
        <v>4078.7</v>
      </c>
      <c r="C210" s="16">
        <f>C213+C212</f>
        <v>4078.7</v>
      </c>
      <c r="D210" s="74">
        <f>C210*100/B210</f>
        <v>100</v>
      </c>
    </row>
    <row r="211" spans="1:4" ht="12.75">
      <c r="A211" s="72" t="s">
        <v>60</v>
      </c>
      <c r="B211" s="34"/>
      <c r="C211" s="34"/>
      <c r="D211" s="70"/>
    </row>
    <row r="212" spans="1:4" ht="12.75">
      <c r="A212" s="72" t="s">
        <v>160</v>
      </c>
      <c r="B212" s="34">
        <v>3773</v>
      </c>
      <c r="C212" s="34">
        <v>3773</v>
      </c>
      <c r="D212" s="70">
        <f>C212*100/B212</f>
        <v>100</v>
      </c>
    </row>
    <row r="213" spans="1:4" ht="12.75">
      <c r="A213" s="75" t="s">
        <v>161</v>
      </c>
      <c r="B213" s="34">
        <v>305.7</v>
      </c>
      <c r="C213" s="34">
        <v>305.7</v>
      </c>
      <c r="D213" s="70">
        <f>C213*100/B213</f>
        <v>100</v>
      </c>
    </row>
    <row r="214" spans="1:4" ht="12.75">
      <c r="A214" s="72"/>
      <c r="B214" s="34"/>
      <c r="C214" s="34"/>
      <c r="D214" s="70"/>
    </row>
    <row r="215" spans="1:4" ht="12.75">
      <c r="A215" s="71" t="s">
        <v>66</v>
      </c>
      <c r="B215" s="16">
        <f>SUM(B217:B219)</f>
        <v>39610.8</v>
      </c>
      <c r="C215" s="16">
        <f>SUM(C217:C219)</f>
        <v>39610.8</v>
      </c>
      <c r="D215" s="55">
        <f>C215*100/B215</f>
        <v>100</v>
      </c>
    </row>
    <row r="216" spans="1:4" ht="12.75">
      <c r="A216" s="72" t="s">
        <v>60</v>
      </c>
      <c r="B216" s="34"/>
      <c r="C216" s="34"/>
      <c r="D216" s="70"/>
    </row>
    <row r="217" spans="1:4" ht="26.25">
      <c r="A217" s="72" t="s">
        <v>162</v>
      </c>
      <c r="B217" s="34">
        <v>1319.9</v>
      </c>
      <c r="C217" s="34">
        <v>1319.9</v>
      </c>
      <c r="D217" s="70">
        <f>C217*100/B217</f>
        <v>100</v>
      </c>
    </row>
    <row r="218" spans="1:4" ht="26.25">
      <c r="A218" s="72" t="s">
        <v>182</v>
      </c>
      <c r="B218" s="34">
        <v>22011.4</v>
      </c>
      <c r="C218" s="34">
        <v>22011.4</v>
      </c>
      <c r="D218" s="70">
        <f>C218*100/B218</f>
        <v>100</v>
      </c>
    </row>
    <row r="219" spans="1:4" ht="26.25">
      <c r="A219" s="72" t="s">
        <v>68</v>
      </c>
      <c r="B219" s="34">
        <v>16279.5</v>
      </c>
      <c r="C219" s="34">
        <v>16279.5</v>
      </c>
      <c r="D219" s="70">
        <f>C219*100/B219</f>
        <v>100</v>
      </c>
    </row>
    <row r="220" spans="1:4" ht="12.75">
      <c r="A220" s="72"/>
      <c r="B220" s="34"/>
      <c r="C220" s="34"/>
      <c r="D220" s="70"/>
    </row>
    <row r="221" spans="1:4" ht="12.75">
      <c r="A221" s="71" t="s">
        <v>69</v>
      </c>
      <c r="B221" s="16">
        <f>SUM(B223:B227)</f>
        <v>141843.4</v>
      </c>
      <c r="C221" s="16">
        <f>SUM(C223:C227)</f>
        <v>141843.4</v>
      </c>
      <c r="D221" s="55">
        <f>C221*100/B221</f>
        <v>100</v>
      </c>
    </row>
    <row r="222" spans="1:4" ht="12.75">
      <c r="A222" s="72" t="s">
        <v>60</v>
      </c>
      <c r="B222" s="34"/>
      <c r="C222" s="34"/>
      <c r="D222" s="57"/>
    </row>
    <row r="223" spans="1:4" ht="12.75">
      <c r="A223" s="72" t="s">
        <v>163</v>
      </c>
      <c r="B223" s="34">
        <v>1070</v>
      </c>
      <c r="C223" s="34">
        <v>1070</v>
      </c>
      <c r="D223" s="76">
        <f>C223*100/B223</f>
        <v>100</v>
      </c>
    </row>
    <row r="224" spans="1:4" ht="12.75">
      <c r="A224" s="72" t="s">
        <v>73</v>
      </c>
      <c r="B224" s="34">
        <v>22576.9</v>
      </c>
      <c r="C224" s="34">
        <v>22576.9</v>
      </c>
      <c r="D224" s="70">
        <f>C224*100/B224</f>
        <v>100</v>
      </c>
    </row>
    <row r="225" spans="1:4" ht="12.75">
      <c r="A225" s="72" t="s">
        <v>137</v>
      </c>
      <c r="B225" s="34">
        <v>114919.5</v>
      </c>
      <c r="C225" s="34">
        <v>114919.5</v>
      </c>
      <c r="D225" s="70">
        <f>C225*100/B225</f>
        <v>100</v>
      </c>
    </row>
    <row r="226" spans="1:4" ht="12.75">
      <c r="A226" s="72" t="s">
        <v>164</v>
      </c>
      <c r="B226" s="34">
        <v>2651</v>
      </c>
      <c r="C226" s="34">
        <v>2651</v>
      </c>
      <c r="D226" s="70">
        <f>C226*100/B226</f>
        <v>100</v>
      </c>
    </row>
    <row r="227" spans="1:4" ht="12.75">
      <c r="A227" s="72" t="s">
        <v>76</v>
      </c>
      <c r="B227" s="34">
        <v>626</v>
      </c>
      <c r="C227" s="34">
        <v>626</v>
      </c>
      <c r="D227" s="70">
        <f>C227*100/B227</f>
        <v>100</v>
      </c>
    </row>
    <row r="228" spans="1:4" ht="12.75">
      <c r="A228" s="72"/>
      <c r="B228" s="34"/>
      <c r="C228" s="34"/>
      <c r="D228" s="70"/>
    </row>
    <row r="229" spans="1:4" ht="12.75">
      <c r="A229" s="71" t="s">
        <v>77</v>
      </c>
      <c r="B229" s="16">
        <f>B231+B232+B234+B233</f>
        <v>176937.4</v>
      </c>
      <c r="C229" s="16">
        <f>C231+C232+C234+C233</f>
        <v>176937.4</v>
      </c>
      <c r="D229" s="55">
        <f>C229*100/B229</f>
        <v>100</v>
      </c>
    </row>
    <row r="230" spans="1:4" ht="12.75">
      <c r="A230" s="72" t="s">
        <v>60</v>
      </c>
      <c r="B230" s="34"/>
      <c r="C230" s="34"/>
      <c r="D230" s="70"/>
    </row>
    <row r="231" spans="1:4" ht="12.75">
      <c r="A231" s="72" t="s">
        <v>78</v>
      </c>
      <c r="B231" s="34">
        <v>13968.1</v>
      </c>
      <c r="C231" s="34">
        <v>13968.1</v>
      </c>
      <c r="D231" s="70">
        <f>C231*100/B231</f>
        <v>100</v>
      </c>
    </row>
    <row r="232" spans="1:4" ht="12.75">
      <c r="A232" s="72" t="s">
        <v>79</v>
      </c>
      <c r="B232" s="34">
        <v>11150</v>
      </c>
      <c r="C232" s="34">
        <v>11150</v>
      </c>
      <c r="D232" s="70">
        <f>C232*100/B232</f>
        <v>100</v>
      </c>
    </row>
    <row r="233" spans="1:4" ht="12.75">
      <c r="A233" s="72" t="s">
        <v>165</v>
      </c>
      <c r="B233" s="34">
        <v>128190</v>
      </c>
      <c r="C233" s="34">
        <v>128190</v>
      </c>
      <c r="D233" s="70">
        <f>C233*100/B233</f>
        <v>100</v>
      </c>
    </row>
    <row r="234" spans="1:4" ht="12.75">
      <c r="A234" s="72" t="s">
        <v>80</v>
      </c>
      <c r="B234" s="34">
        <v>23629.3</v>
      </c>
      <c r="C234" s="34">
        <v>23629.3</v>
      </c>
      <c r="D234" s="70">
        <f>C234*100/B234</f>
        <v>100</v>
      </c>
    </row>
    <row r="235" spans="1:4" ht="12.75">
      <c r="A235" s="71" t="s">
        <v>81</v>
      </c>
      <c r="B235" s="16">
        <f>B237</f>
        <v>1712885.9</v>
      </c>
      <c r="C235" s="16">
        <f>C237</f>
        <v>1712885.9</v>
      </c>
      <c r="D235" s="68">
        <f>C235*100/B235</f>
        <v>100</v>
      </c>
    </row>
    <row r="236" spans="1:4" ht="12.75">
      <c r="A236" s="72" t="s">
        <v>60</v>
      </c>
      <c r="B236" s="34"/>
      <c r="C236" s="34"/>
      <c r="D236" s="70"/>
    </row>
    <row r="237" spans="1:4" ht="12.75">
      <c r="A237" s="72" t="s">
        <v>179</v>
      </c>
      <c r="B237" s="34">
        <v>1712885.9</v>
      </c>
      <c r="C237" s="34">
        <v>1712885.9</v>
      </c>
      <c r="D237" s="70">
        <f>C237*100/B237</f>
        <v>100</v>
      </c>
    </row>
    <row r="238" spans="1:4" ht="12.75">
      <c r="A238" s="71" t="s">
        <v>84</v>
      </c>
      <c r="B238" s="16">
        <f>B240+B241+B243+B244+B242</f>
        <v>1115561.5999999999</v>
      </c>
      <c r="C238" s="16">
        <f>C240+C241+C243+C244+C242</f>
        <v>1115561.5999999999</v>
      </c>
      <c r="D238" s="55">
        <f>C238*100/B238</f>
        <v>100</v>
      </c>
    </row>
    <row r="239" spans="1:4" ht="12.75">
      <c r="A239" s="72" t="s">
        <v>60</v>
      </c>
      <c r="B239" s="34"/>
      <c r="C239" s="34"/>
      <c r="D239" s="70"/>
    </row>
    <row r="240" spans="1:4" ht="12.75">
      <c r="A240" s="72" t="s">
        <v>166</v>
      </c>
      <c r="B240" s="34">
        <v>438320.8</v>
      </c>
      <c r="C240" s="34">
        <v>438320.8</v>
      </c>
      <c r="D240" s="70">
        <f aca="true" t="shared" si="43" ref="D240:D245">C240*100/B240</f>
        <v>100</v>
      </c>
    </row>
    <row r="241" spans="1:4" ht="12.75">
      <c r="A241" s="72" t="s">
        <v>85</v>
      </c>
      <c r="B241" s="34">
        <v>511043.4</v>
      </c>
      <c r="C241" s="34">
        <v>511043.4</v>
      </c>
      <c r="D241" s="70">
        <f t="shared" si="43"/>
        <v>100</v>
      </c>
    </row>
    <row r="242" spans="1:4" ht="12.75">
      <c r="A242" s="72" t="s">
        <v>167</v>
      </c>
      <c r="B242" s="34">
        <v>139030.4</v>
      </c>
      <c r="C242" s="34">
        <v>139030.4</v>
      </c>
      <c r="D242" s="70">
        <f t="shared" si="43"/>
        <v>100</v>
      </c>
    </row>
    <row r="243" spans="1:4" ht="12.75">
      <c r="A243" s="72" t="s">
        <v>93</v>
      </c>
      <c r="B243" s="34">
        <v>1868.5</v>
      </c>
      <c r="C243" s="34">
        <v>1868.5</v>
      </c>
      <c r="D243" s="70">
        <f t="shared" si="43"/>
        <v>100</v>
      </c>
    </row>
    <row r="244" spans="1:4" ht="12.75">
      <c r="A244" s="72" t="s">
        <v>95</v>
      </c>
      <c r="B244" s="34">
        <v>25298.5</v>
      </c>
      <c r="C244" s="34">
        <v>25298.5</v>
      </c>
      <c r="D244" s="70">
        <f t="shared" si="43"/>
        <v>100</v>
      </c>
    </row>
    <row r="245" spans="1:4" ht="12.75">
      <c r="A245" s="71" t="s">
        <v>96</v>
      </c>
      <c r="B245" s="16">
        <f>SUM(B247:B247)</f>
        <v>111814.7</v>
      </c>
      <c r="C245" s="16">
        <f>SUM(C247:C247)</f>
        <v>111814.7</v>
      </c>
      <c r="D245" s="55">
        <f t="shared" si="43"/>
        <v>100</v>
      </c>
    </row>
    <row r="246" spans="1:4" ht="12.75">
      <c r="A246" s="72" t="s">
        <v>60</v>
      </c>
      <c r="B246" s="34"/>
      <c r="C246" s="34"/>
      <c r="D246" s="70"/>
    </row>
    <row r="247" spans="1:4" ht="12.75">
      <c r="A247" s="72" t="s">
        <v>97</v>
      </c>
      <c r="B247" s="34">
        <v>111814.7</v>
      </c>
      <c r="C247" s="34">
        <v>111814.7</v>
      </c>
      <c r="D247" s="70">
        <f>C247*100/B247</f>
        <v>100</v>
      </c>
    </row>
    <row r="248" spans="1:4" ht="12.75">
      <c r="A248" s="71" t="s">
        <v>178</v>
      </c>
      <c r="B248" s="16">
        <f>SUM(B250:B250)</f>
        <v>4880</v>
      </c>
      <c r="C248" s="16">
        <f>SUM(C250:C250)</f>
        <v>4880</v>
      </c>
      <c r="D248" s="55">
        <f>C248*100/B248</f>
        <v>100</v>
      </c>
    </row>
    <row r="249" spans="1:4" ht="12.75">
      <c r="A249" s="72" t="s">
        <v>60</v>
      </c>
      <c r="B249" s="34"/>
      <c r="C249" s="34"/>
      <c r="D249" s="70"/>
    </row>
    <row r="250" spans="1:4" ht="12.75">
      <c r="A250" s="72" t="s">
        <v>168</v>
      </c>
      <c r="B250" s="34">
        <v>4880</v>
      </c>
      <c r="C250" s="34">
        <v>4880</v>
      </c>
      <c r="D250" s="70">
        <f>C250*100/B250</f>
        <v>100</v>
      </c>
    </row>
    <row r="251" spans="1:4" ht="12.75">
      <c r="A251" s="72"/>
      <c r="B251" s="34"/>
      <c r="C251" s="34"/>
      <c r="D251" s="70"/>
    </row>
    <row r="252" spans="1:4" ht="12.75">
      <c r="A252" s="71" t="s">
        <v>101</v>
      </c>
      <c r="B252" s="16">
        <f>SUM(B254:B256)+B257</f>
        <v>104801.9</v>
      </c>
      <c r="C252" s="16">
        <f>SUM(C254:C256)+C257</f>
        <v>104801.9</v>
      </c>
      <c r="D252" s="55">
        <f>C252*100/B252</f>
        <v>100</v>
      </c>
    </row>
    <row r="253" spans="1:4" ht="12.75">
      <c r="A253" s="72" t="s">
        <v>60</v>
      </c>
      <c r="B253" s="34"/>
      <c r="C253" s="34"/>
      <c r="D253" s="70"/>
    </row>
    <row r="254" spans="1:4" ht="12.75">
      <c r="A254" s="72" t="s">
        <v>102</v>
      </c>
      <c r="B254" s="34">
        <v>7640.6</v>
      </c>
      <c r="C254" s="34">
        <v>7640.6</v>
      </c>
      <c r="D254" s="70">
        <f>C254*100/B254</f>
        <v>100</v>
      </c>
    </row>
    <row r="255" spans="1:4" ht="12.75">
      <c r="A255" s="72" t="s">
        <v>104</v>
      </c>
      <c r="B255" s="34">
        <v>19062</v>
      </c>
      <c r="C255" s="34">
        <v>19062</v>
      </c>
      <c r="D255" s="70">
        <f aca="true" t="shared" si="44" ref="D255:D267">C255*100/B255</f>
        <v>100</v>
      </c>
    </row>
    <row r="256" spans="1:4" ht="12.75">
      <c r="A256" s="73" t="s">
        <v>28</v>
      </c>
      <c r="B256" s="7">
        <v>77959.3</v>
      </c>
      <c r="C256" s="7">
        <v>77959.3</v>
      </c>
      <c r="D256" s="70">
        <f t="shared" si="44"/>
        <v>100</v>
      </c>
    </row>
    <row r="257" spans="1:4" ht="12.75">
      <c r="A257" s="72" t="s">
        <v>169</v>
      </c>
      <c r="B257" s="34">
        <v>140</v>
      </c>
      <c r="C257" s="34">
        <v>140</v>
      </c>
      <c r="D257" s="70">
        <f t="shared" si="44"/>
        <v>100</v>
      </c>
    </row>
    <row r="258" spans="1:4" ht="12.75">
      <c r="A258" s="72"/>
      <c r="B258" s="34"/>
      <c r="C258" s="34"/>
      <c r="D258" s="70"/>
    </row>
    <row r="259" spans="1:4" ht="12.75">
      <c r="A259" s="71" t="s">
        <v>170</v>
      </c>
      <c r="B259" s="77">
        <f>B261+B262</f>
        <v>94186.7</v>
      </c>
      <c r="C259" s="77">
        <f>C261+C262</f>
        <v>94186.7</v>
      </c>
      <c r="D259" s="78">
        <f t="shared" si="44"/>
        <v>100</v>
      </c>
    </row>
    <row r="260" spans="1:4" ht="12.75">
      <c r="A260" s="72" t="s">
        <v>60</v>
      </c>
      <c r="B260" s="79"/>
      <c r="C260" s="79"/>
      <c r="D260" s="70"/>
    </row>
    <row r="261" spans="1:4" ht="12.75">
      <c r="A261" s="72" t="s">
        <v>171</v>
      </c>
      <c r="B261" s="34">
        <v>34576.1</v>
      </c>
      <c r="C261" s="34">
        <v>34576.1</v>
      </c>
      <c r="D261" s="70">
        <f t="shared" si="44"/>
        <v>100</v>
      </c>
    </row>
    <row r="262" spans="1:4" ht="12.75">
      <c r="A262" s="80" t="s">
        <v>172</v>
      </c>
      <c r="B262" s="81">
        <v>59610.6</v>
      </c>
      <c r="C262" s="81">
        <v>59610.6</v>
      </c>
      <c r="D262" s="70">
        <f t="shared" si="44"/>
        <v>100</v>
      </c>
    </row>
    <row r="263" spans="1:4" ht="12.75">
      <c r="A263" s="80"/>
      <c r="B263" s="81"/>
      <c r="C263" s="81"/>
      <c r="D263" s="70"/>
    </row>
    <row r="264" spans="1:4" ht="12.75">
      <c r="A264" s="71" t="s">
        <v>173</v>
      </c>
      <c r="B264" s="77">
        <f>B266</f>
        <v>15321.5</v>
      </c>
      <c r="C264" s="77">
        <f>C266</f>
        <v>15253.3</v>
      </c>
      <c r="D264" s="74">
        <f t="shared" si="44"/>
        <v>99.55487387005189</v>
      </c>
    </row>
    <row r="265" spans="1:4" ht="12.75">
      <c r="A265" s="72" t="s">
        <v>60</v>
      </c>
      <c r="B265" s="34"/>
      <c r="C265" s="34"/>
      <c r="D265" s="70"/>
    </row>
    <row r="266" spans="1:4" ht="12.75">
      <c r="A266" s="72" t="s">
        <v>174</v>
      </c>
      <c r="B266" s="34">
        <v>15321.5</v>
      </c>
      <c r="C266" s="34">
        <v>15253.3</v>
      </c>
      <c r="D266" s="70">
        <f t="shared" si="44"/>
        <v>99.55487387005189</v>
      </c>
    </row>
    <row r="267" spans="1:4" ht="12.75">
      <c r="A267" s="82" t="s">
        <v>91</v>
      </c>
      <c r="B267" s="22">
        <f>B252+B248+B245+B238+B235+B229+B221+B215+B200+B210+B259+B264</f>
        <v>3808141.3999999994</v>
      </c>
      <c r="C267" s="22">
        <f>C252+C248+C245+C238+C235+C229+C221+C215+C200+C210+C259+C264</f>
        <v>3805014.3999999994</v>
      </c>
      <c r="D267" s="68">
        <f t="shared" si="44"/>
        <v>99.91788645243058</v>
      </c>
    </row>
    <row r="268" spans="1:4" ht="12.75">
      <c r="A268" s="83" t="s">
        <v>175</v>
      </c>
      <c r="B268" s="22">
        <f>B55-B267</f>
        <v>-5994.5999999996275</v>
      </c>
      <c r="C268" s="22">
        <f>C55-C267</f>
        <v>3689.700000000652</v>
      </c>
      <c r="D268" s="22"/>
    </row>
    <row r="269" spans="1:4" ht="12.75">
      <c r="A269" s="83" t="s">
        <v>107</v>
      </c>
      <c r="B269" s="95">
        <f>B268/(854906.4)</f>
        <v>-0.00701199569917786</v>
      </c>
      <c r="C269" s="95">
        <f>C268/(794382.3)</f>
        <v>0.004644740951555254</v>
      </c>
      <c r="D269" s="22"/>
    </row>
    <row r="270" spans="1:4" ht="12.75">
      <c r="A270" s="83" t="s">
        <v>108</v>
      </c>
      <c r="B270" s="16">
        <f>B271+B275</f>
        <v>-55127.79999999999</v>
      </c>
      <c r="C270" s="16">
        <f>C271+C275</f>
        <v>-55127.79999999999</v>
      </c>
      <c r="D270" s="55"/>
    </row>
    <row r="271" spans="1:4" ht="12.75">
      <c r="A271" s="91" t="s">
        <v>114</v>
      </c>
      <c r="B271" s="94">
        <v>-374970</v>
      </c>
      <c r="C271" s="94">
        <v>-374970</v>
      </c>
      <c r="D271" s="57"/>
    </row>
    <row r="272" spans="1:4" ht="12.75">
      <c r="A272" s="92" t="s">
        <v>184</v>
      </c>
      <c r="B272" s="117">
        <v>319842.2</v>
      </c>
      <c r="C272" s="117">
        <v>319842.2</v>
      </c>
      <c r="D272" s="70"/>
    </row>
    <row r="273" spans="1:4" ht="26.25">
      <c r="A273" s="92" t="s">
        <v>185</v>
      </c>
      <c r="B273" s="117">
        <v>-694812.2</v>
      </c>
      <c r="C273" s="117">
        <v>-694812.2</v>
      </c>
      <c r="D273" s="70"/>
    </row>
    <row r="274" spans="1:4" ht="26.25">
      <c r="A274" s="91" t="s">
        <v>186</v>
      </c>
      <c r="B274" s="117">
        <v>-694812.2</v>
      </c>
      <c r="C274" s="117">
        <v>-694812.2</v>
      </c>
      <c r="D274" s="70"/>
    </row>
    <row r="275" spans="1:14" ht="39">
      <c r="A275" s="93" t="s">
        <v>187</v>
      </c>
      <c r="B275" s="117">
        <v>319842.2</v>
      </c>
      <c r="C275" s="117">
        <v>319842.2</v>
      </c>
      <c r="D275" s="70"/>
      <c r="J275" s="88"/>
      <c r="K275" s="88"/>
      <c r="L275" s="88"/>
      <c r="M275" s="88"/>
      <c r="N275" s="88"/>
    </row>
    <row r="276" spans="1:14" ht="26.25">
      <c r="A276" s="93" t="s">
        <v>183</v>
      </c>
      <c r="B276" s="117">
        <v>319842.2</v>
      </c>
      <c r="C276" s="117">
        <v>319842.2</v>
      </c>
      <c r="D276" s="70"/>
      <c r="J276" s="88"/>
      <c r="K276" s="88"/>
      <c r="L276" s="88"/>
      <c r="M276" s="88"/>
      <c r="N276" s="88"/>
    </row>
    <row r="277" spans="1:4" ht="12.75">
      <c r="A277" s="85" t="s">
        <v>119</v>
      </c>
      <c r="B277" s="86">
        <f>B278+B279</f>
        <v>61122.39999999944</v>
      </c>
      <c r="C277" s="86">
        <f>C278+C279</f>
        <v>51438.09999999963</v>
      </c>
      <c r="D277" s="87"/>
    </row>
    <row r="278" spans="1:4" ht="12.75">
      <c r="A278" s="84" t="s">
        <v>176</v>
      </c>
      <c r="B278" s="89">
        <v>-4441831.2</v>
      </c>
      <c r="C278" s="89">
        <f>-(C55+C272+C275)</f>
        <v>-4448388.5</v>
      </c>
      <c r="D278" s="96"/>
    </row>
    <row r="279" spans="1:4" ht="27" thickBot="1">
      <c r="A279" s="84" t="s">
        <v>177</v>
      </c>
      <c r="B279" s="90">
        <v>4502953.6</v>
      </c>
      <c r="C279" s="90">
        <f>C267-C273</f>
        <v>4499826.6</v>
      </c>
      <c r="D279" s="96"/>
    </row>
  </sheetData>
  <sheetProtection/>
  <mergeCells count="15">
    <mergeCell ref="C5:C6"/>
    <mergeCell ref="L5:L6"/>
    <mergeCell ref="M5:M6"/>
    <mergeCell ref="N5:N6"/>
    <mergeCell ref="A3:D3"/>
    <mergeCell ref="A1:D1"/>
    <mergeCell ref="D5:D6"/>
    <mergeCell ref="E4:E6"/>
    <mergeCell ref="F5:G5"/>
    <mergeCell ref="A2:I2"/>
    <mergeCell ref="H5:I5"/>
    <mergeCell ref="A4:A6"/>
    <mergeCell ref="B4:D4"/>
    <mergeCell ref="F4:I4"/>
    <mergeCell ref="B5:B6"/>
  </mergeCells>
  <printOptions/>
  <pageMargins left="0.984251968503937" right="0.1968503937007874" top="0.35433070866141736" bottom="0.1968503937007874" header="0.6299212598425197" footer="0.15748031496062992"/>
  <pageSetup fitToHeight="3" fitToWidth="1" horizontalDpi="1200" verticalDpi="1200" orientation="portrait" paperSize="9" scale="7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507_Mma</dc:creator>
  <cp:keywords/>
  <dc:description/>
  <cp:lastModifiedBy>Пашкевич Юлия Васильевна</cp:lastModifiedBy>
  <cp:lastPrinted>2021-11-12T11:13:22Z</cp:lastPrinted>
  <dcterms:created xsi:type="dcterms:W3CDTF">2005-08-01T06:37:21Z</dcterms:created>
  <dcterms:modified xsi:type="dcterms:W3CDTF">2021-11-16T08:00:59Z</dcterms:modified>
  <cp:category/>
  <cp:version/>
  <cp:contentType/>
  <cp:contentStatus/>
</cp:coreProperties>
</file>