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zhaeva\Downloads\"/>
    </mc:Choice>
  </mc:AlternateContent>
  <bookViews>
    <workbookView xWindow="0" yWindow="0" windowWidth="21600" windowHeight="9600" tabRatio="555" firstSheet="3" activeTab="3"/>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2021-2023'!$18:$19</definedName>
    <definedName name="_xlnm.Print_Area" localSheetId="6">'ведом. 2021-2023'!$L$1:$AF$1214</definedName>
    <definedName name="_xlnm.Print_Area" localSheetId="0">'Ведомственная 2008'!$B$1:$H$2623</definedName>
    <definedName name="_xlnm.Print_Area" localSheetId="5">'Р., Пр.2021-2023'!$A$1:$F$66</definedName>
    <definedName name="_xlnm.Print_Area" localSheetId="3">'Функц. 2021-2023'!$A$1:$K$996</definedName>
    <definedName name="_xlnm.Print_Area" localSheetId="4">'Целевые 2021-2023'!$A$1:$F$784</definedName>
  </definedNames>
  <calcPr calcId="162913"/>
</workbook>
</file>

<file path=xl/calcChain.xml><?xml version="1.0" encoding="utf-8"?>
<calcChain xmlns="http://schemas.openxmlformats.org/spreadsheetml/2006/main">
  <c r="E362" i="9" l="1"/>
  <c r="E361" i="9" s="1"/>
  <c r="J554" i="7"/>
  <c r="H554" i="7"/>
  <c r="F554" i="7"/>
  <c r="AE1110" i="2" l="1"/>
  <c r="AE1109" i="2" s="1"/>
  <c r="AE1108" i="2" s="1"/>
  <c r="AE1107" i="2" s="1"/>
  <c r="AE1106" i="2" s="1"/>
  <c r="AE1105" i="2" s="1"/>
  <c r="AE1104" i="2" s="1"/>
  <c r="AE1103" i="2" s="1"/>
  <c r="AF1110" i="2"/>
  <c r="AF1109" i="2" s="1"/>
  <c r="AF1108" i="2" s="1"/>
  <c r="AF1107" i="2" s="1"/>
  <c r="AF1106" i="2" s="1"/>
  <c r="AF1105" i="2" s="1"/>
  <c r="AF1104" i="2" s="1"/>
  <c r="AF1103" i="2" s="1"/>
  <c r="AD1110" i="2"/>
  <c r="AD1109" i="2" s="1"/>
  <c r="AD1108" i="2" s="1"/>
  <c r="AD1107" i="2" s="1"/>
  <c r="AD1106" i="2" s="1"/>
  <c r="AD1105" i="2" s="1"/>
  <c r="AD1104" i="2" s="1"/>
  <c r="AD1103" i="2" s="1"/>
  <c r="AD1022" i="2"/>
  <c r="AF340" i="2"/>
  <c r="AF339" i="2" s="1"/>
  <c r="AF338" i="2" s="1"/>
  <c r="AF337" i="2" s="1"/>
  <c r="AE340" i="2"/>
  <c r="AE339" i="2" s="1"/>
  <c r="AE338" i="2" s="1"/>
  <c r="AE337" i="2" s="1"/>
  <c r="AD340" i="2"/>
  <c r="AD339" i="2" s="1"/>
  <c r="AD338" i="2" s="1"/>
  <c r="AD337" i="2" s="1"/>
  <c r="J476" i="7"/>
  <c r="H475" i="7"/>
  <c r="F476" i="7"/>
  <c r="F474" i="7"/>
  <c r="D360" i="9" s="1"/>
  <c r="F475" i="7" l="1"/>
  <c r="D362" i="9"/>
  <c r="D361" i="9" s="1"/>
  <c r="J475" i="7"/>
  <c r="F362" i="9"/>
  <c r="F361" i="9" s="1"/>
  <c r="AE78" i="2"/>
  <c r="AD439" i="2" l="1"/>
  <c r="AD437" i="2"/>
  <c r="AD497" i="2" l="1"/>
  <c r="AD407" i="2"/>
  <c r="AD202" i="2"/>
  <c r="AD235" i="2"/>
  <c r="AD231" i="2"/>
  <c r="AD225" i="2"/>
  <c r="AD191" i="2"/>
  <c r="AD184" i="2"/>
  <c r="AD179" i="2"/>
  <c r="AD424" i="2"/>
  <c r="J814" i="7"/>
  <c r="F200" i="9" s="1"/>
  <c r="F199" i="9" s="1"/>
  <c r="F198" i="9" s="1"/>
  <c r="H814" i="7"/>
  <c r="H813" i="7" s="1"/>
  <c r="H812" i="7" s="1"/>
  <c r="F814" i="7"/>
  <c r="D200" i="9" s="1"/>
  <c r="D199" i="9" s="1"/>
  <c r="D198" i="9" s="1"/>
  <c r="AE432" i="2"/>
  <c r="AE431" i="2" s="1"/>
  <c r="AF432" i="2"/>
  <c r="AF431" i="2" s="1"/>
  <c r="AD432" i="2"/>
  <c r="AD431" i="2" s="1"/>
  <c r="AD426" i="2"/>
  <c r="AD418" i="2"/>
  <c r="AD414" i="2"/>
  <c r="F813" i="7" l="1"/>
  <c r="F812" i="7" s="1"/>
  <c r="E200" i="9"/>
  <c r="E199" i="9" s="1"/>
  <c r="E198" i="9" s="1"/>
  <c r="J813" i="7"/>
  <c r="J812" i="7" s="1"/>
  <c r="AD314" i="2"/>
  <c r="AD313" i="2" s="1"/>
  <c r="AD312" i="2" l="1"/>
  <c r="AD311" i="2" s="1"/>
  <c r="AD310" i="2" s="1"/>
  <c r="AF312" i="2"/>
  <c r="AF311" i="2" s="1"/>
  <c r="AE312" i="2"/>
  <c r="AE311" i="2" s="1"/>
  <c r="AE310" i="2" s="1"/>
  <c r="AF310" i="2" l="1"/>
  <c r="AF309" i="2" s="1"/>
  <c r="AF308" i="2" s="1"/>
  <c r="AE309" i="2"/>
  <c r="AE308" i="2" s="1"/>
  <c r="AD309" i="2"/>
  <c r="AD308" i="2" s="1"/>
  <c r="AD658" i="2" l="1"/>
  <c r="J406" i="7"/>
  <c r="J405" i="7" s="1"/>
  <c r="J404" i="7" s="1"/>
  <c r="H406" i="7"/>
  <c r="E660" i="9" s="1"/>
  <c r="E659" i="9" s="1"/>
  <c r="E658" i="9" s="1"/>
  <c r="F406" i="7"/>
  <c r="D660" i="9" s="1"/>
  <c r="D659" i="9" s="1"/>
  <c r="D658" i="9" s="1"/>
  <c r="AE935" i="2"/>
  <c r="AE934" i="2" s="1"/>
  <c r="AF935" i="2"/>
  <c r="AF934" i="2" s="1"/>
  <c r="AD935" i="2"/>
  <c r="AD934" i="2" s="1"/>
  <c r="AD954" i="2"/>
  <c r="AD924" i="2"/>
  <c r="AD689" i="2"/>
  <c r="AD909" i="2"/>
  <c r="AD850" i="2"/>
  <c r="AD325" i="2"/>
  <c r="AD322" i="2"/>
  <c r="AD327" i="2"/>
  <c r="AD685" i="2"/>
  <c r="AD335" i="2"/>
  <c r="AD697" i="2"/>
  <c r="AD468" i="2"/>
  <c r="AD1040" i="2"/>
  <c r="AD110" i="2"/>
  <c r="AD56" i="2"/>
  <c r="F660" i="9" l="1"/>
  <c r="F659" i="9" s="1"/>
  <c r="F658" i="9" s="1"/>
  <c r="F405" i="7"/>
  <c r="F404" i="7" s="1"/>
  <c r="H405" i="7"/>
  <c r="H404" i="7" s="1"/>
  <c r="AD853" i="2"/>
  <c r="AD832" i="2"/>
  <c r="AD837" i="2"/>
  <c r="AD535" i="2"/>
  <c r="AD537" i="2"/>
  <c r="AD121" i="2"/>
  <c r="AD123" i="2"/>
  <c r="AD843" i="2" l="1"/>
  <c r="AD755" i="2"/>
  <c r="AD329" i="2"/>
  <c r="I480" i="7" l="1"/>
  <c r="AD738" i="2" l="1"/>
  <c r="AD265" i="2" l="1"/>
  <c r="AD96" i="2"/>
  <c r="I447" i="7"/>
  <c r="I456" i="7"/>
  <c r="G458" i="7"/>
  <c r="G457" i="7" s="1"/>
  <c r="J459" i="7"/>
  <c r="F693" i="9" s="1"/>
  <c r="F692" i="9" s="1"/>
  <c r="F691" i="9" s="1"/>
  <c r="H459" i="7"/>
  <c r="H458" i="7" s="1"/>
  <c r="H457" i="7" s="1"/>
  <c r="F459" i="7"/>
  <c r="F458" i="7" s="1"/>
  <c r="F457" i="7" s="1"/>
  <c r="AF303" i="2"/>
  <c r="AE303" i="2"/>
  <c r="AD303" i="2"/>
  <c r="AD302" i="2" s="1"/>
  <c r="D693" i="9" l="1"/>
  <c r="D692" i="9" s="1"/>
  <c r="D691" i="9" s="1"/>
  <c r="J458" i="7"/>
  <c r="J457" i="7" s="1"/>
  <c r="E693" i="9"/>
  <c r="E692" i="9" s="1"/>
  <c r="E691" i="9" s="1"/>
  <c r="K701" i="7"/>
  <c r="I701" i="7"/>
  <c r="AD804" i="2" l="1"/>
  <c r="AD741" i="2"/>
  <c r="AD394" i="2"/>
  <c r="AD457" i="2"/>
  <c r="AD479" i="2"/>
  <c r="AD476" i="2"/>
  <c r="AD449" i="2"/>
  <c r="AD528" i="2"/>
  <c r="AD248" i="2"/>
  <c r="AD1042" i="2"/>
  <c r="AD75" i="2" l="1"/>
  <c r="AD460" i="2"/>
  <c r="F873" i="7" l="1"/>
  <c r="AD466" i="2"/>
  <c r="F871" i="7" s="1"/>
  <c r="AD197" i="2"/>
  <c r="AE882" i="2"/>
  <c r="AE881" i="2" s="1"/>
  <c r="AE880" i="2" s="1"/>
  <c r="AE879" i="2" s="1"/>
  <c r="AE878" i="2" s="1"/>
  <c r="AE877" i="2" s="1"/>
  <c r="AE876" i="2" s="1"/>
  <c r="AE875" i="2" s="1"/>
  <c r="AF882" i="2"/>
  <c r="AF881" i="2" s="1"/>
  <c r="AF880" i="2" s="1"/>
  <c r="AF879" i="2" s="1"/>
  <c r="AF878" i="2" s="1"/>
  <c r="AF877" i="2" s="1"/>
  <c r="AF876" i="2" s="1"/>
  <c r="AF875" i="2" s="1"/>
  <c r="AD882" i="2"/>
  <c r="AD881" i="2" s="1"/>
  <c r="AD880" i="2" s="1"/>
  <c r="AD144" i="2" l="1"/>
  <c r="AD239" i="2"/>
  <c r="AD1165" i="2" l="1"/>
  <c r="AD1174" i="2" l="1"/>
  <c r="AD1169" i="2"/>
  <c r="AD1177" i="2"/>
  <c r="AD152" i="2" l="1"/>
  <c r="AD554" i="2"/>
  <c r="G864" i="7"/>
  <c r="G863" i="7" s="1"/>
  <c r="G856" i="7" s="1"/>
  <c r="G855" i="7" s="1"/>
  <c r="G849" i="7" s="1"/>
  <c r="J865" i="7"/>
  <c r="F42" i="9" s="1"/>
  <c r="F41" i="9" s="1"/>
  <c r="F40" i="9" s="1"/>
  <c r="H865" i="7"/>
  <c r="E42" i="9" s="1"/>
  <c r="E41" i="9" s="1"/>
  <c r="E40" i="9" s="1"/>
  <c r="F865" i="7"/>
  <c r="F864" i="7" s="1"/>
  <c r="F863" i="7" s="1"/>
  <c r="AE459" i="2"/>
  <c r="AE458" i="2" s="1"/>
  <c r="AF459" i="2"/>
  <c r="AF458" i="2" s="1"/>
  <c r="AD459" i="2"/>
  <c r="AD458" i="2" s="1"/>
  <c r="H864" i="7" l="1"/>
  <c r="H863" i="7" s="1"/>
  <c r="J864" i="7"/>
  <c r="J863" i="7" s="1"/>
  <c r="D42" i="9"/>
  <c r="D41" i="9" s="1"/>
  <c r="D40" i="9" s="1"/>
  <c r="AF520" i="2"/>
  <c r="AE520" i="2"/>
  <c r="AD520" i="2"/>
  <c r="AE966" i="2"/>
  <c r="AF771" i="2"/>
  <c r="AE771" i="2"/>
  <c r="K698" i="7"/>
  <c r="I698" i="7"/>
  <c r="AF768" i="2"/>
  <c r="AE768" i="2"/>
  <c r="H474" i="7" l="1"/>
  <c r="E360" i="9" s="1"/>
  <c r="F473" i="7"/>
  <c r="F472" i="7" s="1"/>
  <c r="F471" i="7" s="1"/>
  <c r="AF961" i="2"/>
  <c r="AF960" i="2" s="1"/>
  <c r="AF959" i="2" s="1"/>
  <c r="AE961" i="2"/>
  <c r="AE960" i="2" s="1"/>
  <c r="AE959" i="2" s="1"/>
  <c r="AD961" i="2"/>
  <c r="AD960" i="2" s="1"/>
  <c r="AD959" i="2" s="1"/>
  <c r="H473" i="7" l="1"/>
  <c r="H472" i="7" s="1"/>
  <c r="H471" i="7" s="1"/>
  <c r="D359" i="9"/>
  <c r="D358" i="9" s="1"/>
  <c r="D357" i="9" s="1"/>
  <c r="E359" i="9"/>
  <c r="E358" i="9" s="1"/>
  <c r="E357" i="9" s="1"/>
  <c r="J474" i="7"/>
  <c r="AF255" i="2"/>
  <c r="AE255" i="2"/>
  <c r="AF75" i="2"/>
  <c r="AD930" i="2"/>
  <c r="AD939" i="2"/>
  <c r="F360" i="9" l="1"/>
  <c r="F359" i="9"/>
  <c r="F358" i="9" s="1"/>
  <c r="F357" i="9" s="1"/>
  <c r="J473" i="7"/>
  <c r="J472" i="7" s="1"/>
  <c r="J471" i="7" s="1"/>
  <c r="G409" i="7"/>
  <c r="AD966" i="2"/>
  <c r="J579" i="7" l="1"/>
  <c r="F685" i="9" s="1"/>
  <c r="F684" i="9" s="1"/>
  <c r="H579" i="7"/>
  <c r="H578" i="7" s="1"/>
  <c r="F579" i="7"/>
  <c r="D685" i="9" s="1"/>
  <c r="D684" i="9" s="1"/>
  <c r="AE1041" i="2"/>
  <c r="AF1041" i="2"/>
  <c r="AD1041" i="2"/>
  <c r="F578" i="7" l="1"/>
  <c r="J578" i="7"/>
  <c r="E685" i="9"/>
  <c r="E684" i="9" s="1"/>
  <c r="J987" i="7"/>
  <c r="H987" i="7"/>
  <c r="F987" i="7"/>
  <c r="AD1032" i="2" l="1"/>
  <c r="AF550" i="2"/>
  <c r="AE550" i="2"/>
  <c r="AF549" i="2"/>
  <c r="AF548" i="2" s="1"/>
  <c r="AE549" i="2"/>
  <c r="AE548" i="2" s="1"/>
  <c r="AF546" i="2"/>
  <c r="AF545" i="2" s="1"/>
  <c r="AE546" i="2"/>
  <c r="AE545" i="2" s="1"/>
  <c r="AD546" i="2"/>
  <c r="AD545" i="2" s="1"/>
  <c r="G567" i="7" l="1"/>
  <c r="F663" i="9"/>
  <c r="E663" i="9"/>
  <c r="J822" i="7"/>
  <c r="H822" i="7"/>
  <c r="AE440" i="2"/>
  <c r="AF440" i="2"/>
  <c r="AD440" i="2"/>
  <c r="AD1171" i="2"/>
  <c r="F137" i="7" s="1"/>
  <c r="AF265" i="2" l="1"/>
  <c r="AE265" i="2"/>
  <c r="AD298" i="2"/>
  <c r="AD549" i="2" l="1"/>
  <c r="AD548" i="2" s="1"/>
  <c r="AD550" i="2"/>
  <c r="AD156" i="2"/>
  <c r="AD505" i="2"/>
  <c r="AD70" i="2"/>
  <c r="AF248" i="2" l="1"/>
  <c r="AE248" i="2"/>
  <c r="D760" i="9"/>
  <c r="D759" i="9" s="1"/>
  <c r="J137" i="7"/>
  <c r="J136" i="7" s="1"/>
  <c r="H137" i="7"/>
  <c r="H136" i="7" s="1"/>
  <c r="F136" i="7"/>
  <c r="AE1170" i="2"/>
  <c r="AF1170" i="2"/>
  <c r="AD1170" i="2"/>
  <c r="AD116" i="2"/>
  <c r="F760" i="9" l="1"/>
  <c r="F759" i="9" s="1"/>
  <c r="E760" i="9"/>
  <c r="E759" i="9" s="1"/>
  <c r="E296" i="9"/>
  <c r="J308" i="7"/>
  <c r="F297" i="9" s="1"/>
  <c r="F296" i="9" s="1"/>
  <c r="H308" i="7"/>
  <c r="H307" i="7" s="1"/>
  <c r="F308" i="7"/>
  <c r="F307" i="7" s="1"/>
  <c r="AE720" i="2"/>
  <c r="AE719" i="2" s="1"/>
  <c r="AE718" i="2" s="1"/>
  <c r="AE717" i="2" s="1"/>
  <c r="AE716" i="2" s="1"/>
  <c r="AE715" i="2" s="1"/>
  <c r="AE714" i="2" s="1"/>
  <c r="AF720" i="2"/>
  <c r="AF719" i="2" s="1"/>
  <c r="AF718" i="2" s="1"/>
  <c r="AF717" i="2" s="1"/>
  <c r="AF716" i="2" s="1"/>
  <c r="AF715" i="2" s="1"/>
  <c r="AF714" i="2" s="1"/>
  <c r="AD720" i="2"/>
  <c r="AD719" i="2" s="1"/>
  <c r="AD718" i="2" s="1"/>
  <c r="AD717" i="2" s="1"/>
  <c r="AD716" i="2" s="1"/>
  <c r="AD715" i="2" s="1"/>
  <c r="AD714" i="2" s="1"/>
  <c r="AD105" i="2"/>
  <c r="AD927" i="2"/>
  <c r="AD1025" i="2"/>
  <c r="AD207" i="2"/>
  <c r="G395" i="7"/>
  <c r="D297" i="9" l="1"/>
  <c r="D296" i="9" s="1"/>
  <c r="J307" i="7"/>
  <c r="AD349" i="2" l="1"/>
  <c r="G514" i="7" l="1"/>
  <c r="G513" i="7" s="1"/>
  <c r="AD704" i="2" l="1"/>
  <c r="AD1013" i="2"/>
  <c r="AD1010" i="2"/>
  <c r="AD1007" i="2"/>
  <c r="AD1004" i="2"/>
  <c r="AD1001" i="2"/>
  <c r="AD998" i="2"/>
  <c r="AD974" i="2"/>
  <c r="AD995" i="2"/>
  <c r="AD992" i="2"/>
  <c r="AD986" i="2"/>
  <c r="AD983" i="2"/>
  <c r="AD980" i="2"/>
  <c r="G544" i="7" l="1"/>
  <c r="G543" i="7" s="1"/>
  <c r="G541" i="7"/>
  <c r="G540" i="7" s="1"/>
  <c r="G538" i="7"/>
  <c r="G537" i="7" s="1"/>
  <c r="G535" i="7"/>
  <c r="G534" i="7" s="1"/>
  <c r="G532" i="7"/>
  <c r="G531" i="7" s="1"/>
  <c r="G529" i="7"/>
  <c r="G528" i="7" s="1"/>
  <c r="G526" i="7"/>
  <c r="G525" i="7" s="1"/>
  <c r="G523" i="7"/>
  <c r="G522" i="7" s="1"/>
  <c r="G520" i="7"/>
  <c r="G519" i="7" s="1"/>
  <c r="G517" i="7"/>
  <c r="G516" i="7" s="1"/>
  <c r="G511" i="7"/>
  <c r="G510" i="7" s="1"/>
  <c r="G505" i="7"/>
  <c r="G504" i="7" s="1"/>
  <c r="AD989" i="2"/>
  <c r="G570" i="7" l="1"/>
  <c r="AD1035" i="2"/>
  <c r="F822" i="7"/>
  <c r="AD467" i="2" l="1"/>
  <c r="AD280" i="2"/>
  <c r="AD112" i="2"/>
  <c r="G822" i="7"/>
  <c r="AD788" i="2" l="1"/>
  <c r="F683" i="9" l="1"/>
  <c r="F682" i="9" s="1"/>
  <c r="E683" i="9"/>
  <c r="E682" i="9" s="1"/>
  <c r="J576" i="7"/>
  <c r="H576" i="7"/>
  <c r="F577" i="7"/>
  <c r="D683" i="9" s="1"/>
  <c r="D682" i="9" s="1"/>
  <c r="AE345" i="2"/>
  <c r="AE344" i="2" s="1"/>
  <c r="AF345" i="2"/>
  <c r="AF344" i="2" s="1"/>
  <c r="AD345" i="2"/>
  <c r="AD344" i="2" s="1"/>
  <c r="AD471" i="2"/>
  <c r="AD669" i="2"/>
  <c r="F576" i="7" l="1"/>
  <c r="G818" i="7"/>
  <c r="AD1088" i="2" l="1"/>
  <c r="F535" i="9" l="1"/>
  <c r="F534" i="9" s="1"/>
  <c r="E535" i="9"/>
  <c r="E534" i="9" s="1"/>
  <c r="F532" i="9"/>
  <c r="F531" i="9" s="1"/>
  <c r="E532" i="9"/>
  <c r="E531" i="9" s="1"/>
  <c r="F529" i="9"/>
  <c r="F528" i="9" s="1"/>
  <c r="E529" i="9"/>
  <c r="E528" i="9" s="1"/>
  <c r="F526" i="9"/>
  <c r="F525" i="9" s="1"/>
  <c r="E526" i="9"/>
  <c r="E525" i="9" s="1"/>
  <c r="F523" i="9"/>
  <c r="F522" i="9" s="1"/>
  <c r="E523" i="9"/>
  <c r="E522" i="9" s="1"/>
  <c r="F520" i="9"/>
  <c r="F519" i="9" s="1"/>
  <c r="E520" i="9"/>
  <c r="E519" i="9" s="1"/>
  <c r="F517" i="9"/>
  <c r="F516" i="9" s="1"/>
  <c r="E517" i="9"/>
  <c r="E516" i="9" s="1"/>
  <c r="F514" i="9"/>
  <c r="F513" i="9" s="1"/>
  <c r="E514" i="9"/>
  <c r="E513" i="9" s="1"/>
  <c r="F511" i="9"/>
  <c r="F510" i="9" s="1"/>
  <c r="E511" i="9"/>
  <c r="E510" i="9" s="1"/>
  <c r="F508" i="9"/>
  <c r="F507" i="9" s="1"/>
  <c r="E508" i="9"/>
  <c r="E507" i="9" s="1"/>
  <c r="F505" i="9"/>
  <c r="F504" i="9" s="1"/>
  <c r="E505" i="9"/>
  <c r="E504" i="9" s="1"/>
  <c r="F502" i="9"/>
  <c r="F501" i="9" s="1"/>
  <c r="E502" i="9"/>
  <c r="E501" i="9" s="1"/>
  <c r="F499" i="9"/>
  <c r="F498" i="9" s="1"/>
  <c r="E499" i="9"/>
  <c r="E498" i="9" s="1"/>
  <c r="F493" i="9"/>
  <c r="F492" i="9" s="1"/>
  <c r="E493" i="9"/>
  <c r="E492" i="9" s="1"/>
  <c r="F512" i="7"/>
  <c r="F524" i="7"/>
  <c r="F527" i="7"/>
  <c r="F536" i="7"/>
  <c r="F506" i="7"/>
  <c r="F515" i="7"/>
  <c r="F518" i="7"/>
  <c r="F521" i="7"/>
  <c r="F520" i="7" s="1"/>
  <c r="F519" i="7" s="1"/>
  <c r="F530" i="7"/>
  <c r="F533" i="7"/>
  <c r="F539" i="7"/>
  <c r="F542" i="7"/>
  <c r="F545" i="7"/>
  <c r="J544" i="7"/>
  <c r="J543" i="7" s="1"/>
  <c r="H544" i="7"/>
  <c r="H543" i="7" s="1"/>
  <c r="J540" i="7"/>
  <c r="H540" i="7"/>
  <c r="J538" i="7"/>
  <c r="J537" i="7" s="1"/>
  <c r="H538" i="7"/>
  <c r="H537" i="7" s="1"/>
  <c r="J534" i="7"/>
  <c r="H534" i="7"/>
  <c r="J531" i="7"/>
  <c r="H531" i="7"/>
  <c r="J529" i="7"/>
  <c r="J528" i="7" s="1"/>
  <c r="H529" i="7"/>
  <c r="H528" i="7" s="1"/>
  <c r="J526" i="7"/>
  <c r="J525" i="7" s="1"/>
  <c r="H526" i="7"/>
  <c r="H525" i="7" s="1"/>
  <c r="J522" i="7"/>
  <c r="H522" i="7"/>
  <c r="J520" i="7"/>
  <c r="J519" i="7" s="1"/>
  <c r="H520" i="7"/>
  <c r="H519" i="7" s="1"/>
  <c r="J517" i="7"/>
  <c r="J516" i="7" s="1"/>
  <c r="H517" i="7"/>
  <c r="H516" i="7" s="1"/>
  <c r="J514" i="7"/>
  <c r="J513" i="7" s="1"/>
  <c r="H514" i="7"/>
  <c r="H513" i="7" s="1"/>
  <c r="J511" i="7"/>
  <c r="J510" i="7" s="1"/>
  <c r="H511" i="7"/>
  <c r="H510" i="7" s="1"/>
  <c r="J505" i="7"/>
  <c r="J504" i="7" s="1"/>
  <c r="H505" i="7"/>
  <c r="H504" i="7" s="1"/>
  <c r="AF1012" i="2"/>
  <c r="AF1011" i="2" s="1"/>
  <c r="AE1012" i="2"/>
  <c r="AE1011" i="2" s="1"/>
  <c r="AD1012" i="2"/>
  <c r="AD1011" i="2" s="1"/>
  <c r="AD1009" i="2"/>
  <c r="AD1008" i="2" s="1"/>
  <c r="AF1008" i="2"/>
  <c r="AE1008" i="2"/>
  <c r="AF1006" i="2"/>
  <c r="AF1005" i="2" s="1"/>
  <c r="AE1006" i="2"/>
  <c r="AE1005" i="2" s="1"/>
  <c r="AD1006" i="2"/>
  <c r="AD1005" i="2" s="1"/>
  <c r="AD1003" i="2"/>
  <c r="AD1002" i="2" s="1"/>
  <c r="AF1002" i="2"/>
  <c r="AE1002" i="2"/>
  <c r="AD1000" i="2"/>
  <c r="AD999" i="2" s="1"/>
  <c r="AF999" i="2"/>
  <c r="AE999" i="2"/>
  <c r="AF997" i="2"/>
  <c r="AF996" i="2" s="1"/>
  <c r="AE997" i="2"/>
  <c r="AE996" i="2" s="1"/>
  <c r="AD997" i="2"/>
  <c r="AD996" i="2" s="1"/>
  <c r="AF994" i="2"/>
  <c r="AF993" i="2" s="1"/>
  <c r="AE994" i="2"/>
  <c r="AE993" i="2" s="1"/>
  <c r="AD994" i="2"/>
  <c r="AD993" i="2" s="1"/>
  <c r="AD991" i="2"/>
  <c r="AD990" i="2" s="1"/>
  <c r="AF990" i="2"/>
  <c r="AE990" i="2"/>
  <c r="AF988" i="2"/>
  <c r="AF987" i="2" s="1"/>
  <c r="AE988" i="2"/>
  <c r="AE987" i="2" s="1"/>
  <c r="AD988" i="2"/>
  <c r="AD987" i="2" s="1"/>
  <c r="AF985" i="2"/>
  <c r="AF984" i="2" s="1"/>
  <c r="AE985" i="2"/>
  <c r="AE984" i="2" s="1"/>
  <c r="AD985" i="2"/>
  <c r="AD984" i="2" s="1"/>
  <c r="AF982" i="2"/>
  <c r="AF981" i="2" s="1"/>
  <c r="AE982" i="2"/>
  <c r="AE981" i="2" s="1"/>
  <c r="AD982" i="2"/>
  <c r="AD981" i="2" s="1"/>
  <c r="AF979" i="2"/>
  <c r="AF978" i="2" s="1"/>
  <c r="AE979" i="2"/>
  <c r="AE978" i="2" s="1"/>
  <c r="AD979" i="2"/>
  <c r="AD978" i="2" s="1"/>
  <c r="AF973" i="2"/>
  <c r="AF972" i="2" s="1"/>
  <c r="AE973" i="2"/>
  <c r="AE972" i="2" s="1"/>
  <c r="AD973" i="2"/>
  <c r="AD972" i="2" s="1"/>
  <c r="F544" i="7" l="1"/>
  <c r="F541" i="7"/>
  <c r="D527" i="9"/>
  <c r="D526" i="9" s="1"/>
  <c r="D525" i="9" s="1"/>
  <c r="F535" i="7"/>
  <c r="F532" i="7"/>
  <c r="F529" i="7"/>
  <c r="F526" i="7"/>
  <c r="F523" i="7"/>
  <c r="D512" i="9"/>
  <c r="D511" i="9" s="1"/>
  <c r="D510" i="9" s="1"/>
  <c r="F517" i="7"/>
  <c r="F514" i="7"/>
  <c r="F511" i="7"/>
  <c r="F505" i="7"/>
  <c r="D521" i="9"/>
  <c r="D520" i="9" s="1"/>
  <c r="D519" i="9" s="1"/>
  <c r="D533" i="9"/>
  <c r="D532" i="9" s="1"/>
  <c r="D531" i="9" s="1"/>
  <c r="D506" i="9"/>
  <c r="D505" i="9" s="1"/>
  <c r="D504" i="9" s="1"/>
  <c r="D524" i="9"/>
  <c r="D523" i="9" s="1"/>
  <c r="D522" i="9" s="1"/>
  <c r="D494" i="9"/>
  <c r="D493" i="9" s="1"/>
  <c r="D492" i="9" s="1"/>
  <c r="F538" i="7"/>
  <c r="D530" i="9"/>
  <c r="D529" i="9" s="1"/>
  <c r="D528" i="9" s="1"/>
  <c r="D518" i="9"/>
  <c r="D517" i="9" s="1"/>
  <c r="D516" i="9" s="1"/>
  <c r="D503" i="9"/>
  <c r="D502" i="9" s="1"/>
  <c r="D501" i="9" s="1"/>
  <c r="D509" i="9"/>
  <c r="D508" i="9" s="1"/>
  <c r="D507" i="9" s="1"/>
  <c r="D515" i="9"/>
  <c r="D514" i="9" s="1"/>
  <c r="D513" i="9" s="1"/>
  <c r="D500" i="9"/>
  <c r="D499" i="9" s="1"/>
  <c r="D498" i="9" s="1"/>
  <c r="F543" i="7" l="1"/>
  <c r="F540" i="7"/>
  <c r="F537" i="7"/>
  <c r="F534" i="7"/>
  <c r="F531" i="7"/>
  <c r="F528" i="7"/>
  <c r="F525" i="7"/>
  <c r="F522" i="7"/>
  <c r="F516" i="7"/>
  <c r="F513" i="7"/>
  <c r="F510" i="7"/>
  <c r="F504" i="7"/>
  <c r="AF1040" i="2"/>
  <c r="AE1040" i="2"/>
  <c r="I479" i="7" l="1"/>
  <c r="I478" i="7" s="1"/>
  <c r="I477" i="7" s="1"/>
  <c r="I470" i="7" s="1"/>
  <c r="I469" i="7" l="1"/>
  <c r="I468" i="7" s="1"/>
  <c r="I467" i="7" s="1"/>
  <c r="J719" i="7"/>
  <c r="J718" i="7" s="1"/>
  <c r="J717" i="7" s="1"/>
  <c r="J716" i="7" s="1"/>
  <c r="J715" i="7" s="1"/>
  <c r="J714" i="7" s="1"/>
  <c r="J713" i="7" s="1"/>
  <c r="H719" i="7"/>
  <c r="H718" i="7" s="1"/>
  <c r="H717" i="7" s="1"/>
  <c r="H716" i="7" s="1"/>
  <c r="H715" i="7" s="1"/>
  <c r="H714" i="7" s="1"/>
  <c r="H713" i="7" s="1"/>
  <c r="F719" i="7"/>
  <c r="AE787" i="2"/>
  <c r="AE786" i="2" s="1"/>
  <c r="AE785" i="2" s="1"/>
  <c r="AE784" i="2" s="1"/>
  <c r="AE783" i="2" s="1"/>
  <c r="AE782" i="2" s="1"/>
  <c r="AF787" i="2"/>
  <c r="AF786" i="2" s="1"/>
  <c r="AF785" i="2" s="1"/>
  <c r="AF784" i="2" s="1"/>
  <c r="AF783" i="2" s="1"/>
  <c r="AF782" i="2" s="1"/>
  <c r="AD787" i="2"/>
  <c r="AD786" i="2" s="1"/>
  <c r="AD785" i="2" s="1"/>
  <c r="AD784" i="2" s="1"/>
  <c r="AD783" i="2" s="1"/>
  <c r="AD782" i="2" s="1"/>
  <c r="F718" i="7" l="1"/>
  <c r="F717" i="7" s="1"/>
  <c r="F716" i="7" s="1"/>
  <c r="F715" i="7" s="1"/>
  <c r="F714" i="7" s="1"/>
  <c r="F713" i="7" s="1"/>
  <c r="J83" i="7" l="1"/>
  <c r="J82" i="7" s="1"/>
  <c r="H83" i="7"/>
  <c r="E422" i="9" s="1"/>
  <c r="E421" i="9" s="1"/>
  <c r="F83" i="7"/>
  <c r="AE53" i="2"/>
  <c r="AF53" i="2"/>
  <c r="AD53" i="2"/>
  <c r="F82" i="7" l="1"/>
  <c r="D422" i="9"/>
  <c r="D421" i="9" s="1"/>
  <c r="H82" i="7"/>
  <c r="F422" i="9"/>
  <c r="F421" i="9" s="1"/>
  <c r="AD1135" i="2"/>
  <c r="AD775" i="2"/>
  <c r="AD874" i="2" l="1"/>
  <c r="F622" i="9" l="1"/>
  <c r="F621" i="9" s="1"/>
  <c r="F620" i="9" s="1"/>
  <c r="E622" i="9"/>
  <c r="E621" i="9" s="1"/>
  <c r="E620" i="9" s="1"/>
  <c r="G845" i="7"/>
  <c r="G844" i="7" s="1"/>
  <c r="H845" i="7"/>
  <c r="H844" i="7" s="1"/>
  <c r="J845" i="7"/>
  <c r="J844" i="7" s="1"/>
  <c r="F846" i="7"/>
  <c r="D622" i="9" s="1"/>
  <c r="D621" i="9" s="1"/>
  <c r="D620" i="9" s="1"/>
  <c r="AE873" i="2"/>
  <c r="AE872" i="2" s="1"/>
  <c r="AF873" i="2"/>
  <c r="AF872" i="2" s="1"/>
  <c r="AD873" i="2"/>
  <c r="AD872" i="2" s="1"/>
  <c r="AD744" i="2"/>
  <c r="AD761" i="2"/>
  <c r="AD195" i="2"/>
  <c r="AD917" i="2"/>
  <c r="AF930" i="2"/>
  <c r="K395" i="7"/>
  <c r="AF966" i="2"/>
  <c r="G562" i="7"/>
  <c r="G561" i="7" s="1"/>
  <c r="G551" i="7" s="1"/>
  <c r="J563" i="7"/>
  <c r="F657" i="9" s="1"/>
  <c r="F656" i="9" s="1"/>
  <c r="F655" i="9" s="1"/>
  <c r="H563" i="7"/>
  <c r="H562" i="7" s="1"/>
  <c r="H561" i="7" s="1"/>
  <c r="AE1027" i="2"/>
  <c r="AE1026" i="2" s="1"/>
  <c r="AF1027" i="2"/>
  <c r="AF1026" i="2" s="1"/>
  <c r="AD1028" i="2"/>
  <c r="F563" i="7" s="1"/>
  <c r="G945" i="7"/>
  <c r="AD1138" i="2"/>
  <c r="F845" i="7" l="1"/>
  <c r="F844" i="7" s="1"/>
  <c r="J562" i="7"/>
  <c r="J561" i="7" s="1"/>
  <c r="D657" i="9"/>
  <c r="D656" i="9" s="1"/>
  <c r="D655" i="9" s="1"/>
  <c r="F562" i="7"/>
  <c r="F561" i="7" s="1"/>
  <c r="AD1027" i="2"/>
  <c r="AD1026" i="2" s="1"/>
  <c r="E657" i="9"/>
  <c r="E656" i="9" s="1"/>
  <c r="E655" i="9" s="1"/>
  <c r="AE908" i="2"/>
  <c r="AE907" i="2" s="1"/>
  <c r="AE906" i="2" s="1"/>
  <c r="AE905" i="2" s="1"/>
  <c r="AE904" i="2" s="1"/>
  <c r="AE903" i="2" s="1"/>
  <c r="AE902" i="2" s="1"/>
  <c r="AF908" i="2"/>
  <c r="AF907" i="2" s="1"/>
  <c r="AF906" i="2" s="1"/>
  <c r="AF905" i="2" s="1"/>
  <c r="AF904" i="2" s="1"/>
  <c r="AF903" i="2" s="1"/>
  <c r="AF902" i="2" s="1"/>
  <c r="AD908" i="2"/>
  <c r="AD907" i="2" s="1"/>
  <c r="AD906" i="2" s="1"/>
  <c r="AD905" i="2" s="1"/>
  <c r="AD904" i="2" s="1"/>
  <c r="AD903" i="2" s="1"/>
  <c r="AD902" i="2" s="1"/>
  <c r="AD977" i="2" l="1"/>
  <c r="F509" i="7" s="1"/>
  <c r="D497" i="9" s="1"/>
  <c r="G547" i="7"/>
  <c r="G546" i="7" s="1"/>
  <c r="AD1016" i="2"/>
  <c r="G508" i="7"/>
  <c r="G507" i="7" s="1"/>
  <c r="AD588" i="2"/>
  <c r="AD819" i="2"/>
  <c r="AD272" i="2"/>
  <c r="AE596" i="2"/>
  <c r="AE595" i="2" s="1"/>
  <c r="AE594" i="2" s="1"/>
  <c r="AE593" i="2" s="1"/>
  <c r="AE592" i="2" s="1"/>
  <c r="AE591" i="2" s="1"/>
  <c r="AE590" i="2" s="1"/>
  <c r="AE589" i="2" s="1"/>
  <c r="AF596" i="2"/>
  <c r="AF595" i="2" s="1"/>
  <c r="AF594" i="2" s="1"/>
  <c r="AF593" i="2" s="1"/>
  <c r="AF592" i="2" s="1"/>
  <c r="AF591" i="2" s="1"/>
  <c r="AF590" i="2" s="1"/>
  <c r="AF589" i="2" s="1"/>
  <c r="AD596" i="2"/>
  <c r="AD595" i="2" s="1"/>
  <c r="AD594" i="2" s="1"/>
  <c r="AD593" i="2" s="1"/>
  <c r="AD592" i="2" s="1"/>
  <c r="AD591" i="2" s="1"/>
  <c r="AD590" i="2" s="1"/>
  <c r="AD589" i="2" s="1"/>
  <c r="G503" i="7" l="1"/>
  <c r="G502" i="7" s="1"/>
  <c r="G501" i="7" s="1"/>
  <c r="G495" i="7" s="1"/>
  <c r="E665" i="9" l="1"/>
  <c r="E664" i="9" s="1"/>
  <c r="F665" i="9"/>
  <c r="F664" i="9" s="1"/>
  <c r="H411" i="7"/>
  <c r="H410" i="7" s="1"/>
  <c r="J411" i="7"/>
  <c r="J410" i="7" s="1"/>
  <c r="G411" i="7"/>
  <c r="G410" i="7" s="1"/>
  <c r="AE941" i="2"/>
  <c r="AE940" i="2" s="1"/>
  <c r="AF941" i="2"/>
  <c r="AF940" i="2" s="1"/>
  <c r="AD942" i="2"/>
  <c r="F412" i="7" s="1"/>
  <c r="F411" i="7" s="1"/>
  <c r="F410" i="7" s="1"/>
  <c r="AD941" i="2" l="1"/>
  <c r="AD940" i="2" s="1"/>
  <c r="D666" i="9"/>
  <c r="D665" i="9" s="1"/>
  <c r="D664" i="9" s="1"/>
  <c r="AD1119" i="2" l="1"/>
  <c r="AD1074" i="2"/>
  <c r="AD808" i="2" l="1"/>
  <c r="J408" i="7" l="1"/>
  <c r="J407" i="7" s="1"/>
  <c r="J403" i="7" s="1"/>
  <c r="H408" i="7"/>
  <c r="H407" i="7" s="1"/>
  <c r="H403" i="7" s="1"/>
  <c r="H415" i="7"/>
  <c r="H414" i="7" s="1"/>
  <c r="H413" i="7" s="1"/>
  <c r="G408" i="7"/>
  <c r="G407" i="7" s="1"/>
  <c r="G403" i="7" s="1"/>
  <c r="F409" i="7"/>
  <c r="AE938" i="2"/>
  <c r="AE937" i="2" s="1"/>
  <c r="AE933" i="2" s="1"/>
  <c r="AF938" i="2"/>
  <c r="AF937" i="2" s="1"/>
  <c r="AF933" i="2" s="1"/>
  <c r="F408" i="7" l="1"/>
  <c r="F407" i="7" s="1"/>
  <c r="F403" i="7" s="1"/>
  <c r="D663" i="9"/>
  <c r="AD938" i="2"/>
  <c r="AD937" i="2" s="1"/>
  <c r="AD933" i="2" s="1"/>
  <c r="H402" i="7"/>
  <c r="AD58" i="2"/>
  <c r="E315" i="9" l="1"/>
  <c r="E255" i="9"/>
  <c r="J897" i="7"/>
  <c r="J896" i="7" s="1"/>
  <c r="J895" i="7" s="1"/>
  <c r="J894" i="7" s="1"/>
  <c r="J893" i="7" s="1"/>
  <c r="J892" i="7" s="1"/>
  <c r="H897" i="7"/>
  <c r="F255" i="9" s="1"/>
  <c r="F897" i="7"/>
  <c r="D255" i="9" s="1"/>
  <c r="AE491" i="2"/>
  <c r="AE490" i="2" s="1"/>
  <c r="AE489" i="2" s="1"/>
  <c r="AE488" i="2" s="1"/>
  <c r="AE487" i="2" s="1"/>
  <c r="AF491" i="2"/>
  <c r="AF490" i="2" s="1"/>
  <c r="AF489" i="2" s="1"/>
  <c r="AF488" i="2" s="1"/>
  <c r="AF487" i="2" s="1"/>
  <c r="AD491" i="2"/>
  <c r="AD490" i="2" s="1"/>
  <c r="AD489" i="2" s="1"/>
  <c r="AD488" i="2" s="1"/>
  <c r="AD487" i="2" s="1"/>
  <c r="I731" i="7"/>
  <c r="J765" i="7"/>
  <c r="J764" i="7" s="1"/>
  <c r="J763" i="7" s="1"/>
  <c r="J762" i="7" s="1"/>
  <c r="J761" i="7" s="1"/>
  <c r="J760" i="7" s="1"/>
  <c r="H765" i="7"/>
  <c r="H764" i="7" s="1"/>
  <c r="H763" i="7" s="1"/>
  <c r="H762" i="7" s="1"/>
  <c r="H761" i="7" s="1"/>
  <c r="H760" i="7" s="1"/>
  <c r="F765" i="7"/>
  <c r="F764" i="7" s="1"/>
  <c r="F763" i="7" s="1"/>
  <c r="F762" i="7" s="1"/>
  <c r="F761" i="7" s="1"/>
  <c r="F760" i="7" s="1"/>
  <c r="AE406" i="2"/>
  <c r="AE405" i="2" s="1"/>
  <c r="AE404" i="2" s="1"/>
  <c r="AE403" i="2" s="1"/>
  <c r="AE402" i="2" s="1"/>
  <c r="AF406" i="2"/>
  <c r="AF405" i="2" s="1"/>
  <c r="AF404" i="2" s="1"/>
  <c r="AF403" i="2" s="1"/>
  <c r="AF402" i="2" s="1"/>
  <c r="AD406" i="2"/>
  <c r="AD405" i="2" s="1"/>
  <c r="AD801" i="2"/>
  <c r="H896" i="7" l="1"/>
  <c r="H895" i="7" s="1"/>
  <c r="H894" i="7" s="1"/>
  <c r="H893" i="7" s="1"/>
  <c r="H892" i="7" s="1"/>
  <c r="F896" i="7"/>
  <c r="F895" i="7" s="1"/>
  <c r="F894" i="7" s="1"/>
  <c r="F893" i="7" s="1"/>
  <c r="F892" i="7" s="1"/>
  <c r="AD404" i="2"/>
  <c r="AD403" i="2" s="1"/>
  <c r="AD402" i="2" s="1"/>
  <c r="F662" i="9"/>
  <c r="F661" i="9" s="1"/>
  <c r="J821" i="7"/>
  <c r="E208" i="9"/>
  <c r="E207" i="9" s="1"/>
  <c r="G821" i="7"/>
  <c r="D662" i="9" l="1"/>
  <c r="D661" i="9" s="1"/>
  <c r="F208" i="9"/>
  <c r="F207" i="9" s="1"/>
  <c r="E662" i="9"/>
  <c r="E661" i="9" s="1"/>
  <c r="H821" i="7"/>
  <c r="J229" i="7" l="1"/>
  <c r="J228" i="7" s="1"/>
  <c r="H229" i="7"/>
  <c r="E466" i="9" s="1"/>
  <c r="E465" i="9" s="1"/>
  <c r="F229" i="7"/>
  <c r="F228" i="7" s="1"/>
  <c r="AE113" i="2"/>
  <c r="AF113" i="2"/>
  <c r="AD113" i="2"/>
  <c r="AD1072" i="2"/>
  <c r="D466" i="9" l="1"/>
  <c r="D465" i="9" s="1"/>
  <c r="H228" i="7"/>
  <c r="F466" i="9"/>
  <c r="F465" i="9" s="1"/>
  <c r="J238" i="7" l="1"/>
  <c r="F475" i="9" s="1"/>
  <c r="F474" i="9" s="1"/>
  <c r="H238" i="7"/>
  <c r="H237" i="7" s="1"/>
  <c r="F238" i="7"/>
  <c r="D475" i="9" s="1"/>
  <c r="D474" i="9" s="1"/>
  <c r="AE122" i="2"/>
  <c r="AF122" i="2"/>
  <c r="AD122" i="2"/>
  <c r="AD209" i="2"/>
  <c r="J237" i="7" l="1"/>
  <c r="E475" i="9"/>
  <c r="E474" i="9" s="1"/>
  <c r="F237" i="7"/>
  <c r="J654" i="7"/>
  <c r="J653" i="7" s="1"/>
  <c r="J652" i="7" s="1"/>
  <c r="J651" i="7" s="1"/>
  <c r="H654" i="7"/>
  <c r="E349" i="9" s="1"/>
  <c r="E348" i="9" s="1"/>
  <c r="E347" i="9" s="1"/>
  <c r="E346" i="9" s="1"/>
  <c r="F654" i="7"/>
  <c r="D349" i="9" s="1"/>
  <c r="D348" i="9" s="1"/>
  <c r="D347" i="9" s="1"/>
  <c r="D346" i="9" s="1"/>
  <c r="AE1087" i="2"/>
  <c r="AE1086" i="2" s="1"/>
  <c r="AE1085" i="2" s="1"/>
  <c r="AF1087" i="2"/>
  <c r="AF1086" i="2" s="1"/>
  <c r="AF1085" i="2" s="1"/>
  <c r="AD1087" i="2"/>
  <c r="AD1086" i="2" s="1"/>
  <c r="AD1085" i="2" s="1"/>
  <c r="F653" i="7" l="1"/>
  <c r="F652" i="7" s="1"/>
  <c r="F651" i="7" s="1"/>
  <c r="H653" i="7"/>
  <c r="H652" i="7" s="1"/>
  <c r="H651" i="7" s="1"/>
  <c r="F349" i="9"/>
  <c r="F348" i="9" s="1"/>
  <c r="F347" i="9" s="1"/>
  <c r="F346" i="9" s="1"/>
  <c r="J346" i="7"/>
  <c r="F259" i="9" s="1"/>
  <c r="F258" i="9" s="1"/>
  <c r="F346" i="7"/>
  <c r="D259" i="9" s="1"/>
  <c r="D258" i="9" s="1"/>
  <c r="AE228" i="2"/>
  <c r="AF228" i="2"/>
  <c r="AD228" i="2"/>
  <c r="G817" i="7"/>
  <c r="F820" i="7"/>
  <c r="D208" i="9" l="1"/>
  <c r="D207" i="9" s="1"/>
  <c r="F821" i="7"/>
  <c r="F345" i="7"/>
  <c r="J345" i="7"/>
  <c r="G825" i="7"/>
  <c r="AD849" i="2"/>
  <c r="AD848" i="2" s="1"/>
  <c r="AD580" i="2"/>
  <c r="AE849" i="2"/>
  <c r="AE848" i="2" s="1"/>
  <c r="AF849" i="2"/>
  <c r="AF848" i="2" s="1"/>
  <c r="AE865" i="2"/>
  <c r="AD1146" i="2" l="1"/>
  <c r="J560" i="7"/>
  <c r="J559" i="7" s="1"/>
  <c r="J558" i="7" s="1"/>
  <c r="H560" i="7"/>
  <c r="H559" i="7" s="1"/>
  <c r="H558" i="7" s="1"/>
  <c r="F560" i="7"/>
  <c r="AF1024" i="2"/>
  <c r="AF1023" i="2" s="1"/>
  <c r="AE1024" i="2"/>
  <c r="AE1023" i="2" s="1"/>
  <c r="AD1024" i="2" l="1"/>
  <c r="AD1023" i="2" s="1"/>
  <c r="D654" i="9"/>
  <c r="D653" i="9" s="1"/>
  <c r="D652" i="9" s="1"/>
  <c r="F559" i="7"/>
  <c r="F558" i="7" s="1"/>
  <c r="F654" i="9"/>
  <c r="F653" i="9" s="1"/>
  <c r="F652" i="9" s="1"/>
  <c r="E654" i="9"/>
  <c r="E653" i="9" s="1"/>
  <c r="E652" i="9" s="1"/>
  <c r="I837" i="7" l="1"/>
  <c r="G262" i="7" l="1"/>
  <c r="G261" i="7" s="1"/>
  <c r="G260" i="7" s="1"/>
  <c r="G255" i="7" s="1"/>
  <c r="G254" i="7" s="1"/>
  <c r="AD138" i="2"/>
  <c r="AD134" i="2"/>
  <c r="I836" i="7" l="1"/>
  <c r="E591" i="9" l="1"/>
  <c r="E590" i="9" s="1"/>
  <c r="E589" i="9" s="1"/>
  <c r="F591" i="9"/>
  <c r="F590" i="9" s="1"/>
  <c r="F589" i="9" s="1"/>
  <c r="J263" i="7"/>
  <c r="J262" i="7" s="1"/>
  <c r="J261" i="7" s="1"/>
  <c r="J260" i="7" s="1"/>
  <c r="H263" i="7"/>
  <c r="H262" i="7" s="1"/>
  <c r="H261" i="7" s="1"/>
  <c r="H260" i="7" s="1"/>
  <c r="F263" i="7"/>
  <c r="D592" i="9" s="1"/>
  <c r="D591" i="9" s="1"/>
  <c r="D590" i="9" s="1"/>
  <c r="D589" i="9" s="1"/>
  <c r="AE147" i="2"/>
  <c r="AE146" i="2" s="1"/>
  <c r="AE145" i="2" s="1"/>
  <c r="AF147" i="2"/>
  <c r="AF146" i="2" s="1"/>
  <c r="AF145" i="2" s="1"/>
  <c r="AD147" i="2"/>
  <c r="AD146" i="2" s="1"/>
  <c r="AD145" i="2" s="1"/>
  <c r="G462" i="7"/>
  <c r="AD307" i="2"/>
  <c r="AD752" i="2"/>
  <c r="F262" i="7" l="1"/>
  <c r="F261" i="7" s="1"/>
  <c r="F260" i="7" s="1"/>
  <c r="E399" i="9"/>
  <c r="F399" i="9"/>
  <c r="H199" i="7"/>
  <c r="J199" i="7"/>
  <c r="F200" i="7"/>
  <c r="F199" i="7" s="1"/>
  <c r="AE675" i="2"/>
  <c r="AF675" i="2"/>
  <c r="AE670" i="2"/>
  <c r="AF670" i="2"/>
  <c r="AD670" i="2"/>
  <c r="AD676" i="2"/>
  <c r="AD675" i="2" s="1"/>
  <c r="D400" i="9" l="1"/>
  <c r="D399" i="9" s="1"/>
  <c r="F267" i="7"/>
  <c r="AE688" i="2"/>
  <c r="AE687" i="2" s="1"/>
  <c r="AE686" i="2" s="1"/>
  <c r="AF688" i="2"/>
  <c r="AF687" i="2" s="1"/>
  <c r="AF686" i="2" s="1"/>
  <c r="AD688" i="2"/>
  <c r="AD687" i="2" s="1"/>
  <c r="AD686" i="2" s="1"/>
  <c r="J314" i="7"/>
  <c r="F303" i="9" s="1"/>
  <c r="F302" i="9" s="1"/>
  <c r="H314" i="7"/>
  <c r="H313" i="7" s="1"/>
  <c r="F314" i="7"/>
  <c r="F313" i="7" s="1"/>
  <c r="AE196" i="2"/>
  <c r="AF196" i="2"/>
  <c r="AD196" i="2"/>
  <c r="E254" i="9"/>
  <c r="AE808" i="2"/>
  <c r="AF808" i="2"/>
  <c r="J30" i="7"/>
  <c r="J29" i="7" s="1"/>
  <c r="J28" i="7" s="1"/>
  <c r="J27" i="7" s="1"/>
  <c r="J26" i="7" s="1"/>
  <c r="J25" i="7" s="1"/>
  <c r="J24" i="7" s="1"/>
  <c r="H30" i="7"/>
  <c r="H29" i="7" s="1"/>
  <c r="H28" i="7" s="1"/>
  <c r="H27" i="7" s="1"/>
  <c r="H26" i="7" s="1"/>
  <c r="H25" i="7" s="1"/>
  <c r="H24" i="7" s="1"/>
  <c r="F30" i="7"/>
  <c r="F29" i="7" s="1"/>
  <c r="F28" i="7" s="1"/>
  <c r="F27" i="7" s="1"/>
  <c r="F26" i="7" s="1"/>
  <c r="F25" i="7" s="1"/>
  <c r="F24" i="7" s="1"/>
  <c r="AE562" i="2"/>
  <c r="AE561" i="2" s="1"/>
  <c r="AE560" i="2" s="1"/>
  <c r="AE559" i="2" s="1"/>
  <c r="AE558" i="2" s="1"/>
  <c r="AF562" i="2"/>
  <c r="AF561" i="2" s="1"/>
  <c r="AF560" i="2" s="1"/>
  <c r="AF559" i="2" s="1"/>
  <c r="AF558" i="2" s="1"/>
  <c r="AD562" i="2"/>
  <c r="AD561" i="2" s="1"/>
  <c r="AD560" i="2" s="1"/>
  <c r="AD559" i="2" s="1"/>
  <c r="AD558" i="2" s="1"/>
  <c r="AD614" i="2"/>
  <c r="AD33" i="2"/>
  <c r="AD1077" i="2"/>
  <c r="G415" i="7"/>
  <c r="G414" i="7" s="1"/>
  <c r="G413" i="7" s="1"/>
  <c r="J416" i="7"/>
  <c r="F676" i="9" s="1"/>
  <c r="F675" i="9" s="1"/>
  <c r="F674" i="9" s="1"/>
  <c r="H401" i="7"/>
  <c r="AE945" i="2"/>
  <c r="AE944" i="2" s="1"/>
  <c r="AE943" i="2" s="1"/>
  <c r="AF945" i="2"/>
  <c r="AF944" i="2" s="1"/>
  <c r="AF943" i="2" s="1"/>
  <c r="AD946" i="2"/>
  <c r="F416" i="7" s="1"/>
  <c r="F415" i="7" s="1"/>
  <c r="F414" i="7" s="1"/>
  <c r="F413" i="7" s="1"/>
  <c r="G402" i="7" l="1"/>
  <c r="G401" i="7" s="1"/>
  <c r="F402" i="7"/>
  <c r="F401" i="7" s="1"/>
  <c r="AE932" i="2"/>
  <c r="AE931" i="2" s="1"/>
  <c r="AF932" i="2"/>
  <c r="AF931" i="2" s="1"/>
  <c r="D254" i="9"/>
  <c r="E303" i="9"/>
  <c r="E302" i="9" s="1"/>
  <c r="AD945" i="2"/>
  <c r="AD944" i="2" s="1"/>
  <c r="AD943" i="2" s="1"/>
  <c r="AD932" i="2" s="1"/>
  <c r="F254" i="9"/>
  <c r="J313" i="7"/>
  <c r="D303" i="9"/>
  <c r="D302" i="9" s="1"/>
  <c r="D676" i="9"/>
  <c r="D675" i="9" s="1"/>
  <c r="D674" i="9" s="1"/>
  <c r="E676" i="9"/>
  <c r="E675" i="9" s="1"/>
  <c r="E674" i="9" s="1"/>
  <c r="J415" i="7"/>
  <c r="J414" i="7" s="1"/>
  <c r="J413" i="7" s="1"/>
  <c r="AD768" i="2"/>
  <c r="J49" i="7"/>
  <c r="F735" i="9" s="1"/>
  <c r="F734" i="9" s="1"/>
  <c r="H49" i="7"/>
  <c r="E735" i="9" s="1"/>
  <c r="E734" i="9" s="1"/>
  <c r="F49" i="7"/>
  <c r="F48" i="7" s="1"/>
  <c r="AE581" i="2"/>
  <c r="AF581" i="2"/>
  <c r="AD581" i="2"/>
  <c r="J402" i="7" l="1"/>
  <c r="J401" i="7" s="1"/>
  <c r="AD931" i="2"/>
  <c r="J48" i="7"/>
  <c r="H48" i="7"/>
  <c r="D735" i="9"/>
  <c r="D734" i="9" s="1"/>
  <c r="H480" i="7"/>
  <c r="AF965" i="2"/>
  <c r="AF964" i="2" s="1"/>
  <c r="AF963" i="2" s="1"/>
  <c r="AF958" i="2" s="1"/>
  <c r="AD965" i="2"/>
  <c r="AD964" i="2" s="1"/>
  <c r="AD963" i="2" s="1"/>
  <c r="AD958" i="2" s="1"/>
  <c r="AE965" i="2"/>
  <c r="AE964" i="2" s="1"/>
  <c r="AE963" i="2" s="1"/>
  <c r="AE958" i="2" s="1"/>
  <c r="AF957" i="2" l="1"/>
  <c r="AF956" i="2" s="1"/>
  <c r="AF955" i="2" s="1"/>
  <c r="AE957" i="2"/>
  <c r="AE956" i="2" s="1"/>
  <c r="AE955" i="2" s="1"/>
  <c r="AD957" i="2"/>
  <c r="AD956" i="2" s="1"/>
  <c r="AD955" i="2" s="1"/>
  <c r="J480" i="7"/>
  <c r="F480" i="7"/>
  <c r="AD376" i="2"/>
  <c r="K727" i="7" l="1"/>
  <c r="J730" i="7"/>
  <c r="J729" i="7" s="1"/>
  <c r="J728" i="7" s="1"/>
  <c r="J727" i="7" s="1"/>
  <c r="H730" i="7"/>
  <c r="E783" i="9" s="1"/>
  <c r="E782" i="9" s="1"/>
  <c r="F730" i="7"/>
  <c r="F729" i="7" s="1"/>
  <c r="F728" i="7" s="1"/>
  <c r="F727" i="7" s="1"/>
  <c r="AE792" i="2"/>
  <c r="AE791" i="2" s="1"/>
  <c r="AE790" i="2" s="1"/>
  <c r="AE789" i="2" s="1"/>
  <c r="AF792" i="2"/>
  <c r="AF791" i="2" s="1"/>
  <c r="AF790" i="2" s="1"/>
  <c r="AF789" i="2" s="1"/>
  <c r="AD792" i="2"/>
  <c r="AD791" i="2" s="1"/>
  <c r="AD790" i="2" s="1"/>
  <c r="AD789" i="2" s="1"/>
  <c r="D783" i="9" l="1"/>
  <c r="D782" i="9" s="1"/>
  <c r="D781" i="9" s="1"/>
  <c r="H729" i="7"/>
  <c r="H728" i="7" s="1"/>
  <c r="H727" i="7" s="1"/>
  <c r="F783" i="9"/>
  <c r="F782" i="9" s="1"/>
  <c r="F438" i="9"/>
  <c r="F437" i="9" s="1"/>
  <c r="E438" i="9"/>
  <c r="E437" i="9" s="1"/>
  <c r="H114" i="7"/>
  <c r="J114" i="7"/>
  <c r="F115" i="7"/>
  <c r="F114" i="7" s="1"/>
  <c r="AE622" i="2"/>
  <c r="AF622" i="2"/>
  <c r="AD622" i="2"/>
  <c r="AD621" i="2"/>
  <c r="J557" i="7"/>
  <c r="F651" i="9" s="1"/>
  <c r="F650" i="9" s="1"/>
  <c r="F649" i="9" s="1"/>
  <c r="H557" i="7"/>
  <c r="H556" i="7" s="1"/>
  <c r="H555" i="7" s="1"/>
  <c r="F557" i="7"/>
  <c r="D651" i="9" s="1"/>
  <c r="D650" i="9" s="1"/>
  <c r="D649" i="9" s="1"/>
  <c r="AE1021" i="2"/>
  <c r="AE1020" i="2" s="1"/>
  <c r="AE1019" i="2" s="1"/>
  <c r="AF1021" i="2"/>
  <c r="AF1020" i="2" s="1"/>
  <c r="AF1019" i="2" s="1"/>
  <c r="AD1021" i="2"/>
  <c r="AD1020" i="2" s="1"/>
  <c r="AD1019" i="2" s="1"/>
  <c r="D438" i="9" l="1"/>
  <c r="D437" i="9" s="1"/>
  <c r="F556" i="7"/>
  <c r="F555" i="7" s="1"/>
  <c r="E651" i="9"/>
  <c r="E650" i="9" s="1"/>
  <c r="E649" i="9" s="1"/>
  <c r="J556" i="7"/>
  <c r="J555" i="7" s="1"/>
  <c r="J427" i="7"/>
  <c r="F601" i="9" s="1"/>
  <c r="F600" i="9" s="1"/>
  <c r="F599" i="9" s="1"/>
  <c r="F598" i="9" s="1"/>
  <c r="H427" i="7"/>
  <c r="H426" i="7" s="1"/>
  <c r="H425" i="7" s="1"/>
  <c r="H424" i="7" s="1"/>
  <c r="F427" i="7"/>
  <c r="F426" i="7" s="1"/>
  <c r="F425" i="7" s="1"/>
  <c r="F424" i="7" s="1"/>
  <c r="AF275" i="2"/>
  <c r="AF274" i="2" s="1"/>
  <c r="AF273" i="2" s="1"/>
  <c r="AE275" i="2"/>
  <c r="AE274" i="2" s="1"/>
  <c r="AE273" i="2" s="1"/>
  <c r="AD275" i="2"/>
  <c r="AD274" i="2" s="1"/>
  <c r="AD273" i="2" s="1"/>
  <c r="G479" i="7"/>
  <c r="G478" i="7" s="1"/>
  <c r="G477" i="7" s="1"/>
  <c r="G470" i="7" s="1"/>
  <c r="E366" i="9"/>
  <c r="E365" i="9" s="1"/>
  <c r="E364" i="9" s="1"/>
  <c r="E363" i="9" s="1"/>
  <c r="E356" i="9" s="1"/>
  <c r="E355" i="9" s="1"/>
  <c r="J902" i="7"/>
  <c r="J901" i="7" s="1"/>
  <c r="J900" i="7" s="1"/>
  <c r="J899" i="7" s="1"/>
  <c r="J898" i="7" s="1"/>
  <c r="J891" i="7" s="1"/>
  <c r="H902" i="7"/>
  <c r="F902" i="7"/>
  <c r="D315" i="9" s="1"/>
  <c r="AE496" i="2"/>
  <c r="AE495" i="2" s="1"/>
  <c r="AE494" i="2" s="1"/>
  <c r="AE493" i="2" s="1"/>
  <c r="AE486" i="2" s="1"/>
  <c r="AF496" i="2"/>
  <c r="AF495" i="2" s="1"/>
  <c r="AF494" i="2" s="1"/>
  <c r="AF493" i="2" s="1"/>
  <c r="AF486" i="2" s="1"/>
  <c r="AD496" i="2"/>
  <c r="AD495" i="2" s="1"/>
  <c r="AD494" i="2" s="1"/>
  <c r="AD493" i="2" s="1"/>
  <c r="AD486" i="2" s="1"/>
  <c r="G469" i="7" l="1"/>
  <c r="G468" i="7" s="1"/>
  <c r="G467" i="7" s="1"/>
  <c r="H901" i="7"/>
  <c r="H900" i="7" s="1"/>
  <c r="H899" i="7" s="1"/>
  <c r="H898" i="7" s="1"/>
  <c r="H891" i="7" s="1"/>
  <c r="F315" i="9"/>
  <c r="F901" i="7"/>
  <c r="F900" i="7" s="1"/>
  <c r="F899" i="7" s="1"/>
  <c r="F898" i="7" s="1"/>
  <c r="F891" i="7" s="1"/>
  <c r="D601" i="9"/>
  <c r="D600" i="9" s="1"/>
  <c r="D599" i="9" s="1"/>
  <c r="D598" i="9" s="1"/>
  <c r="E601" i="9"/>
  <c r="E600" i="9" s="1"/>
  <c r="E599" i="9" s="1"/>
  <c r="E598" i="9" s="1"/>
  <c r="J426" i="7"/>
  <c r="J425" i="7" s="1"/>
  <c r="J424" i="7" s="1"/>
  <c r="H479" i="7"/>
  <c r="H478" i="7" s="1"/>
  <c r="H477" i="7" s="1"/>
  <c r="H470" i="7" s="1"/>
  <c r="J271" i="7"/>
  <c r="J270" i="7" s="1"/>
  <c r="J269" i="7" s="1"/>
  <c r="J268" i="7" s="1"/>
  <c r="H271" i="7"/>
  <c r="E780" i="9" s="1"/>
  <c r="E779" i="9" s="1"/>
  <c r="F271" i="7"/>
  <c r="F270" i="7" s="1"/>
  <c r="F269" i="7" s="1"/>
  <c r="F268" i="7" s="1"/>
  <c r="AD155" i="2"/>
  <c r="AD154" i="2" s="1"/>
  <c r="AD153" i="2" s="1"/>
  <c r="AF155" i="2"/>
  <c r="AF154" i="2" s="1"/>
  <c r="AF153" i="2" s="1"/>
  <c r="AE155" i="2"/>
  <c r="AE154" i="2" s="1"/>
  <c r="AE153" i="2" s="1"/>
  <c r="AD374" i="2"/>
  <c r="AD93" i="2"/>
  <c r="F640" i="7"/>
  <c r="J640" i="7"/>
  <c r="J639" i="7" s="1"/>
  <c r="H640" i="7"/>
  <c r="H639" i="7" s="1"/>
  <c r="AE1073" i="2"/>
  <c r="AF1073" i="2"/>
  <c r="H469" i="7" l="1"/>
  <c r="H468" i="7" s="1"/>
  <c r="H467" i="7" s="1"/>
  <c r="F780" i="9"/>
  <c r="F779" i="9" s="1"/>
  <c r="D780" i="9"/>
  <c r="D778" i="9" s="1"/>
  <c r="D777" i="9" s="1"/>
  <c r="H270" i="7"/>
  <c r="H269" i="7" s="1"/>
  <c r="H268" i="7" s="1"/>
  <c r="E778" i="9"/>
  <c r="E777" i="9" s="1"/>
  <c r="AD1073" i="2"/>
  <c r="F708" i="9"/>
  <c r="F707" i="9" s="1"/>
  <c r="E708" i="9"/>
  <c r="E707" i="9" s="1"/>
  <c r="F639" i="7"/>
  <c r="D708" i="9"/>
  <c r="D707" i="9" s="1"/>
  <c r="F479" i="7" l="1"/>
  <c r="F478" i="7" s="1"/>
  <c r="F477" i="7" s="1"/>
  <c r="F470" i="7" s="1"/>
  <c r="D366" i="9"/>
  <c r="D365" i="9" s="1"/>
  <c r="D364" i="9" s="1"/>
  <c r="D363" i="9" s="1"/>
  <c r="D356" i="9" s="1"/>
  <c r="D355" i="9" s="1"/>
  <c r="J479" i="7"/>
  <c r="J478" i="7" s="1"/>
  <c r="J477" i="7" s="1"/>
  <c r="J470" i="7" s="1"/>
  <c r="F366" i="9"/>
  <c r="F365" i="9" s="1"/>
  <c r="F364" i="9" s="1"/>
  <c r="F363" i="9" s="1"/>
  <c r="F356" i="9" s="1"/>
  <c r="F355" i="9" s="1"/>
  <c r="F778" i="9"/>
  <c r="F777" i="9" s="1"/>
  <c r="D779" i="9"/>
  <c r="J469" i="7" l="1"/>
  <c r="J468" i="7" s="1"/>
  <c r="J467" i="7" s="1"/>
  <c r="F469" i="7"/>
  <c r="F468" i="7" s="1"/>
  <c r="F467" i="7" s="1"/>
  <c r="AD536" i="2"/>
  <c r="J978" i="7"/>
  <c r="F228" i="9" s="1"/>
  <c r="H978" i="7"/>
  <c r="E228" i="9" s="1"/>
  <c r="F978" i="7"/>
  <c r="D228" i="9" s="1"/>
  <c r="H784" i="7"/>
  <c r="J784" i="7"/>
  <c r="F784" i="7"/>
  <c r="AE425" i="2"/>
  <c r="AF425" i="2"/>
  <c r="AD425" i="2"/>
  <c r="AD865" i="2"/>
  <c r="AE92" i="2"/>
  <c r="AF92" i="2"/>
  <c r="AF91" i="2"/>
  <c r="AE91" i="2"/>
  <c r="G837" i="7"/>
  <c r="F314" i="9" l="1"/>
  <c r="D314" i="9"/>
  <c r="E314" i="9"/>
  <c r="J799" i="7"/>
  <c r="F161" i="9" s="1"/>
  <c r="F160" i="9" s="1"/>
  <c r="H799" i="7"/>
  <c r="E161" i="9" s="1"/>
  <c r="E160" i="9" s="1"/>
  <c r="F799" i="7"/>
  <c r="F798" i="7" s="1"/>
  <c r="AE833" i="2"/>
  <c r="AF833" i="2"/>
  <c r="AD833" i="2"/>
  <c r="J202" i="7"/>
  <c r="J201" i="7" s="1"/>
  <c r="H202" i="7"/>
  <c r="H201" i="7" s="1"/>
  <c r="F202" i="7"/>
  <c r="D402" i="9" s="1"/>
  <c r="D401" i="9" s="1"/>
  <c r="AE672" i="2"/>
  <c r="AF672" i="2"/>
  <c r="AD672" i="2"/>
  <c r="J494" i="7"/>
  <c r="F287" i="9" s="1"/>
  <c r="F286" i="9" s="1"/>
  <c r="H494" i="7"/>
  <c r="H493" i="7" s="1"/>
  <c r="F494" i="7"/>
  <c r="D287" i="9" s="1"/>
  <c r="D286" i="9" s="1"/>
  <c r="AE328" i="2"/>
  <c r="AF328" i="2"/>
  <c r="AD328" i="2"/>
  <c r="J328" i="7"/>
  <c r="J327" i="7" s="1"/>
  <c r="H328" i="7"/>
  <c r="H327" i="7" s="1"/>
  <c r="F328" i="7"/>
  <c r="D329" i="9" s="1"/>
  <c r="D328" i="9" s="1"/>
  <c r="AE210" i="2"/>
  <c r="AF210" i="2"/>
  <c r="AD210" i="2"/>
  <c r="J231" i="7"/>
  <c r="J230" i="7" s="1"/>
  <c r="H231" i="7"/>
  <c r="E468" i="9" s="1"/>
  <c r="E467" i="9" s="1"/>
  <c r="F231" i="7"/>
  <c r="F230" i="7" s="1"/>
  <c r="J798" i="7" l="1"/>
  <c r="D161" i="9"/>
  <c r="D160" i="9" s="1"/>
  <c r="H798" i="7"/>
  <c r="F402" i="9"/>
  <c r="F401" i="9" s="1"/>
  <c r="J493" i="7"/>
  <c r="F201" i="7"/>
  <c r="E402" i="9"/>
  <c r="E401" i="9" s="1"/>
  <c r="F493" i="7"/>
  <c r="E287" i="9"/>
  <c r="E286" i="9" s="1"/>
  <c r="D468" i="9"/>
  <c r="D467" i="9" s="1"/>
  <c r="E329" i="9"/>
  <c r="E328" i="9" s="1"/>
  <c r="F327" i="7"/>
  <c r="F329" i="9"/>
  <c r="F328" i="9" s="1"/>
  <c r="H230" i="7"/>
  <c r="F468" i="9"/>
  <c r="F467" i="9" s="1"/>
  <c r="AE115" i="2"/>
  <c r="AF115" i="2"/>
  <c r="AD115" i="2"/>
  <c r="J87" i="7"/>
  <c r="F426" i="9" s="1"/>
  <c r="F425" i="9" s="1"/>
  <c r="H87" i="7"/>
  <c r="E426" i="9" s="1"/>
  <c r="E425" i="9" s="1"/>
  <c r="F87" i="7"/>
  <c r="D426" i="9" s="1"/>
  <c r="D425" i="9" s="1"/>
  <c r="AE57" i="2"/>
  <c r="AF57" i="2"/>
  <c r="AD57" i="2"/>
  <c r="F86" i="7" l="1"/>
  <c r="J86" i="7"/>
  <c r="H86" i="7"/>
  <c r="J185" i="7"/>
  <c r="F382" i="9" s="1"/>
  <c r="H185" i="7"/>
  <c r="E382" i="9" s="1"/>
  <c r="F185" i="7"/>
  <c r="D382" i="9" s="1"/>
  <c r="AD92" i="2"/>
  <c r="AD171" i="2" l="1"/>
  <c r="J977" i="7"/>
  <c r="F227" i="9" s="1"/>
  <c r="F226" i="9" s="1"/>
  <c r="H977" i="7"/>
  <c r="E227" i="9" s="1"/>
  <c r="E226" i="9" s="1"/>
  <c r="F977" i="7"/>
  <c r="AE536" i="2"/>
  <c r="AF536" i="2"/>
  <c r="AD91" i="2"/>
  <c r="F182" i="7" s="1"/>
  <c r="J234" i="7"/>
  <c r="J233" i="7" s="1"/>
  <c r="H234" i="7"/>
  <c r="H233" i="7" s="1"/>
  <c r="F234" i="7"/>
  <c r="F233" i="7" s="1"/>
  <c r="J236" i="7"/>
  <c r="J235" i="7" s="1"/>
  <c r="H236" i="7"/>
  <c r="H235" i="7" s="1"/>
  <c r="F236" i="7"/>
  <c r="F235" i="7" s="1"/>
  <c r="AF120" i="2"/>
  <c r="AE120" i="2"/>
  <c r="AD120" i="2"/>
  <c r="AF118" i="2"/>
  <c r="AE118" i="2"/>
  <c r="AD118" i="2"/>
  <c r="AD117" i="2" l="1"/>
  <c r="J232" i="7"/>
  <c r="F232" i="7"/>
  <c r="H232" i="7"/>
  <c r="D227" i="9"/>
  <c r="D226" i="9" s="1"/>
  <c r="F976" i="7"/>
  <c r="AE117" i="2"/>
  <c r="J976" i="7"/>
  <c r="H976" i="7"/>
  <c r="E473" i="9"/>
  <c r="E472" i="9" s="1"/>
  <c r="F473" i="9"/>
  <c r="F472" i="9" s="1"/>
  <c r="F471" i="9"/>
  <c r="F470" i="9" s="1"/>
  <c r="D473" i="9"/>
  <c r="D472" i="9" s="1"/>
  <c r="E471" i="9"/>
  <c r="E470" i="9" s="1"/>
  <c r="AF117" i="2"/>
  <c r="D471" i="9"/>
  <c r="D470" i="9" s="1"/>
  <c r="E469" i="9" l="1"/>
  <c r="D469" i="9"/>
  <c r="F469" i="9"/>
  <c r="J625" i="7"/>
  <c r="F636" i="9" s="1"/>
  <c r="F635" i="9" s="1"/>
  <c r="H625" i="7"/>
  <c r="E636" i="9" s="1"/>
  <c r="E635" i="9" s="1"/>
  <c r="F625" i="7"/>
  <c r="F624" i="7" s="1"/>
  <c r="AE375" i="2"/>
  <c r="AF375" i="2"/>
  <c r="AD375" i="2"/>
  <c r="J624" i="7" l="1"/>
  <c r="H624" i="7"/>
  <c r="D636" i="9"/>
  <c r="D635" i="9" s="1"/>
  <c r="F548" i="7"/>
  <c r="E496" i="9"/>
  <c r="E495" i="9" s="1"/>
  <c r="E491" i="9" s="1"/>
  <c r="F496" i="9"/>
  <c r="F495" i="9" s="1"/>
  <c r="J547" i="7"/>
  <c r="J546" i="7" s="1"/>
  <c r="J508" i="7"/>
  <c r="J507" i="7" s="1"/>
  <c r="H547" i="7"/>
  <c r="H546" i="7" s="1"/>
  <c r="H508" i="7"/>
  <c r="H507" i="7" s="1"/>
  <c r="AE1015" i="2"/>
  <c r="AE1014" i="2" s="1"/>
  <c r="AF1015" i="2"/>
  <c r="AF1014" i="2" s="1"/>
  <c r="AE976" i="2"/>
  <c r="AE975" i="2" s="1"/>
  <c r="AF976" i="2"/>
  <c r="AF975" i="2" s="1"/>
  <c r="AD1015" i="2"/>
  <c r="AD1014" i="2" s="1"/>
  <c r="AD976" i="2"/>
  <c r="AD975" i="2" s="1"/>
  <c r="J503" i="7" l="1"/>
  <c r="J502" i="7" s="1"/>
  <c r="J501" i="7" s="1"/>
  <c r="AD971" i="2"/>
  <c r="AE971" i="2"/>
  <c r="AE970" i="2" s="1"/>
  <c r="AE969" i="2" s="1"/>
  <c r="AE968" i="2" s="1"/>
  <c r="F547" i="7"/>
  <c r="F546" i="7" s="1"/>
  <c r="D536" i="9"/>
  <c r="D535" i="9" s="1"/>
  <c r="D534" i="9" s="1"/>
  <c r="AF971" i="2"/>
  <c r="AF970" i="2" s="1"/>
  <c r="AF969" i="2" s="1"/>
  <c r="AF968" i="2" s="1"/>
  <c r="F491" i="9"/>
  <c r="F490" i="9" s="1"/>
  <c r="F489" i="9" s="1"/>
  <c r="H503" i="7"/>
  <c r="H502" i="7" s="1"/>
  <c r="H501" i="7" s="1"/>
  <c r="F508" i="7"/>
  <c r="F507" i="7" s="1"/>
  <c r="D496" i="9"/>
  <c r="D495" i="9" s="1"/>
  <c r="E490" i="9"/>
  <c r="E489" i="9" s="1"/>
  <c r="D491" i="9" l="1"/>
  <c r="D490" i="9" s="1"/>
  <c r="D489" i="9" s="1"/>
  <c r="F503" i="7"/>
  <c r="AD970" i="2"/>
  <c r="AD969" i="2" s="1"/>
  <c r="AD968" i="2" s="1"/>
  <c r="AF741" i="2"/>
  <c r="AE741" i="2"/>
  <c r="J182" i="7"/>
  <c r="H182" i="7"/>
  <c r="J184" i="7"/>
  <c r="J183" i="7" s="1"/>
  <c r="H184" i="7"/>
  <c r="H183" i="7" s="1"/>
  <c r="F184" i="7"/>
  <c r="F183" i="7" s="1"/>
  <c r="AF90" i="2"/>
  <c r="AE90" i="2"/>
  <c r="AD90" i="2"/>
  <c r="J748" i="7"/>
  <c r="H748" i="7"/>
  <c r="H746" i="7" s="1"/>
  <c r="F748" i="7"/>
  <c r="F747" i="7" s="1"/>
  <c r="E142" i="9"/>
  <c r="E140" i="9" s="1"/>
  <c r="D142" i="9"/>
  <c r="D140" i="9" s="1"/>
  <c r="F502" i="7" l="1"/>
  <c r="F501" i="7" s="1"/>
  <c r="J746" i="7"/>
  <c r="F142" i="9"/>
  <c r="D381" i="9"/>
  <c r="D380" i="9" s="1"/>
  <c r="F381" i="9"/>
  <c r="F380" i="9" s="1"/>
  <c r="E381" i="9"/>
  <c r="E380" i="9" s="1"/>
  <c r="J747" i="7"/>
  <c r="F746" i="7"/>
  <c r="H747" i="7"/>
  <c r="D141" i="9"/>
  <c r="E141" i="9"/>
  <c r="J741" i="7" l="1"/>
  <c r="F71" i="9" s="1"/>
  <c r="F70" i="9" s="1"/>
  <c r="F69" i="9" s="1"/>
  <c r="F68" i="9" s="1"/>
  <c r="F67" i="9" s="1"/>
  <c r="H741" i="7"/>
  <c r="H740" i="7" s="1"/>
  <c r="H739" i="7" s="1"/>
  <c r="H738" i="7" s="1"/>
  <c r="H737" i="7" s="1"/>
  <c r="F741" i="7"/>
  <c r="D71" i="9" s="1"/>
  <c r="D70" i="9" s="1"/>
  <c r="D69" i="9" s="1"/>
  <c r="D68" i="9" s="1"/>
  <c r="D67" i="9" s="1"/>
  <c r="AE393" i="2"/>
  <c r="AE392" i="2" s="1"/>
  <c r="AE391" i="2" s="1"/>
  <c r="AE390" i="2" s="1"/>
  <c r="AF393" i="2"/>
  <c r="AF392" i="2" s="1"/>
  <c r="AF391" i="2" s="1"/>
  <c r="AF390" i="2" s="1"/>
  <c r="AD393" i="2"/>
  <c r="AD392" i="2" s="1"/>
  <c r="AD391" i="2" s="1"/>
  <c r="AD390" i="2" s="1"/>
  <c r="J837" i="7"/>
  <c r="J836" i="7" s="1"/>
  <c r="J835" i="7" s="1"/>
  <c r="J840" i="7"/>
  <c r="J839" i="7" s="1"/>
  <c r="J838" i="7" s="1"/>
  <c r="F840" i="7"/>
  <c r="F839" i="7" s="1"/>
  <c r="F838" i="7" s="1"/>
  <c r="J843" i="7"/>
  <c r="J842" i="7" s="1"/>
  <c r="J841" i="7" s="1"/>
  <c r="F843" i="7"/>
  <c r="F842" i="7" s="1"/>
  <c r="F841" i="7" s="1"/>
  <c r="I842" i="7"/>
  <c r="I841" i="7" s="1"/>
  <c r="I839" i="7"/>
  <c r="I838" i="7" s="1"/>
  <c r="I835" i="7"/>
  <c r="G836" i="7"/>
  <c r="G835" i="7" s="1"/>
  <c r="AE871" i="2"/>
  <c r="AE870" i="2" s="1"/>
  <c r="AE869" i="2" s="1"/>
  <c r="AF870" i="2"/>
  <c r="AF869" i="2" s="1"/>
  <c r="AD870" i="2"/>
  <c r="AD869" i="2" s="1"/>
  <c r="AE868" i="2"/>
  <c r="AE867" i="2" s="1"/>
  <c r="AE866" i="2" s="1"/>
  <c r="AF867" i="2"/>
  <c r="AF866" i="2" s="1"/>
  <c r="AD867" i="2"/>
  <c r="AD866" i="2" s="1"/>
  <c r="AE864" i="2"/>
  <c r="AE863" i="2" s="1"/>
  <c r="AD864" i="2"/>
  <c r="AD863" i="2" s="1"/>
  <c r="AF864" i="2"/>
  <c r="AF863" i="2" s="1"/>
  <c r="AF862" i="2" l="1"/>
  <c r="AD862" i="2"/>
  <c r="AE862" i="2"/>
  <c r="I834" i="7"/>
  <c r="I833" i="7" s="1"/>
  <c r="I832" i="7" s="1"/>
  <c r="G834" i="7"/>
  <c r="G833" i="7" s="1"/>
  <c r="G832" i="7" s="1"/>
  <c r="J834" i="7"/>
  <c r="J833" i="7" s="1"/>
  <c r="J832" i="7" s="1"/>
  <c r="F740" i="7"/>
  <c r="F739" i="7" s="1"/>
  <c r="F738" i="7" s="1"/>
  <c r="F737" i="7" s="1"/>
  <c r="E71" i="9"/>
  <c r="E70" i="9" s="1"/>
  <c r="E69" i="9" s="1"/>
  <c r="E68" i="9" s="1"/>
  <c r="E67" i="9" s="1"/>
  <c r="J740" i="7"/>
  <c r="J739" i="7" s="1"/>
  <c r="J738" i="7" s="1"/>
  <c r="J737" i="7" s="1"/>
  <c r="H843" i="7"/>
  <c r="H842" i="7" s="1"/>
  <c r="H841" i="7" s="1"/>
  <c r="H840" i="7"/>
  <c r="H839" i="7" s="1"/>
  <c r="H838" i="7" s="1"/>
  <c r="F837" i="7"/>
  <c r="F836" i="7" s="1"/>
  <c r="F835" i="7" s="1"/>
  <c r="H837" i="7"/>
  <c r="H836" i="7" s="1"/>
  <c r="H835" i="7" s="1"/>
  <c r="D619" i="9"/>
  <c r="F613" i="9"/>
  <c r="F616" i="9"/>
  <c r="F619" i="9"/>
  <c r="D616" i="9"/>
  <c r="F834" i="7" l="1"/>
  <c r="F833" i="7" s="1"/>
  <c r="F832" i="7" s="1"/>
  <c r="H834" i="7"/>
  <c r="H833" i="7" s="1"/>
  <c r="H832" i="7" s="1"/>
  <c r="E619" i="9"/>
  <c r="D613" i="9"/>
  <c r="E616" i="9"/>
  <c r="E613" i="9"/>
  <c r="AF861" i="2"/>
  <c r="AF860" i="2" s="1"/>
  <c r="AE861" i="2"/>
  <c r="AE860" i="2" s="1"/>
  <c r="AD861" i="2"/>
  <c r="AD860" i="2" s="1"/>
  <c r="J431" i="7"/>
  <c r="J430" i="7" s="1"/>
  <c r="J429" i="7" s="1"/>
  <c r="J428" i="7" s="1"/>
  <c r="H431" i="7"/>
  <c r="E605" i="9" s="1"/>
  <c r="E604" i="9" s="1"/>
  <c r="E603" i="9" s="1"/>
  <c r="E602" i="9" s="1"/>
  <c r="F431" i="7"/>
  <c r="D605" i="9" s="1"/>
  <c r="D604" i="9" s="1"/>
  <c r="D603" i="9" s="1"/>
  <c r="D602" i="9" s="1"/>
  <c r="AD279" i="2"/>
  <c r="AD278" i="2" s="1"/>
  <c r="AD277" i="2" s="1"/>
  <c r="AF279" i="2"/>
  <c r="AF278" i="2" s="1"/>
  <c r="AF277" i="2" s="1"/>
  <c r="AE279" i="2"/>
  <c r="AE278" i="2" s="1"/>
  <c r="AE277" i="2" s="1"/>
  <c r="F605" i="9" l="1"/>
  <c r="F604" i="9" s="1"/>
  <c r="F603" i="9" s="1"/>
  <c r="F602" i="9" s="1"/>
  <c r="H430" i="7"/>
  <c r="H429" i="7" s="1"/>
  <c r="H428" i="7" s="1"/>
  <c r="F430" i="7"/>
  <c r="F429" i="7" s="1"/>
  <c r="F428" i="7" s="1"/>
  <c r="J942" i="7"/>
  <c r="F335" i="9" s="1"/>
  <c r="F334" i="9" s="1"/>
  <c r="F333" i="9" s="1"/>
  <c r="H942" i="7"/>
  <c r="H941" i="7" s="1"/>
  <c r="H940" i="7" s="1"/>
  <c r="F942" i="7"/>
  <c r="D335" i="9" s="1"/>
  <c r="D334" i="9" s="1"/>
  <c r="D333" i="9" s="1"/>
  <c r="AE1134" i="2"/>
  <c r="AE1133" i="2" s="1"/>
  <c r="AF1134" i="2"/>
  <c r="AF1133" i="2" s="1"/>
  <c r="AD1134" i="2"/>
  <c r="AD1133" i="2" s="1"/>
  <c r="F941" i="7" l="1"/>
  <c r="F940" i="7" s="1"/>
  <c r="J941" i="7"/>
  <c r="J940" i="7" s="1"/>
  <c r="E335" i="9"/>
  <c r="E334" i="9" s="1"/>
  <c r="E333" i="9" s="1"/>
  <c r="J423" i="7"/>
  <c r="F597" i="9" s="1"/>
  <c r="F596" i="9" s="1"/>
  <c r="F595" i="9" s="1"/>
  <c r="F594" i="9" s="1"/>
  <c r="H423" i="7"/>
  <c r="E597" i="9" s="1"/>
  <c r="E596" i="9" s="1"/>
  <c r="E595" i="9" s="1"/>
  <c r="E594" i="9" s="1"/>
  <c r="F423" i="7"/>
  <c r="F422" i="7" s="1"/>
  <c r="F421" i="7" s="1"/>
  <c r="F420" i="7" s="1"/>
  <c r="AE271" i="2"/>
  <c r="AE270" i="2" s="1"/>
  <c r="AE269" i="2" s="1"/>
  <c r="AE268" i="2" s="1"/>
  <c r="AD271" i="2"/>
  <c r="AD270" i="2" s="1"/>
  <c r="AD269" i="2" s="1"/>
  <c r="AD268" i="2" s="1"/>
  <c r="AF271" i="2"/>
  <c r="AF270" i="2" s="1"/>
  <c r="AF269" i="2" s="1"/>
  <c r="AF268" i="2" s="1"/>
  <c r="J422" i="7" l="1"/>
  <c r="J421" i="7" s="1"/>
  <c r="J420" i="7" s="1"/>
  <c r="D597" i="9"/>
  <c r="D596" i="9" s="1"/>
  <c r="D595" i="9" s="1"/>
  <c r="D594" i="9" s="1"/>
  <c r="H422" i="7"/>
  <c r="H421" i="7" s="1"/>
  <c r="H420" i="7" s="1"/>
  <c r="J972" i="7"/>
  <c r="J971" i="7" s="1"/>
  <c r="J970" i="7" s="1"/>
  <c r="H972" i="7"/>
  <c r="E222" i="9" s="1"/>
  <c r="E221" i="9" s="1"/>
  <c r="E220" i="9" s="1"/>
  <c r="F972" i="7"/>
  <c r="D222" i="9" s="1"/>
  <c r="D221" i="9" s="1"/>
  <c r="D220" i="9" s="1"/>
  <c r="H971" i="7" l="1"/>
  <c r="H970" i="7" s="1"/>
  <c r="F971" i="7"/>
  <c r="F970" i="7" s="1"/>
  <c r="F222" i="9"/>
  <c r="F221" i="9" s="1"/>
  <c r="F220" i="9" s="1"/>
  <c r="AF1035" i="2"/>
  <c r="AE1145" i="2"/>
  <c r="AE1144" i="2" s="1"/>
  <c r="AE1143" i="2" s="1"/>
  <c r="AE1142" i="2" s="1"/>
  <c r="AE1141" i="2" s="1"/>
  <c r="AE1140" i="2" s="1"/>
  <c r="AE1139" i="2" s="1"/>
  <c r="AF1145" i="2"/>
  <c r="AF1144" i="2" s="1"/>
  <c r="AF1143" i="2" s="1"/>
  <c r="AF1142" i="2" s="1"/>
  <c r="AF1141" i="2" s="1"/>
  <c r="AF1140" i="2" s="1"/>
  <c r="AF1139" i="2" s="1"/>
  <c r="AD1145" i="2"/>
  <c r="AD1144" i="2" s="1"/>
  <c r="AD1143" i="2" s="1"/>
  <c r="AD1142" i="2" s="1"/>
  <c r="AD1141" i="2" s="1"/>
  <c r="AD1140" i="2" s="1"/>
  <c r="AD1139" i="2" s="1"/>
  <c r="AF729" i="2" l="1"/>
  <c r="AD729" i="2"/>
  <c r="I435" i="7" l="1"/>
  <c r="K435" i="7"/>
  <c r="G569" i="7" l="1"/>
  <c r="K569" i="7"/>
  <c r="G566" i="7" l="1"/>
  <c r="G565" i="7" s="1"/>
  <c r="J567" i="7"/>
  <c r="H567" i="7"/>
  <c r="E670" i="9" s="1"/>
  <c r="E669" i="9" s="1"/>
  <c r="E668" i="9" s="1"/>
  <c r="F567" i="7"/>
  <c r="K568" i="7"/>
  <c r="K564" i="7" s="1"/>
  <c r="G568" i="7"/>
  <c r="J570" i="7"/>
  <c r="H570" i="7"/>
  <c r="F570" i="7"/>
  <c r="AE1034" i="2"/>
  <c r="AE1033" i="2" s="1"/>
  <c r="AF1034" i="2"/>
  <c r="AF1033" i="2" s="1"/>
  <c r="AD1034" i="2"/>
  <c r="AD1033" i="2" s="1"/>
  <c r="AE1031" i="2"/>
  <c r="AE1030" i="2" s="1"/>
  <c r="AF1031" i="2"/>
  <c r="AF1030" i="2" s="1"/>
  <c r="AD1031" i="2"/>
  <c r="AD1030" i="2" s="1"/>
  <c r="K550" i="7" l="1"/>
  <c r="K549" i="7" s="1"/>
  <c r="K481" i="7" s="1"/>
  <c r="G564" i="7"/>
  <c r="AE1029" i="2"/>
  <c r="AE1018" i="2" s="1"/>
  <c r="AD1029" i="2"/>
  <c r="AD1018" i="2" s="1"/>
  <c r="AF1029" i="2"/>
  <c r="AF1018" i="2" s="1"/>
  <c r="F673" i="9"/>
  <c r="F672" i="9" s="1"/>
  <c r="F671" i="9" s="1"/>
  <c r="J569" i="7"/>
  <c r="J568" i="7" s="1"/>
  <c r="J566" i="7"/>
  <c r="J565" i="7" s="1"/>
  <c r="F670" i="9"/>
  <c r="F669" i="9" s="1"/>
  <c r="F668" i="9" s="1"/>
  <c r="F569" i="7"/>
  <c r="F568" i="7" s="1"/>
  <c r="D673" i="9"/>
  <c r="D672" i="9" s="1"/>
  <c r="D671" i="9" s="1"/>
  <c r="H566" i="7"/>
  <c r="H565" i="7" s="1"/>
  <c r="E673" i="9"/>
  <c r="E672" i="9" s="1"/>
  <c r="E671" i="9" s="1"/>
  <c r="H569" i="7"/>
  <c r="H568" i="7" s="1"/>
  <c r="F566" i="7"/>
  <c r="F565" i="7" s="1"/>
  <c r="D670" i="9"/>
  <c r="D669" i="9" s="1"/>
  <c r="D668" i="9" s="1"/>
  <c r="D667" i="9" l="1"/>
  <c r="F667" i="9"/>
  <c r="E667" i="9"/>
  <c r="G550" i="7"/>
  <c r="G549" i="7" s="1"/>
  <c r="G481" i="7" s="1"/>
  <c r="F564" i="7"/>
  <c r="J564" i="7"/>
  <c r="H564" i="7"/>
  <c r="AE729" i="2"/>
  <c r="AF744" i="2"/>
  <c r="AE744" i="2"/>
  <c r="AF761" i="2"/>
  <c r="AE761" i="2"/>
  <c r="AD807" i="2" l="1"/>
  <c r="I817" i="7" l="1"/>
  <c r="J818" i="7"/>
  <c r="J817" i="7" s="1"/>
  <c r="H818" i="7"/>
  <c r="E204" i="9" s="1"/>
  <c r="E203" i="9" s="1"/>
  <c r="F818" i="7"/>
  <c r="F817" i="7" s="1"/>
  <c r="AF439" i="2"/>
  <c r="AE439" i="2"/>
  <c r="AF853" i="2"/>
  <c r="AE853" i="2"/>
  <c r="J487" i="7"/>
  <c r="J486" i="7" s="1"/>
  <c r="J485" i="7" s="1"/>
  <c r="J484" i="7" s="1"/>
  <c r="H487" i="7"/>
  <c r="H486" i="7" s="1"/>
  <c r="H485" i="7" s="1"/>
  <c r="H484" i="7" s="1"/>
  <c r="F487" i="7"/>
  <c r="F486" i="7" s="1"/>
  <c r="F485" i="7" s="1"/>
  <c r="F484" i="7" s="1"/>
  <c r="J873" i="7"/>
  <c r="J872" i="7" s="1"/>
  <c r="H873" i="7"/>
  <c r="H872" i="7" s="1"/>
  <c r="F872" i="7"/>
  <c r="H267" i="7"/>
  <c r="E776" i="9" s="1"/>
  <c r="E775" i="9" s="1"/>
  <c r="E774" i="9" s="1"/>
  <c r="J267" i="7"/>
  <c r="J266" i="7" s="1"/>
  <c r="J265" i="7" s="1"/>
  <c r="J264" i="7" s="1"/>
  <c r="F266" i="7"/>
  <c r="F265" i="7" s="1"/>
  <c r="F264" i="7" s="1"/>
  <c r="D204" i="9" l="1"/>
  <c r="D203" i="9" s="1"/>
  <c r="H817" i="7"/>
  <c r="F204" i="9"/>
  <c r="F203" i="9" s="1"/>
  <c r="H266" i="7"/>
  <c r="H265" i="7" s="1"/>
  <c r="H264" i="7" s="1"/>
  <c r="D776" i="9"/>
  <c r="D775" i="9" s="1"/>
  <c r="D774" i="9" s="1"/>
  <c r="F776" i="9"/>
  <c r="F775" i="9" s="1"/>
  <c r="F774" i="9" s="1"/>
  <c r="H176" i="7" l="1"/>
  <c r="J356" i="7" l="1"/>
  <c r="H356" i="7"/>
  <c r="E269" i="9" s="1"/>
  <c r="F356" i="7"/>
  <c r="J352" i="7"/>
  <c r="J351" i="7" s="1"/>
  <c r="J350" i="7" s="1"/>
  <c r="J349" i="7" s="1"/>
  <c r="H352" i="7"/>
  <c r="F352" i="7"/>
  <c r="J348" i="7"/>
  <c r="F261" i="9" s="1"/>
  <c r="F260" i="9" s="1"/>
  <c r="F257" i="9" s="1"/>
  <c r="H348" i="7"/>
  <c r="E261" i="9" s="1"/>
  <c r="E260" i="9" s="1"/>
  <c r="F348" i="7"/>
  <c r="D261" i="9" s="1"/>
  <c r="D260" i="9" s="1"/>
  <c r="D257" i="9" s="1"/>
  <c r="J342" i="7"/>
  <c r="F253" i="9" s="1"/>
  <c r="H342" i="7"/>
  <c r="J334" i="7"/>
  <c r="J333" i="7" s="1"/>
  <c r="J332" i="7" s="1"/>
  <c r="J331" i="7" s="1"/>
  <c r="J330" i="7" s="1"/>
  <c r="J329" i="7" s="1"/>
  <c r="H334" i="7"/>
  <c r="H333" i="7" s="1"/>
  <c r="H332" i="7" s="1"/>
  <c r="H331" i="7" s="1"/>
  <c r="H330" i="7" s="1"/>
  <c r="H329" i="7" s="1"/>
  <c r="F334" i="7"/>
  <c r="F333" i="7" s="1"/>
  <c r="F332" i="7" s="1"/>
  <c r="F331" i="7" s="1"/>
  <c r="F330" i="7" s="1"/>
  <c r="F329" i="7" s="1"/>
  <c r="J326" i="7"/>
  <c r="H326" i="7"/>
  <c r="E327" i="9" s="1"/>
  <c r="F326" i="7"/>
  <c r="J324" i="7"/>
  <c r="F325" i="9" s="1"/>
  <c r="H324" i="7"/>
  <c r="F324" i="7"/>
  <c r="D325" i="9" s="1"/>
  <c r="J319" i="7"/>
  <c r="H319" i="7"/>
  <c r="H318" i="7" s="1"/>
  <c r="H317" i="7" s="1"/>
  <c r="F319" i="7"/>
  <c r="J312" i="7"/>
  <c r="F301" i="9" s="1"/>
  <c r="H312" i="7"/>
  <c r="F312" i="7"/>
  <c r="D301" i="9" s="1"/>
  <c r="J306" i="7"/>
  <c r="H306" i="7"/>
  <c r="E295" i="9" s="1"/>
  <c r="F306" i="7"/>
  <c r="J299" i="7"/>
  <c r="F320" i="9" s="1"/>
  <c r="H299" i="7"/>
  <c r="F299" i="7"/>
  <c r="F298" i="7" s="1"/>
  <c r="F297" i="7" s="1"/>
  <c r="F296" i="7" s="1"/>
  <c r="F295" i="7" s="1"/>
  <c r="J294" i="7"/>
  <c r="H294" i="7"/>
  <c r="E308" i="9" s="1"/>
  <c r="F294" i="7"/>
  <c r="F342" i="7"/>
  <c r="H316" i="7" l="1"/>
  <c r="H315" i="7" s="1"/>
  <c r="H325" i="7"/>
  <c r="J298" i="7"/>
  <c r="J297" i="7" s="1"/>
  <c r="J296" i="7" s="1"/>
  <c r="J295" i="7" s="1"/>
  <c r="J323" i="7"/>
  <c r="E313" i="9"/>
  <c r="J311" i="7"/>
  <c r="D320" i="9"/>
  <c r="J341" i="7"/>
  <c r="J340" i="7" s="1"/>
  <c r="H305" i="7"/>
  <c r="F341" i="7"/>
  <c r="F340" i="7" s="1"/>
  <c r="D253" i="9"/>
  <c r="F347" i="7"/>
  <c r="H351" i="7"/>
  <c r="H350" i="7" s="1"/>
  <c r="H349" i="7" s="1"/>
  <c r="F269" i="9"/>
  <c r="J355" i="7"/>
  <c r="J354" i="7" s="1"/>
  <c r="F293" i="7"/>
  <c r="F292" i="7" s="1"/>
  <c r="D308" i="9"/>
  <c r="E320" i="9"/>
  <c r="H298" i="7"/>
  <c r="H297" i="7" s="1"/>
  <c r="H296" i="7" s="1"/>
  <c r="H295" i="7" s="1"/>
  <c r="J305" i="7"/>
  <c r="F295" i="9"/>
  <c r="D313" i="9"/>
  <c r="F318" i="7"/>
  <c r="F317" i="7" s="1"/>
  <c r="H323" i="7"/>
  <c r="E325" i="9"/>
  <c r="J325" i="7"/>
  <c r="F327" i="9"/>
  <c r="E253" i="9"/>
  <c r="H341" i="7"/>
  <c r="H340" i="7" s="1"/>
  <c r="J347" i="7"/>
  <c r="F355" i="7"/>
  <c r="F354" i="7" s="1"/>
  <c r="D269" i="9"/>
  <c r="F308" i="9"/>
  <c r="J293" i="7"/>
  <c r="J292" i="7" s="1"/>
  <c r="F305" i="7"/>
  <c r="D295" i="9"/>
  <c r="H311" i="7"/>
  <c r="E301" i="9"/>
  <c r="F313" i="9"/>
  <c r="J318" i="7"/>
  <c r="J317" i="7" s="1"/>
  <c r="D327" i="9"/>
  <c r="F325" i="7"/>
  <c r="H355" i="7"/>
  <c r="H354" i="7" s="1"/>
  <c r="F351" i="7"/>
  <c r="F350" i="7" s="1"/>
  <c r="F349" i="7" s="1"/>
  <c r="H347" i="7"/>
  <c r="F323" i="7"/>
  <c r="F322" i="7" s="1"/>
  <c r="F311" i="7"/>
  <c r="H293" i="7"/>
  <c r="H292" i="7" s="1"/>
  <c r="H304" i="7" l="1"/>
  <c r="H303" i="7" s="1"/>
  <c r="J304" i="7"/>
  <c r="J303" i="7" s="1"/>
  <c r="F304" i="7"/>
  <c r="F303" i="7" s="1"/>
  <c r="J344" i="7"/>
  <c r="J343" i="7" s="1"/>
  <c r="F344" i="7"/>
  <c r="F343" i="7" s="1"/>
  <c r="H310" i="7"/>
  <c r="H309" i="7" s="1"/>
  <c r="J310" i="7"/>
  <c r="J309" i="7" s="1"/>
  <c r="F310" i="7"/>
  <c r="F309" i="7" s="1"/>
  <c r="J339" i="7"/>
  <c r="J338" i="7" s="1"/>
  <c r="H339" i="7"/>
  <c r="H338" i="7" s="1"/>
  <c r="F339" i="7"/>
  <c r="F338" i="7" s="1"/>
  <c r="J316" i="7"/>
  <c r="J315" i="7" s="1"/>
  <c r="F316" i="7"/>
  <c r="F315" i="7" s="1"/>
  <c r="J322" i="7"/>
  <c r="J321" i="7" s="1"/>
  <c r="J320" i="7" s="1"/>
  <c r="H322" i="7"/>
  <c r="H321" i="7" s="1"/>
  <c r="H320" i="7" s="1"/>
  <c r="F321" i="7"/>
  <c r="F320" i="7" s="1"/>
  <c r="AD194" i="2"/>
  <c r="AF70" i="2"/>
  <c r="AE70" i="2"/>
  <c r="AE807" i="2"/>
  <c r="AF807" i="2"/>
  <c r="AE811" i="2"/>
  <c r="AF811" i="2"/>
  <c r="AD811" i="2"/>
  <c r="J302" i="7" l="1"/>
  <c r="J301" i="7" s="1"/>
  <c r="J300" i="7" s="1"/>
  <c r="F30" i="10" s="1"/>
  <c r="H302" i="7"/>
  <c r="H301" i="7" s="1"/>
  <c r="H300" i="7" s="1"/>
  <c r="E30" i="10" s="1"/>
  <c r="F302" i="7"/>
  <c r="F301" i="7" s="1"/>
  <c r="F300" i="7" s="1"/>
  <c r="D30" i="10" s="1"/>
  <c r="AD193" i="2"/>
  <c r="AD192" i="2" s="1"/>
  <c r="AE806" i="2"/>
  <c r="AF806" i="2"/>
  <c r="AD806" i="2"/>
  <c r="F372" i="7" l="1"/>
  <c r="H372" i="7"/>
  <c r="J372" i="7"/>
  <c r="AF513" i="2" l="1"/>
  <c r="J918" i="7" s="1"/>
  <c r="AE513" i="2"/>
  <c r="H918" i="7" s="1"/>
  <c r="AD513" i="2"/>
  <c r="F918" i="7" s="1"/>
  <c r="AF1212" i="2"/>
  <c r="AF1211" i="2" s="1"/>
  <c r="AF1210" i="2" s="1"/>
  <c r="AF1209" i="2" s="1"/>
  <c r="AF1208" i="2" s="1"/>
  <c r="AF1207" i="2" s="1"/>
  <c r="AF1206" i="2" s="1"/>
  <c r="AE1212" i="2"/>
  <c r="AE1211" i="2" s="1"/>
  <c r="AE1210" i="2" s="1"/>
  <c r="AE1209" i="2" s="1"/>
  <c r="AE1208" i="2" s="1"/>
  <c r="AE1207" i="2" s="1"/>
  <c r="AE1206" i="2" s="1"/>
  <c r="AD1212" i="2"/>
  <c r="AD1211" i="2" s="1"/>
  <c r="AD1210" i="2" s="1"/>
  <c r="AD1209" i="2" s="1"/>
  <c r="AD1208" i="2" s="1"/>
  <c r="AD1207" i="2" s="1"/>
  <c r="AD1206" i="2" s="1"/>
  <c r="G735" i="7" l="1"/>
  <c r="G734" i="7" s="1"/>
  <c r="G733" i="7" s="1"/>
  <c r="G732" i="7" s="1"/>
  <c r="G731" i="7" s="1"/>
  <c r="J736" i="7"/>
  <c r="H736" i="7"/>
  <c r="AE386" i="2"/>
  <c r="AE385" i="2" s="1"/>
  <c r="AF386" i="2"/>
  <c r="AF385" i="2" s="1"/>
  <c r="J735" i="7" l="1"/>
  <c r="J734" i="7" s="1"/>
  <c r="J733" i="7" s="1"/>
  <c r="J732" i="7" s="1"/>
  <c r="F66" i="9"/>
  <c r="H735" i="7"/>
  <c r="H734" i="7" s="1"/>
  <c r="H733" i="7" s="1"/>
  <c r="H732" i="7" s="1"/>
  <c r="E66" i="9"/>
  <c r="AD389" i="2"/>
  <c r="AD388" i="2" l="1"/>
  <c r="AD387" i="2" s="1"/>
  <c r="AD386" i="2" s="1"/>
  <c r="AD385" i="2" s="1"/>
  <c r="F736" i="7"/>
  <c r="F735" i="7" l="1"/>
  <c r="F734" i="7" s="1"/>
  <c r="F733" i="7" s="1"/>
  <c r="F732" i="7" s="1"/>
  <c r="D66" i="9"/>
  <c r="D65" i="9" s="1"/>
  <c r="D64" i="9" s="1"/>
  <c r="D63" i="9" s="1"/>
  <c r="D62" i="9" s="1"/>
  <c r="AF1138" i="2" l="1"/>
  <c r="AE1138" i="2"/>
  <c r="G394" i="7" l="1"/>
  <c r="G393" i="7" s="1"/>
  <c r="AF438" i="2" l="1"/>
  <c r="AF852" i="2"/>
  <c r="AF851" i="2" s="1"/>
  <c r="AF847" i="2" s="1"/>
  <c r="AE852" i="2"/>
  <c r="AE851" i="2" s="1"/>
  <c r="AE847" i="2" s="1"/>
  <c r="AE438" i="2"/>
  <c r="AF1102" i="2" l="1"/>
  <c r="AE1093" i="2"/>
  <c r="AE930" i="2" l="1"/>
  <c r="AF899" i="2"/>
  <c r="AF897" i="2"/>
  <c r="AF663" i="2"/>
  <c r="AF661" i="2"/>
  <c r="AE663" i="2"/>
  <c r="AE661" i="2"/>
  <c r="AF1050" i="2" l="1"/>
  <c r="AF1048" i="2"/>
  <c r="AE1050" i="2"/>
  <c r="AE1048" i="2"/>
  <c r="AD485" i="2" l="1"/>
  <c r="J395" i="7" l="1"/>
  <c r="AD1093" i="2"/>
  <c r="AD771" i="2"/>
  <c r="J995" i="7" l="1"/>
  <c r="J994" i="7" s="1"/>
  <c r="F240" i="9"/>
  <c r="J984" i="7"/>
  <c r="J983" i="7" s="1"/>
  <c r="J982" i="7" s="1"/>
  <c r="J975" i="7"/>
  <c r="F225" i="9" s="1"/>
  <c r="J965" i="7"/>
  <c r="F231" i="9" s="1"/>
  <c r="J957" i="7"/>
  <c r="F216" i="9" s="1"/>
  <c r="J950" i="7"/>
  <c r="F343" i="9" s="1"/>
  <c r="J936" i="7"/>
  <c r="J934" i="7"/>
  <c r="F98" i="9" s="1"/>
  <c r="J927" i="7"/>
  <c r="F178" i="9" s="1"/>
  <c r="J925" i="7"/>
  <c r="F176" i="9" s="1"/>
  <c r="F187" i="9"/>
  <c r="J910" i="7"/>
  <c r="J909" i="7" s="1"/>
  <c r="J908" i="7" s="1"/>
  <c r="J907" i="7" s="1"/>
  <c r="J906" i="7" s="1"/>
  <c r="J905" i="7" s="1"/>
  <c r="J904" i="7" s="1"/>
  <c r="J890" i="7"/>
  <c r="F195" i="9" s="1"/>
  <c r="J884" i="7"/>
  <c r="J883" i="7" s="1"/>
  <c r="J882" i="7" s="1"/>
  <c r="J881" i="7"/>
  <c r="J880" i="7" s="1"/>
  <c r="J879" i="7" s="1"/>
  <c r="J876" i="7"/>
  <c r="F53" i="9" s="1"/>
  <c r="J871" i="7"/>
  <c r="J870" i="7" s="1"/>
  <c r="J869" i="7" s="1"/>
  <c r="J862" i="7"/>
  <c r="F39" i="9" s="1"/>
  <c r="J859" i="7"/>
  <c r="F36" i="9" s="1"/>
  <c r="J854" i="7"/>
  <c r="F31" i="9" s="1"/>
  <c r="J831" i="7"/>
  <c r="J830" i="7" s="1"/>
  <c r="J829" i="7" s="1"/>
  <c r="J828" i="7" s="1"/>
  <c r="J827" i="7" s="1"/>
  <c r="J826" i="7" s="1"/>
  <c r="J825" i="7"/>
  <c r="F211" i="9" s="1"/>
  <c r="J820" i="7"/>
  <c r="F206" i="9" s="1"/>
  <c r="J808" i="7"/>
  <c r="F170" i="9" s="1"/>
  <c r="J805" i="7"/>
  <c r="F167" i="9" s="1"/>
  <c r="J802" i="7"/>
  <c r="J797" i="7"/>
  <c r="F159" i="9" s="1"/>
  <c r="J791" i="7"/>
  <c r="F102" i="9" s="1"/>
  <c r="F543" i="9"/>
  <c r="J782" i="7"/>
  <c r="F541" i="9" s="1"/>
  <c r="J776" i="7"/>
  <c r="J772" i="7"/>
  <c r="J771" i="7" s="1"/>
  <c r="J770" i="7" s="1"/>
  <c r="J769" i="7" s="1"/>
  <c r="J759" i="7"/>
  <c r="J757" i="7"/>
  <c r="F151" i="9" s="1"/>
  <c r="J756" i="7"/>
  <c r="F150" i="9" s="1"/>
  <c r="J755" i="7"/>
  <c r="J751" i="7"/>
  <c r="F145" i="9" s="1"/>
  <c r="J726" i="7"/>
  <c r="F721" i="9" s="1"/>
  <c r="J712" i="7"/>
  <c r="J711" i="7" s="1"/>
  <c r="J710" i="7" s="1"/>
  <c r="J709" i="7" s="1"/>
  <c r="J708" i="7" s="1"/>
  <c r="J707" i="7" s="1"/>
  <c r="J706" i="7" s="1"/>
  <c r="J705" i="7"/>
  <c r="J695" i="7"/>
  <c r="J691" i="7"/>
  <c r="F117" i="9" s="1"/>
  <c r="J685" i="7"/>
  <c r="F111" i="9" s="1"/>
  <c r="J682" i="7"/>
  <c r="F108" i="9" s="1"/>
  <c r="J674" i="7"/>
  <c r="F95" i="9" s="1"/>
  <c r="J671" i="7"/>
  <c r="F92" i="9" s="1"/>
  <c r="J668" i="7"/>
  <c r="J646" i="7"/>
  <c r="F714" i="9" s="1"/>
  <c r="J643" i="7"/>
  <c r="J638" i="7"/>
  <c r="F706" i="9" s="1"/>
  <c r="J631" i="7"/>
  <c r="F642" i="9" s="1"/>
  <c r="J628" i="7"/>
  <c r="F639" i="9" s="1"/>
  <c r="J623" i="7"/>
  <c r="F634" i="9" s="1"/>
  <c r="J617" i="7"/>
  <c r="F628" i="9" s="1"/>
  <c r="J611" i="7"/>
  <c r="J610" i="7" s="1"/>
  <c r="J609" i="7" s="1"/>
  <c r="J608" i="7" s="1"/>
  <c r="J607" i="7" s="1"/>
  <c r="J606" i="7" s="1"/>
  <c r="J605" i="7"/>
  <c r="F373" i="9" s="1"/>
  <c r="J603" i="7"/>
  <c r="F371" i="9" s="1"/>
  <c r="J597" i="7"/>
  <c r="F183" i="9" s="1"/>
  <c r="J595" i="7"/>
  <c r="F181" i="9" s="1"/>
  <c r="J589" i="7"/>
  <c r="J588" i="7" s="1"/>
  <c r="J587" i="7" s="1"/>
  <c r="J586" i="7" s="1"/>
  <c r="J585" i="7" s="1"/>
  <c r="J584" i="7" s="1"/>
  <c r="J582" i="7"/>
  <c r="F688" i="9" s="1"/>
  <c r="J575" i="7"/>
  <c r="F681" i="9" s="1"/>
  <c r="J500" i="7"/>
  <c r="F488" i="9" s="1"/>
  <c r="J492" i="7"/>
  <c r="F285" i="9" s="1"/>
  <c r="J490" i="7"/>
  <c r="F283" i="9" s="1"/>
  <c r="F280" i="9"/>
  <c r="J466" i="7"/>
  <c r="F700" i="9" s="1"/>
  <c r="J453" i="7"/>
  <c r="F387" i="9" s="1"/>
  <c r="J445" i="7"/>
  <c r="F290" i="9" s="1"/>
  <c r="J442" i="7"/>
  <c r="F277" i="9" s="1"/>
  <c r="J400" i="7"/>
  <c r="F582" i="9" s="1"/>
  <c r="J392" i="7"/>
  <c r="F574" i="9" s="1"/>
  <c r="J389" i="7"/>
  <c r="F571" i="9" s="1"/>
  <c r="J382" i="7"/>
  <c r="F566" i="9" s="1"/>
  <c r="J379" i="7"/>
  <c r="F478" i="9"/>
  <c r="J364" i="7"/>
  <c r="F246" i="9" s="1"/>
  <c r="J286" i="7"/>
  <c r="F447" i="9" s="1"/>
  <c r="J279" i="7"/>
  <c r="F548" i="9" s="1"/>
  <c r="J259" i="7"/>
  <c r="F588" i="9" s="1"/>
  <c r="J253" i="7"/>
  <c r="J249" i="7"/>
  <c r="F552" i="9" s="1"/>
  <c r="J244" i="7"/>
  <c r="J227" i="7"/>
  <c r="F464" i="9" s="1"/>
  <c r="J225" i="7"/>
  <c r="F462" i="9" s="1"/>
  <c r="J222" i="7"/>
  <c r="F459" i="9" s="1"/>
  <c r="J220" i="7"/>
  <c r="F457" i="9" s="1"/>
  <c r="J216" i="7"/>
  <c r="F453" i="9" s="1"/>
  <c r="J213" i="7"/>
  <c r="F450" i="9" s="1"/>
  <c r="J208" i="7"/>
  <c r="F408" i="9" s="1"/>
  <c r="J205" i="7"/>
  <c r="F405" i="9" s="1"/>
  <c r="J198" i="7"/>
  <c r="F398" i="9" s="1"/>
  <c r="J193" i="7"/>
  <c r="J191" i="7"/>
  <c r="J187" i="7"/>
  <c r="F384" i="9" s="1"/>
  <c r="F379" i="9"/>
  <c r="J176" i="7"/>
  <c r="J169" i="7"/>
  <c r="F773" i="9" s="1"/>
  <c r="J166" i="7"/>
  <c r="F770" i="9" s="1"/>
  <c r="J161" i="7"/>
  <c r="F751" i="9" s="1"/>
  <c r="J158" i="7"/>
  <c r="F748" i="9" s="1"/>
  <c r="J155" i="7"/>
  <c r="F745" i="9" s="1"/>
  <c r="J150" i="7"/>
  <c r="J143" i="7"/>
  <c r="F766" i="9" s="1"/>
  <c r="J140" i="7"/>
  <c r="F763" i="9" s="1"/>
  <c r="J135" i="7"/>
  <c r="F758" i="9" s="1"/>
  <c r="J131" i="7"/>
  <c r="F754" i="9" s="1"/>
  <c r="F753" i="9" s="1"/>
  <c r="F752" i="9" s="1"/>
  <c r="J127" i="7"/>
  <c r="J121" i="7"/>
  <c r="F444" i="9" s="1"/>
  <c r="J118" i="7"/>
  <c r="F441" i="9" s="1"/>
  <c r="J113" i="7"/>
  <c r="F436" i="9" s="1"/>
  <c r="J106" i="7"/>
  <c r="J99" i="7"/>
  <c r="J93" i="7"/>
  <c r="F432" i="9" s="1"/>
  <c r="J90" i="7"/>
  <c r="F429" i="9" s="1"/>
  <c r="J85" i="7"/>
  <c r="F424" i="9" s="1"/>
  <c r="J76" i="7"/>
  <c r="F123" i="9" s="1"/>
  <c r="J74" i="7"/>
  <c r="F121" i="9" s="1"/>
  <c r="J68" i="7"/>
  <c r="F82" i="9" s="1"/>
  <c r="J66" i="7"/>
  <c r="F80" i="9" s="1"/>
  <c r="J55" i="7"/>
  <c r="F741" i="9" s="1"/>
  <c r="J52" i="7"/>
  <c r="F738" i="9" s="1"/>
  <c r="J47" i="7"/>
  <c r="F733" i="9" s="1"/>
  <c r="J43" i="7"/>
  <c r="F729" i="9" s="1"/>
  <c r="J40" i="7"/>
  <c r="F726" i="9" s="1"/>
  <c r="J36" i="7"/>
  <c r="J22" i="7"/>
  <c r="F418" i="9" s="1"/>
  <c r="H995" i="7"/>
  <c r="H994" i="7" s="1"/>
  <c r="H986" i="7"/>
  <c r="H985" i="7" s="1"/>
  <c r="H984" i="7"/>
  <c r="H983" i="7" s="1"/>
  <c r="H982" i="7" s="1"/>
  <c r="H975" i="7"/>
  <c r="H974" i="7" s="1"/>
  <c r="H965" i="7"/>
  <c r="H964" i="7" s="1"/>
  <c r="H963" i="7" s="1"/>
  <c r="H962" i="7" s="1"/>
  <c r="H961" i="7" s="1"/>
  <c r="H960" i="7" s="1"/>
  <c r="H959" i="7" s="1"/>
  <c r="H957" i="7"/>
  <c r="H956" i="7" s="1"/>
  <c r="H955" i="7" s="1"/>
  <c r="H954" i="7" s="1"/>
  <c r="H950" i="7"/>
  <c r="I950" i="7" s="1"/>
  <c r="I949" i="7" s="1"/>
  <c r="I948" i="7" s="1"/>
  <c r="H945" i="7"/>
  <c r="H944" i="7" s="1"/>
  <c r="H943" i="7" s="1"/>
  <c r="H936" i="7"/>
  <c r="H934" i="7"/>
  <c r="I934" i="7" s="1"/>
  <c r="I933" i="7" s="1"/>
  <c r="H927" i="7"/>
  <c r="I927" i="7" s="1"/>
  <c r="I926" i="7" s="1"/>
  <c r="H925" i="7"/>
  <c r="I925" i="7" s="1"/>
  <c r="I924" i="7" s="1"/>
  <c r="H915" i="7"/>
  <c r="H910" i="7"/>
  <c r="H909" i="7" s="1"/>
  <c r="H908" i="7" s="1"/>
  <c r="H907" i="7" s="1"/>
  <c r="H906" i="7" s="1"/>
  <c r="H905" i="7" s="1"/>
  <c r="H904" i="7" s="1"/>
  <c r="H903" i="7" s="1"/>
  <c r="H890" i="7"/>
  <c r="H884" i="7"/>
  <c r="H883" i="7" s="1"/>
  <c r="H882" i="7" s="1"/>
  <c r="H881" i="7"/>
  <c r="H880" i="7" s="1"/>
  <c r="H879" i="7" s="1"/>
  <c r="H876" i="7"/>
  <c r="H875" i="7" s="1"/>
  <c r="H874" i="7" s="1"/>
  <c r="H871" i="7"/>
  <c r="H870" i="7" s="1"/>
  <c r="H869" i="7" s="1"/>
  <c r="H862" i="7"/>
  <c r="H861" i="7" s="1"/>
  <c r="H860" i="7" s="1"/>
  <c r="H859" i="7"/>
  <c r="H858" i="7" s="1"/>
  <c r="H857" i="7" s="1"/>
  <c r="H854" i="7"/>
  <c r="H853" i="7" s="1"/>
  <c r="H852" i="7" s="1"/>
  <c r="H851" i="7" s="1"/>
  <c r="H850" i="7" s="1"/>
  <c r="H831" i="7"/>
  <c r="H830" i="7" s="1"/>
  <c r="H829" i="7" s="1"/>
  <c r="H828" i="7" s="1"/>
  <c r="H827" i="7" s="1"/>
  <c r="H826" i="7" s="1"/>
  <c r="H825" i="7"/>
  <c r="H824" i="7" s="1"/>
  <c r="H823" i="7" s="1"/>
  <c r="H820" i="7"/>
  <c r="H819" i="7" s="1"/>
  <c r="H816" i="7" s="1"/>
  <c r="H808" i="7"/>
  <c r="H807" i="7" s="1"/>
  <c r="H806" i="7" s="1"/>
  <c r="H805" i="7"/>
  <c r="H804" i="7" s="1"/>
  <c r="H803" i="7" s="1"/>
  <c r="H802" i="7"/>
  <c r="H801" i="7" s="1"/>
  <c r="H800" i="7" s="1"/>
  <c r="H797" i="7"/>
  <c r="H796" i="7" s="1"/>
  <c r="H795" i="7" s="1"/>
  <c r="H791" i="7"/>
  <c r="H790" i="7" s="1"/>
  <c r="H789" i="7" s="1"/>
  <c r="H788" i="7" s="1"/>
  <c r="H787" i="7" s="1"/>
  <c r="H783" i="7"/>
  <c r="H782" i="7"/>
  <c r="H781" i="7" s="1"/>
  <c r="H776" i="7"/>
  <c r="H775" i="7" s="1"/>
  <c r="H774" i="7" s="1"/>
  <c r="H773" i="7" s="1"/>
  <c r="H772" i="7"/>
  <c r="H759" i="7"/>
  <c r="H758" i="7" s="1"/>
  <c r="H757" i="7"/>
  <c r="H756" i="7"/>
  <c r="H755" i="7"/>
  <c r="H751" i="7"/>
  <c r="H750" i="7" s="1"/>
  <c r="H749" i="7" s="1"/>
  <c r="H745" i="7" s="1"/>
  <c r="H726" i="7"/>
  <c r="H725" i="7" s="1"/>
  <c r="H724" i="7" s="1"/>
  <c r="H723" i="7" s="1"/>
  <c r="H722" i="7" s="1"/>
  <c r="H712" i="7"/>
  <c r="H711" i="7" s="1"/>
  <c r="H710" i="7" s="1"/>
  <c r="H709" i="7" s="1"/>
  <c r="H708" i="7" s="1"/>
  <c r="H707" i="7" s="1"/>
  <c r="H706" i="7" s="1"/>
  <c r="H705" i="7"/>
  <c r="H704" i="7" s="1"/>
  <c r="H703" i="7" s="1"/>
  <c r="H702" i="7" s="1"/>
  <c r="H698" i="7"/>
  <c r="H697" i="7" s="1"/>
  <c r="H696" i="7" s="1"/>
  <c r="H695" i="7"/>
  <c r="H694" i="7" s="1"/>
  <c r="H693" i="7" s="1"/>
  <c r="H701" i="7"/>
  <c r="H691" i="7"/>
  <c r="H690" i="7" s="1"/>
  <c r="H689" i="7" s="1"/>
  <c r="H685" i="7"/>
  <c r="H684" i="7" s="1"/>
  <c r="H683" i="7" s="1"/>
  <c r="H682" i="7"/>
  <c r="H681" i="7" s="1"/>
  <c r="H680" i="7" s="1"/>
  <c r="H674" i="7"/>
  <c r="I674" i="7" s="1"/>
  <c r="I673" i="7" s="1"/>
  <c r="I672" i="7" s="1"/>
  <c r="I664" i="7" s="1"/>
  <c r="H671" i="7"/>
  <c r="H670" i="7" s="1"/>
  <c r="H668" i="7"/>
  <c r="H667" i="7" s="1"/>
  <c r="H666" i="7" s="1"/>
  <c r="H659" i="7"/>
  <c r="H646" i="7"/>
  <c r="H645" i="7" s="1"/>
  <c r="H644" i="7" s="1"/>
  <c r="H643" i="7"/>
  <c r="H642" i="7" s="1"/>
  <c r="H641" i="7" s="1"/>
  <c r="H638" i="7"/>
  <c r="H637" i="7" s="1"/>
  <c r="H636" i="7" s="1"/>
  <c r="H631" i="7"/>
  <c r="H630" i="7" s="1"/>
  <c r="H629" i="7" s="1"/>
  <c r="H628" i="7"/>
  <c r="H627" i="7" s="1"/>
  <c r="H626" i="7" s="1"/>
  <c r="H623" i="7"/>
  <c r="H622" i="7" s="1"/>
  <c r="H621" i="7" s="1"/>
  <c r="H617" i="7"/>
  <c r="H616" i="7" s="1"/>
  <c r="H615" i="7" s="1"/>
  <c r="H614" i="7" s="1"/>
  <c r="H613" i="7" s="1"/>
  <c r="H611" i="7"/>
  <c r="H610" i="7" s="1"/>
  <c r="H609" i="7" s="1"/>
  <c r="H608" i="7" s="1"/>
  <c r="H607" i="7" s="1"/>
  <c r="H606" i="7" s="1"/>
  <c r="H605" i="7"/>
  <c r="H604" i="7" s="1"/>
  <c r="H603" i="7"/>
  <c r="H602" i="7" s="1"/>
  <c r="H597" i="7"/>
  <c r="H596" i="7" s="1"/>
  <c r="H595" i="7"/>
  <c r="I595" i="7" s="1"/>
  <c r="H594" i="7"/>
  <c r="H589" i="7"/>
  <c r="H588" i="7" s="1"/>
  <c r="H587" i="7" s="1"/>
  <c r="H586" i="7" s="1"/>
  <c r="H585" i="7" s="1"/>
  <c r="H584" i="7" s="1"/>
  <c r="H582" i="7"/>
  <c r="H581" i="7" s="1"/>
  <c r="H580" i="7" s="1"/>
  <c r="H575" i="7"/>
  <c r="H574" i="7" s="1"/>
  <c r="H573" i="7" s="1"/>
  <c r="H500" i="7"/>
  <c r="H499" i="7" s="1"/>
  <c r="H498" i="7" s="1"/>
  <c r="H497" i="7" s="1"/>
  <c r="H496" i="7" s="1"/>
  <c r="H495" i="7" s="1"/>
  <c r="H492" i="7"/>
  <c r="H491" i="7" s="1"/>
  <c r="H490" i="7"/>
  <c r="H489" i="7" s="1"/>
  <c r="H466" i="7"/>
  <c r="H465" i="7" s="1"/>
  <c r="H464" i="7" s="1"/>
  <c r="H463" i="7" s="1"/>
  <c r="H453" i="7"/>
  <c r="H452" i="7" s="1"/>
  <c r="H451" i="7" s="1"/>
  <c r="H450" i="7" s="1"/>
  <c r="H449" i="7" s="1"/>
  <c r="H448" i="7" s="1"/>
  <c r="I658" i="7"/>
  <c r="I657" i="7" s="1"/>
  <c r="I656" i="7" s="1"/>
  <c r="I655" i="7" s="1"/>
  <c r="I688" i="7"/>
  <c r="I687" i="7" s="1"/>
  <c r="I686" i="7" s="1"/>
  <c r="I700" i="7"/>
  <c r="I699" i="7" s="1"/>
  <c r="I697" i="7"/>
  <c r="I696" i="7" s="1"/>
  <c r="I819" i="7"/>
  <c r="I816" i="7" s="1"/>
  <c r="I824" i="7"/>
  <c r="I823" i="7" s="1"/>
  <c r="I944" i="7"/>
  <c r="I943" i="7" s="1"/>
  <c r="J659" i="7"/>
  <c r="J701" i="7"/>
  <c r="F132" i="9" s="1"/>
  <c r="F131" i="9" s="1"/>
  <c r="F130" i="9" s="1"/>
  <c r="J698" i="7"/>
  <c r="J697" i="7" s="1"/>
  <c r="J696" i="7" s="1"/>
  <c r="J945" i="7"/>
  <c r="F338" i="9" s="1"/>
  <c r="H445" i="7"/>
  <c r="H444" i="7" s="1"/>
  <c r="H443" i="7" s="1"/>
  <c r="H442" i="7"/>
  <c r="H441" i="7" s="1"/>
  <c r="H440" i="7" s="1"/>
  <c r="H435" i="7"/>
  <c r="H434" i="7" s="1"/>
  <c r="H433" i="7" s="1"/>
  <c r="H432" i="7" s="1"/>
  <c r="H419" i="7" s="1"/>
  <c r="H400" i="7"/>
  <c r="H399" i="7" s="1"/>
  <c r="H398" i="7" s="1"/>
  <c r="H397" i="7" s="1"/>
  <c r="H396" i="7" s="1"/>
  <c r="H395" i="7"/>
  <c r="H394" i="7" s="1"/>
  <c r="H393" i="7" s="1"/>
  <c r="H392" i="7"/>
  <c r="H391" i="7" s="1"/>
  <c r="H390" i="7" s="1"/>
  <c r="H389" i="7"/>
  <c r="H388" i="7" s="1"/>
  <c r="H387" i="7" s="1"/>
  <c r="H382" i="7"/>
  <c r="H381" i="7" s="1"/>
  <c r="H380" i="7" s="1"/>
  <c r="H379" i="7"/>
  <c r="H378" i="7"/>
  <c r="H377" i="7" s="1"/>
  <c r="H371" i="7"/>
  <c r="H370" i="7" s="1"/>
  <c r="H369" i="7" s="1"/>
  <c r="H368" i="7" s="1"/>
  <c r="H367" i="7" s="1"/>
  <c r="H366" i="7" s="1"/>
  <c r="H364" i="7"/>
  <c r="H363" i="7" s="1"/>
  <c r="H362" i="7" s="1"/>
  <c r="H361" i="7" s="1"/>
  <c r="H360" i="7" s="1"/>
  <c r="H359" i="7" s="1"/>
  <c r="H358" i="7" s="1"/>
  <c r="H353" i="7"/>
  <c r="H291" i="7"/>
  <c r="H290" i="7" s="1"/>
  <c r="H289" i="7" s="1"/>
  <c r="H288" i="7" s="1"/>
  <c r="H286" i="7"/>
  <c r="H285" i="7" s="1"/>
  <c r="H284" i="7" s="1"/>
  <c r="H283" i="7" s="1"/>
  <c r="H282" i="7" s="1"/>
  <c r="H281" i="7" s="1"/>
  <c r="H280" i="7" s="1"/>
  <c r="H279" i="7"/>
  <c r="H278" i="7" s="1"/>
  <c r="H277" i="7" s="1"/>
  <c r="H276" i="7" s="1"/>
  <c r="H275" i="7" s="1"/>
  <c r="H274" i="7" s="1"/>
  <c r="H273" i="7" s="1"/>
  <c r="H259" i="7"/>
  <c r="H258" i="7" s="1"/>
  <c r="H257" i="7" s="1"/>
  <c r="H256" i="7" s="1"/>
  <c r="H255" i="7" s="1"/>
  <c r="H254" i="7" s="1"/>
  <c r="H253" i="7"/>
  <c r="H252" i="7" s="1"/>
  <c r="H251" i="7" s="1"/>
  <c r="H250" i="7" s="1"/>
  <c r="H249" i="7"/>
  <c r="I249" i="7" s="1"/>
  <c r="I248" i="7" s="1"/>
  <c r="I247" i="7" s="1"/>
  <c r="I246" i="7" s="1"/>
  <c r="I245" i="7" s="1"/>
  <c r="I239" i="7" s="1"/>
  <c r="H244" i="7"/>
  <c r="H243" i="7" s="1"/>
  <c r="H242" i="7" s="1"/>
  <c r="H241" i="7" s="1"/>
  <c r="H240" i="7" s="1"/>
  <c r="H227" i="7"/>
  <c r="H226" i="7" s="1"/>
  <c r="H225" i="7"/>
  <c r="H224" i="7" s="1"/>
  <c r="H222" i="7"/>
  <c r="H221" i="7" s="1"/>
  <c r="H220" i="7"/>
  <c r="H219" i="7" s="1"/>
  <c r="H216" i="7"/>
  <c r="H215" i="7" s="1"/>
  <c r="H214" i="7" s="1"/>
  <c r="H213" i="7"/>
  <c r="H212" i="7" s="1"/>
  <c r="H211" i="7" s="1"/>
  <c r="H208" i="7"/>
  <c r="H207" i="7" s="1"/>
  <c r="H206" i="7" s="1"/>
  <c r="H205" i="7"/>
  <c r="H204" i="7" s="1"/>
  <c r="H203" i="7" s="1"/>
  <c r="H198" i="7"/>
  <c r="H197" i="7" s="1"/>
  <c r="H196" i="7" s="1"/>
  <c r="H193" i="7"/>
  <c r="H191" i="7"/>
  <c r="H187" i="7"/>
  <c r="H186" i="7" s="1"/>
  <c r="H181" i="7"/>
  <c r="H175" i="7"/>
  <c r="H174" i="7" s="1"/>
  <c r="H173" i="7" s="1"/>
  <c r="H172" i="7" s="1"/>
  <c r="H171" i="7" s="1"/>
  <c r="H169" i="7"/>
  <c r="H168" i="7" s="1"/>
  <c r="H167" i="7" s="1"/>
  <c r="H166" i="7"/>
  <c r="H165" i="7" s="1"/>
  <c r="H164" i="7" s="1"/>
  <c r="H161" i="7"/>
  <c r="H160" i="7" s="1"/>
  <c r="H159" i="7" s="1"/>
  <c r="H158" i="7"/>
  <c r="H157" i="7" s="1"/>
  <c r="H156" i="7" s="1"/>
  <c r="H155" i="7"/>
  <c r="H154" i="7" s="1"/>
  <c r="H153" i="7" s="1"/>
  <c r="H150" i="7"/>
  <c r="H149" i="7" s="1"/>
  <c r="H148" i="7" s="1"/>
  <c r="H147" i="7" s="1"/>
  <c r="H146" i="7" s="1"/>
  <c r="H145" i="7" s="1"/>
  <c r="H143" i="7"/>
  <c r="H142" i="7" s="1"/>
  <c r="H141" i="7" s="1"/>
  <c r="H140" i="7"/>
  <c r="H139" i="7" s="1"/>
  <c r="H138" i="7" s="1"/>
  <c r="H135" i="7"/>
  <c r="H134" i="7" s="1"/>
  <c r="H133" i="7" s="1"/>
  <c r="H131" i="7"/>
  <c r="H130" i="7" s="1"/>
  <c r="H129" i="7" s="1"/>
  <c r="H127" i="7"/>
  <c r="H126" i="7" s="1"/>
  <c r="H125" i="7" s="1"/>
  <c r="H124" i="7" s="1"/>
  <c r="H123" i="7" s="1"/>
  <c r="H122" i="7" s="1"/>
  <c r="H121" i="7"/>
  <c r="H120" i="7" s="1"/>
  <c r="H119" i="7" s="1"/>
  <c r="H118" i="7"/>
  <c r="H117" i="7" s="1"/>
  <c r="H113" i="7"/>
  <c r="H112" i="7" s="1"/>
  <c r="H111" i="7" s="1"/>
  <c r="H99" i="7"/>
  <c r="H93" i="7"/>
  <c r="H92" i="7" s="1"/>
  <c r="H91" i="7" s="1"/>
  <c r="H90" i="7"/>
  <c r="H89" i="7" s="1"/>
  <c r="H88" i="7" s="1"/>
  <c r="H85" i="7"/>
  <c r="H84" i="7" s="1"/>
  <c r="H81" i="7" s="1"/>
  <c r="H76" i="7"/>
  <c r="I76" i="7" s="1"/>
  <c r="I75" i="7" s="1"/>
  <c r="H74" i="7"/>
  <c r="H73" i="7" s="1"/>
  <c r="H68" i="7"/>
  <c r="I68" i="7" s="1"/>
  <c r="I67" i="7" s="1"/>
  <c r="H66" i="7"/>
  <c r="H65" i="7" s="1"/>
  <c r="H55" i="7"/>
  <c r="H54" i="7" s="1"/>
  <c r="H53" i="7" s="1"/>
  <c r="H52" i="7"/>
  <c r="H51" i="7" s="1"/>
  <c r="H50" i="7" s="1"/>
  <c r="H47" i="7"/>
  <c r="H46" i="7" s="1"/>
  <c r="H45" i="7" s="1"/>
  <c r="H43" i="7"/>
  <c r="H42" i="7" s="1"/>
  <c r="H40" i="7"/>
  <c r="H39" i="7" s="1"/>
  <c r="H38" i="7" s="1"/>
  <c r="H36" i="7"/>
  <c r="H22" i="7"/>
  <c r="H21" i="7" s="1"/>
  <c r="I444" i="7"/>
  <c r="I443" i="7" s="1"/>
  <c r="I434" i="7"/>
  <c r="I433" i="7" s="1"/>
  <c r="I432" i="7" s="1"/>
  <c r="I419" i="7" s="1"/>
  <c r="I394" i="7"/>
  <c r="I393" i="7" s="1"/>
  <c r="I386" i="7" s="1"/>
  <c r="I385" i="7" s="1"/>
  <c r="I384" i="7" s="1"/>
  <c r="I383" i="7" s="1"/>
  <c r="F995" i="7"/>
  <c r="F975" i="7"/>
  <c r="F965" i="7"/>
  <c r="F957" i="7"/>
  <c r="F936" i="7"/>
  <c r="F934" i="7"/>
  <c r="F925" i="7"/>
  <c r="F910" i="7"/>
  <c r="D25" i="9" s="1"/>
  <c r="F884" i="7"/>
  <c r="F881" i="7"/>
  <c r="F876" i="7"/>
  <c r="F862" i="7"/>
  <c r="F859" i="7"/>
  <c r="F854" i="7"/>
  <c r="F831" i="7"/>
  <c r="F825" i="7"/>
  <c r="F808" i="7"/>
  <c r="F805" i="7"/>
  <c r="F802" i="7"/>
  <c r="F797" i="7"/>
  <c r="F791" i="7"/>
  <c r="F782" i="7"/>
  <c r="F776" i="7"/>
  <c r="D273" i="9" s="1"/>
  <c r="F772" i="7"/>
  <c r="D265" i="9" s="1"/>
  <c r="F755" i="7"/>
  <c r="F751" i="7"/>
  <c r="F705" i="7"/>
  <c r="F695" i="7"/>
  <c r="F691" i="7"/>
  <c r="F685" i="7"/>
  <c r="F682" i="7"/>
  <c r="F674" i="7"/>
  <c r="F671" i="7"/>
  <c r="F668" i="7"/>
  <c r="F646" i="7"/>
  <c r="F643" i="7"/>
  <c r="F638" i="7"/>
  <c r="F631" i="7"/>
  <c r="F628" i="7"/>
  <c r="F623" i="7"/>
  <c r="F617" i="7"/>
  <c r="F611" i="7"/>
  <c r="F605" i="7"/>
  <c r="F603" i="7"/>
  <c r="F597" i="7"/>
  <c r="F595" i="7"/>
  <c r="F594" i="7"/>
  <c r="F582" i="7"/>
  <c r="F575" i="7"/>
  <c r="F500" i="7"/>
  <c r="F492" i="7"/>
  <c r="F490" i="7"/>
  <c r="D280" i="9"/>
  <c r="F466" i="7"/>
  <c r="F453" i="7"/>
  <c r="F442" i="7"/>
  <c r="F382" i="7"/>
  <c r="F379" i="7"/>
  <c r="F378" i="7"/>
  <c r="F364" i="7"/>
  <c r="F286" i="7"/>
  <c r="F259" i="7"/>
  <c r="F253" i="7"/>
  <c r="G253" i="7" s="1"/>
  <c r="G252" i="7" s="1"/>
  <c r="G251" i="7" s="1"/>
  <c r="G250" i="7" s="1"/>
  <c r="F244" i="7"/>
  <c r="F227" i="7"/>
  <c r="F225" i="7"/>
  <c r="F222" i="7"/>
  <c r="F220" i="7"/>
  <c r="F216" i="7"/>
  <c r="F213" i="7"/>
  <c r="F208" i="7"/>
  <c r="F205" i="7"/>
  <c r="F198" i="7"/>
  <c r="F193" i="7"/>
  <c r="G193" i="7" s="1"/>
  <c r="G192" i="7" s="1"/>
  <c r="F161" i="7"/>
  <c r="F160" i="7" s="1"/>
  <c r="F158" i="7"/>
  <c r="F155" i="7"/>
  <c r="F150" i="7"/>
  <c r="F143" i="7"/>
  <c r="F140" i="7"/>
  <c r="F135" i="7"/>
  <c r="F131" i="7"/>
  <c r="D754" i="9" s="1"/>
  <c r="D753" i="9" s="1"/>
  <c r="D752" i="9" s="1"/>
  <c r="F127" i="7"/>
  <c r="F121" i="7"/>
  <c r="F118" i="7"/>
  <c r="F113" i="7"/>
  <c r="F99" i="7"/>
  <c r="F93" i="7"/>
  <c r="F90" i="7"/>
  <c r="F85" i="7"/>
  <c r="F76" i="7"/>
  <c r="F74" i="7"/>
  <c r="F55" i="7"/>
  <c r="F52" i="7"/>
  <c r="F47" i="7"/>
  <c r="F43" i="7"/>
  <c r="F40" i="7"/>
  <c r="F36" i="7"/>
  <c r="F22" i="7"/>
  <c r="H856" i="7" l="1"/>
  <c r="H855" i="7" s="1"/>
  <c r="H999" i="7"/>
  <c r="J999" i="7"/>
  <c r="H679" i="7"/>
  <c r="H223" i="7"/>
  <c r="I650" i="7"/>
  <c r="I649" i="7" s="1"/>
  <c r="I648" i="7" s="1"/>
  <c r="I647" i="7" s="1"/>
  <c r="H488" i="7"/>
  <c r="H483" i="7" s="1"/>
  <c r="H482" i="7" s="1"/>
  <c r="H973" i="7"/>
  <c r="H969" i="7" s="1"/>
  <c r="H968" i="7" s="1"/>
  <c r="H180" i="7"/>
  <c r="H179" i="7" s="1"/>
  <c r="F141" i="9"/>
  <c r="F140" i="9"/>
  <c r="I939" i="7"/>
  <c r="I938" i="7" s="1"/>
  <c r="H939" i="7"/>
  <c r="H938" i="7" s="1"/>
  <c r="I936" i="7"/>
  <c r="H754" i="7"/>
  <c r="H753" i="7" s="1"/>
  <c r="H752" i="7" s="1"/>
  <c r="F153" i="9"/>
  <c r="F152" i="9" s="1"/>
  <c r="J758" i="7"/>
  <c r="F149" i="9"/>
  <c r="F148" i="9" s="1"/>
  <c r="J754" i="7"/>
  <c r="H815" i="7"/>
  <c r="H811" i="7" s="1"/>
  <c r="H889" i="7"/>
  <c r="H888" i="7" s="1"/>
  <c r="H887" i="7" s="1"/>
  <c r="H886" i="7" s="1"/>
  <c r="H885" i="7" s="1"/>
  <c r="E195" i="9"/>
  <c r="F100" i="9"/>
  <c r="H439" i="7"/>
  <c r="H438" i="7" s="1"/>
  <c r="H437" i="7" s="1"/>
  <c r="H436" i="7" s="1"/>
  <c r="I439" i="7"/>
  <c r="I438" i="7" s="1"/>
  <c r="I437" i="7" s="1"/>
  <c r="I436" i="7" s="1"/>
  <c r="H218" i="7"/>
  <c r="H80" i="7"/>
  <c r="H79" i="7" s="1"/>
  <c r="H78" i="7" s="1"/>
  <c r="H77" i="7" s="1"/>
  <c r="D484" i="9"/>
  <c r="H98" i="7"/>
  <c r="H97" i="7" s="1"/>
  <c r="H96" i="7" s="1"/>
  <c r="H95" i="7" s="1"/>
  <c r="H94" i="7" s="1"/>
  <c r="E484" i="9"/>
  <c r="H771" i="7"/>
  <c r="H770" i="7" s="1"/>
  <c r="H769" i="7" s="1"/>
  <c r="H768" i="7" s="1"/>
  <c r="H767" i="7" s="1"/>
  <c r="F265" i="9"/>
  <c r="E265" i="9"/>
  <c r="F484" i="9"/>
  <c r="H700" i="7"/>
  <c r="H699" i="7" s="1"/>
  <c r="H692" i="7" s="1"/>
  <c r="E132" i="9"/>
  <c r="E131" i="9" s="1"/>
  <c r="E130" i="9" s="1"/>
  <c r="J796" i="7"/>
  <c r="J795" i="7" s="1"/>
  <c r="H669" i="7"/>
  <c r="H665" i="7" s="1"/>
  <c r="E65" i="9"/>
  <c r="E64" i="9" s="1"/>
  <c r="E63" i="9" s="1"/>
  <c r="E62" i="9" s="1"/>
  <c r="J853" i="7"/>
  <c r="J852" i="7" s="1"/>
  <c r="J851" i="7" s="1"/>
  <c r="J850" i="7" s="1"/>
  <c r="J489" i="7"/>
  <c r="I663" i="7"/>
  <c r="I662" i="7" s="1"/>
  <c r="I661" i="7" s="1"/>
  <c r="J574" i="7"/>
  <c r="J573" i="7" s="1"/>
  <c r="J658" i="7"/>
  <c r="J657" i="7" s="1"/>
  <c r="J656" i="7" s="1"/>
  <c r="J655" i="7" s="1"/>
  <c r="H658" i="7"/>
  <c r="H657" i="7" s="1"/>
  <c r="H656" i="7" s="1"/>
  <c r="H655" i="7" s="1"/>
  <c r="E45" i="10"/>
  <c r="E44" i="10" s="1"/>
  <c r="H926" i="7"/>
  <c r="H44" i="7"/>
  <c r="H794" i="7"/>
  <c r="H793" i="7" s="1"/>
  <c r="H792" i="7" s="1"/>
  <c r="H786" i="7" s="1"/>
  <c r="H195" i="7"/>
  <c r="H194" i="7" s="1"/>
  <c r="J875" i="7"/>
  <c r="J874" i="7" s="1"/>
  <c r="I74" i="7"/>
  <c r="I73" i="7" s="1"/>
  <c r="I72" i="7" s="1"/>
  <c r="I71" i="7" s="1"/>
  <c r="I70" i="7" s="1"/>
  <c r="I69" i="7" s="1"/>
  <c r="J924" i="7"/>
  <c r="J725" i="7"/>
  <c r="J724" i="7" s="1"/>
  <c r="J723" i="7" s="1"/>
  <c r="J722" i="7" s="1"/>
  <c r="J581" i="7"/>
  <c r="J580" i="7" s="1"/>
  <c r="J465" i="7"/>
  <c r="J464" i="7" s="1"/>
  <c r="J463" i="7" s="1"/>
  <c r="J949" i="7"/>
  <c r="J948" i="7" s="1"/>
  <c r="J947" i="7" s="1"/>
  <c r="J915" i="7"/>
  <c r="J913" i="7" s="1"/>
  <c r="J912" i="7" s="1"/>
  <c r="F57" i="10" s="1"/>
  <c r="J781" i="7"/>
  <c r="J491" i="7"/>
  <c r="H673" i="7"/>
  <c r="H672" i="7" s="1"/>
  <c r="H67" i="7"/>
  <c r="H64" i="7" s="1"/>
  <c r="H63" i="7" s="1"/>
  <c r="J935" i="7"/>
  <c r="H41" i="7"/>
  <c r="H248" i="7"/>
  <c r="H247" i="7" s="1"/>
  <c r="H246" i="7" s="1"/>
  <c r="H245" i="7" s="1"/>
  <c r="H239" i="7" s="1"/>
  <c r="J964" i="7"/>
  <c r="J963" i="7" s="1"/>
  <c r="J962" i="7" s="1"/>
  <c r="J961" i="7" s="1"/>
  <c r="J960" i="7" s="1"/>
  <c r="J959" i="7" s="1"/>
  <c r="F62" i="10" s="1"/>
  <c r="J858" i="7"/>
  <c r="J857" i="7" s="1"/>
  <c r="J627" i="7"/>
  <c r="J626" i="7" s="1"/>
  <c r="J616" i="7"/>
  <c r="J615" i="7" s="1"/>
  <c r="J614" i="7" s="1"/>
  <c r="J613" i="7" s="1"/>
  <c r="J986" i="7"/>
  <c r="J985" i="7" s="1"/>
  <c r="J981" i="7" s="1"/>
  <c r="J980" i="7" s="1"/>
  <c r="J979" i="7" s="1"/>
  <c r="J956" i="7"/>
  <c r="J955" i="7" s="1"/>
  <c r="J954" i="7" s="1"/>
  <c r="J807" i="7"/>
  <c r="J806" i="7" s="1"/>
  <c r="J622" i="7"/>
  <c r="J621" i="7" s="1"/>
  <c r="H192" i="7"/>
  <c r="I193" i="7"/>
  <c r="I192" i="7" s="1"/>
  <c r="I364" i="7"/>
  <c r="I363" i="7" s="1"/>
  <c r="I362" i="7" s="1"/>
  <c r="I361" i="7" s="1"/>
  <c r="I360" i="7" s="1"/>
  <c r="I359" i="7" s="1"/>
  <c r="I358" i="7" s="1"/>
  <c r="J690" i="7"/>
  <c r="J689" i="7" s="1"/>
  <c r="J670" i="7"/>
  <c r="J645" i="7"/>
  <c r="J644" i="7" s="1"/>
  <c r="J604" i="7"/>
  <c r="H924" i="7"/>
  <c r="I695" i="7"/>
  <c r="I694" i="7" s="1"/>
  <c r="I693" i="7" s="1"/>
  <c r="I692" i="7" s="1"/>
  <c r="F391" i="9"/>
  <c r="J190" i="7"/>
  <c r="K191" i="7"/>
  <c r="K190" i="7" s="1"/>
  <c r="F25" i="9"/>
  <c r="I191" i="7"/>
  <c r="I190" i="7" s="1"/>
  <c r="H190" i="7"/>
  <c r="J933" i="7"/>
  <c r="J681" i="7"/>
  <c r="J680" i="7" s="1"/>
  <c r="J637" i="7"/>
  <c r="J636" i="7" s="1"/>
  <c r="F393" i="9"/>
  <c r="K193" i="7"/>
  <c r="K192" i="7" s="1"/>
  <c r="J192" i="7"/>
  <c r="J252" i="7"/>
  <c r="J251" i="7" s="1"/>
  <c r="J250" i="7" s="1"/>
  <c r="F556" i="9"/>
  <c r="I66" i="7"/>
  <c r="I65" i="7" s="1"/>
  <c r="I64" i="7" s="1"/>
  <c r="I63" i="7" s="1"/>
  <c r="I58" i="7" s="1"/>
  <c r="I57" i="7" s="1"/>
  <c r="J944" i="7"/>
  <c r="J943" i="7" s="1"/>
  <c r="J819" i="7"/>
  <c r="J816" i="7" s="1"/>
  <c r="F48" i="9"/>
  <c r="J642" i="7"/>
  <c r="J641" i="7" s="1"/>
  <c r="F711" i="9"/>
  <c r="J804" i="7"/>
  <c r="J803" i="7" s="1"/>
  <c r="J801" i="7"/>
  <c r="J800" i="7" s="1"/>
  <c r="F164" i="9"/>
  <c r="J783" i="7"/>
  <c r="J704" i="7"/>
  <c r="J703" i="7" s="1"/>
  <c r="J702" i="7" s="1"/>
  <c r="F136" i="9"/>
  <c r="J684" i="7"/>
  <c r="J683" i="7" s="1"/>
  <c r="J667" i="7"/>
  <c r="J666" i="7" s="1"/>
  <c r="F89" i="9"/>
  <c r="F413" i="9"/>
  <c r="F65" i="10"/>
  <c r="J974" i="7"/>
  <c r="J903" i="7"/>
  <c r="F55" i="10"/>
  <c r="F50" i="9"/>
  <c r="J861" i="7"/>
  <c r="J860" i="7" s="1"/>
  <c r="J775" i="7"/>
  <c r="J774" i="7" s="1"/>
  <c r="J773" i="7" s="1"/>
  <c r="J768" i="7" s="1"/>
  <c r="J767" i="7" s="1"/>
  <c r="F273" i="9"/>
  <c r="J750" i="7"/>
  <c r="J749" i="7" s="1"/>
  <c r="J745" i="7" s="1"/>
  <c r="J630" i="7"/>
  <c r="J629" i="7" s="1"/>
  <c r="J499" i="7"/>
  <c r="J498" i="7" s="1"/>
  <c r="J497" i="7" s="1"/>
  <c r="J496" i="7" s="1"/>
  <c r="J495" i="7" s="1"/>
  <c r="J700" i="7"/>
  <c r="J699" i="7" s="1"/>
  <c r="J673" i="7"/>
  <c r="J672" i="7" s="1"/>
  <c r="I691" i="7"/>
  <c r="I690" i="7" s="1"/>
  <c r="I689" i="7" s="1"/>
  <c r="I678" i="7" s="1"/>
  <c r="J790" i="7"/>
  <c r="J789" i="7" s="1"/>
  <c r="J788" i="7" s="1"/>
  <c r="J787" i="7" s="1"/>
  <c r="H933" i="7"/>
  <c r="H935" i="7"/>
  <c r="J926" i="7"/>
  <c r="J694" i="7"/>
  <c r="J693" i="7" s="1"/>
  <c r="F126" i="9"/>
  <c r="J596" i="7"/>
  <c r="J594" i="7"/>
  <c r="J602" i="7"/>
  <c r="I815" i="7"/>
  <c r="I811" i="7" s="1"/>
  <c r="J824" i="7"/>
  <c r="J823" i="7" s="1"/>
  <c r="F192" i="9"/>
  <c r="H878" i="7"/>
  <c r="H877" i="7" s="1"/>
  <c r="H780" i="7"/>
  <c r="H779" i="7" s="1"/>
  <c r="H778" i="7" s="1"/>
  <c r="H777" i="7" s="1"/>
  <c r="H744" i="7"/>
  <c r="H635" i="7"/>
  <c r="H634" i="7" s="1"/>
  <c r="H633" i="7" s="1"/>
  <c r="H632" i="7" s="1"/>
  <c r="H601" i="7"/>
  <c r="H600" i="7" s="1"/>
  <c r="H599" i="7" s="1"/>
  <c r="H598" i="7" s="1"/>
  <c r="H981" i="7"/>
  <c r="H980" i="7" s="1"/>
  <c r="H979" i="7" s="1"/>
  <c r="H953" i="7"/>
  <c r="H952" i="7" s="1"/>
  <c r="H868" i="7"/>
  <c r="H867" i="7" s="1"/>
  <c r="H990" i="7"/>
  <c r="H991" i="7"/>
  <c r="H993" i="7"/>
  <c r="H992" i="7" s="1"/>
  <c r="I946" i="7"/>
  <c r="I947" i="7"/>
  <c r="I923" i="7"/>
  <c r="I922" i="7" s="1"/>
  <c r="H913" i="7"/>
  <c r="H912" i="7" s="1"/>
  <c r="H914" i="7"/>
  <c r="H949" i="7"/>
  <c r="H948" i="7" s="1"/>
  <c r="H917" i="7"/>
  <c r="H916" i="7" s="1"/>
  <c r="H721" i="7"/>
  <c r="H720" i="7" s="1"/>
  <c r="I791" i="7"/>
  <c r="I790" i="7" s="1"/>
  <c r="I789" i="7" s="1"/>
  <c r="I788" i="7" s="1"/>
  <c r="I787" i="7" s="1"/>
  <c r="I786" i="7" s="1"/>
  <c r="H620" i="7"/>
  <c r="H619" i="7" s="1"/>
  <c r="H618" i="7" s="1"/>
  <c r="H612" i="7" s="1"/>
  <c r="H593" i="7"/>
  <c r="H592" i="7" s="1"/>
  <c r="H591" i="7" s="1"/>
  <c r="H590" i="7" s="1"/>
  <c r="H572" i="7"/>
  <c r="H571" i="7" s="1"/>
  <c r="I617" i="7"/>
  <c r="I616" i="7" s="1"/>
  <c r="I615" i="7" s="1"/>
  <c r="I614" i="7" s="1"/>
  <c r="I613" i="7" s="1"/>
  <c r="I612" i="7" s="1"/>
  <c r="I605" i="7"/>
  <c r="I604" i="7" s="1"/>
  <c r="I603" i="7"/>
  <c r="I602" i="7" s="1"/>
  <c r="I597" i="7"/>
  <c r="I596" i="7" s="1"/>
  <c r="I594" i="7"/>
  <c r="J993" i="7"/>
  <c r="J992" i="7" s="1"/>
  <c r="J990" i="7"/>
  <c r="J991" i="7"/>
  <c r="J878" i="7"/>
  <c r="J877" i="7" s="1"/>
  <c r="J917" i="7"/>
  <c r="J916" i="7" s="1"/>
  <c r="H152" i="7"/>
  <c r="H151" i="7" s="1"/>
  <c r="H144" i="7" s="1"/>
  <c r="H132" i="7"/>
  <c r="H128" i="7" s="1"/>
  <c r="H75" i="7"/>
  <c r="H72" i="7" s="1"/>
  <c r="H71" i="7" s="1"/>
  <c r="H70" i="7" s="1"/>
  <c r="H69" i="7" s="1"/>
  <c r="H163" i="7"/>
  <c r="H162" i="7" s="1"/>
  <c r="H272" i="7"/>
  <c r="H376" i="7"/>
  <c r="H375" i="7" s="1"/>
  <c r="H374" i="7" s="1"/>
  <c r="H373" i="7" s="1"/>
  <c r="H365" i="7" s="1"/>
  <c r="H386" i="7"/>
  <c r="H385" i="7" s="1"/>
  <c r="H384" i="7" s="1"/>
  <c r="H383" i="7" s="1"/>
  <c r="H116" i="7"/>
  <c r="H110" i="7" s="1"/>
  <c r="H109" i="7" s="1"/>
  <c r="H108" i="7" s="1"/>
  <c r="H107" i="7" s="1"/>
  <c r="I279" i="7"/>
  <c r="I278" i="7" s="1"/>
  <c r="I277" i="7" s="1"/>
  <c r="I276" i="7" s="1"/>
  <c r="I275" i="7" s="1"/>
  <c r="I274" i="7" s="1"/>
  <c r="I273" i="7" s="1"/>
  <c r="I272" i="7" s="1"/>
  <c r="J435" i="7"/>
  <c r="F609" i="9" s="1"/>
  <c r="F577" i="9"/>
  <c r="F354" i="9"/>
  <c r="F353" i="9" s="1"/>
  <c r="F352" i="9" s="1"/>
  <c r="F351" i="9" s="1"/>
  <c r="F350" i="9" s="1"/>
  <c r="F345" i="9" s="1"/>
  <c r="E354" i="9"/>
  <c r="E353" i="9" s="1"/>
  <c r="E352" i="9" s="1"/>
  <c r="E351" i="9" s="1"/>
  <c r="E350" i="9" s="1"/>
  <c r="E345" i="9" s="1"/>
  <c r="G658" i="7"/>
  <c r="G657" i="7" s="1"/>
  <c r="G656" i="7" s="1"/>
  <c r="G655" i="7" s="1"/>
  <c r="F659" i="7"/>
  <c r="AF1092" i="2"/>
  <c r="AF1091" i="2" s="1"/>
  <c r="AF1090" i="2" s="1"/>
  <c r="AF1089" i="2" s="1"/>
  <c r="AE1092" i="2"/>
  <c r="AE1091" i="2" s="1"/>
  <c r="AE1090" i="2" s="1"/>
  <c r="AE1089" i="2" s="1"/>
  <c r="AD1092" i="2"/>
  <c r="AD1091" i="2" s="1"/>
  <c r="AD1090" i="2" s="1"/>
  <c r="AD1089" i="2" s="1"/>
  <c r="G944" i="7"/>
  <c r="G943" i="7" s="1"/>
  <c r="K944" i="7"/>
  <c r="K943" i="7" s="1"/>
  <c r="F945" i="7"/>
  <c r="F701" i="7"/>
  <c r="D132" i="9" s="1"/>
  <c r="D131" i="9" s="1"/>
  <c r="D130" i="9" s="1"/>
  <c r="G697" i="7"/>
  <c r="G696" i="7" s="1"/>
  <c r="K697" i="7"/>
  <c r="K696" i="7" s="1"/>
  <c r="F129" i="9"/>
  <c r="E129" i="9"/>
  <c r="F698" i="7"/>
  <c r="F697" i="7" s="1"/>
  <c r="F696" i="7" s="1"/>
  <c r="AE767" i="2"/>
  <c r="AE766" i="2" s="1"/>
  <c r="AF767" i="2"/>
  <c r="AF766" i="2" s="1"/>
  <c r="AD767" i="2"/>
  <c r="AD766" i="2" s="1"/>
  <c r="I810" i="7" l="1"/>
  <c r="I809" i="7" s="1"/>
  <c r="I785" i="7" s="1"/>
  <c r="H810" i="7"/>
  <c r="H809" i="7" s="1"/>
  <c r="H785" i="7" s="1"/>
  <c r="J856" i="7"/>
  <c r="J855" i="7" s="1"/>
  <c r="I935" i="7"/>
  <c r="I932" i="7" s="1"/>
  <c r="I931" i="7" s="1"/>
  <c r="I930" i="7" s="1"/>
  <c r="I929" i="7" s="1"/>
  <c r="I999" i="7"/>
  <c r="J679" i="7"/>
  <c r="AE1084" i="2"/>
  <c r="AE1083" i="2" s="1"/>
  <c r="AE1082" i="2" s="1"/>
  <c r="AE1081" i="2" s="1"/>
  <c r="AF1084" i="2"/>
  <c r="AF1083" i="2" s="1"/>
  <c r="AF1082" i="2" s="1"/>
  <c r="AF1081" i="2" s="1"/>
  <c r="AD1084" i="2"/>
  <c r="AD1083" i="2" s="1"/>
  <c r="AD1082" i="2" s="1"/>
  <c r="AD1081" i="2" s="1"/>
  <c r="G650" i="7"/>
  <c r="G649" i="7" s="1"/>
  <c r="G648" i="7" s="1"/>
  <c r="G647" i="7" s="1"/>
  <c r="J650" i="7"/>
  <c r="J649" i="7" s="1"/>
  <c r="J648" i="7" s="1"/>
  <c r="H650" i="7"/>
  <c r="H649" i="7" s="1"/>
  <c r="H648" i="7" s="1"/>
  <c r="H647" i="7" s="1"/>
  <c r="J488" i="7"/>
  <c r="J483" i="7" s="1"/>
  <c r="J482" i="7" s="1"/>
  <c r="H967" i="7"/>
  <c r="H966" i="7" s="1"/>
  <c r="H958" i="7" s="1"/>
  <c r="J973" i="7"/>
  <c r="J969" i="7" s="1"/>
  <c r="J968" i="7" s="1"/>
  <c r="J967" i="7" s="1"/>
  <c r="J966" i="7" s="1"/>
  <c r="J958" i="7" s="1"/>
  <c r="H217" i="7"/>
  <c r="H210" i="7" s="1"/>
  <c r="H209" i="7" s="1"/>
  <c r="I921" i="7"/>
  <c r="I920" i="7" s="1"/>
  <c r="I919" i="7" s="1"/>
  <c r="I937" i="7"/>
  <c r="K939" i="7"/>
  <c r="K938" i="7" s="1"/>
  <c r="G939" i="7"/>
  <c r="G938" i="7" s="1"/>
  <c r="J939" i="7"/>
  <c r="J938" i="7" s="1"/>
  <c r="F147" i="9"/>
  <c r="J753" i="7"/>
  <c r="J752" i="7" s="1"/>
  <c r="J692" i="7"/>
  <c r="I56" i="7"/>
  <c r="H743" i="7"/>
  <c r="H742" i="7" s="1"/>
  <c r="H731" i="7" s="1"/>
  <c r="J669" i="7"/>
  <c r="J665" i="7" s="1"/>
  <c r="J664" i="7" s="1"/>
  <c r="F65" i="9"/>
  <c r="F64" i="9" s="1"/>
  <c r="F63" i="9" s="1"/>
  <c r="F62" i="9" s="1"/>
  <c r="J572" i="7"/>
  <c r="J571" i="7" s="1"/>
  <c r="F40" i="10"/>
  <c r="J923" i="7"/>
  <c r="J922" i="7" s="1"/>
  <c r="J921" i="7" s="1"/>
  <c r="H418" i="7"/>
  <c r="H417" i="7" s="1"/>
  <c r="H357" i="7" s="1"/>
  <c r="J780" i="7"/>
  <c r="J779" i="7" s="1"/>
  <c r="J778" i="7" s="1"/>
  <c r="J777" i="7" s="1"/>
  <c r="J766" i="7" s="1"/>
  <c r="F50" i="10" s="1"/>
  <c r="J953" i="7"/>
  <c r="J952" i="7" s="1"/>
  <c r="J932" i="7"/>
  <c r="J931" i="7" s="1"/>
  <c r="J930" i="7" s="1"/>
  <c r="J929" i="7" s="1"/>
  <c r="F658" i="7"/>
  <c r="F657" i="7" s="1"/>
  <c r="F656" i="7" s="1"/>
  <c r="F655" i="7" s="1"/>
  <c r="J914" i="7"/>
  <c r="H923" i="7"/>
  <c r="H922" i="7" s="1"/>
  <c r="H921" i="7" s="1"/>
  <c r="I418" i="7"/>
  <c r="I417" i="7" s="1"/>
  <c r="I357" i="7" s="1"/>
  <c r="J946" i="7"/>
  <c r="J868" i="7"/>
  <c r="J867" i="7" s="1"/>
  <c r="J866" i="7" s="1"/>
  <c r="J620" i="7"/>
  <c r="J619" i="7" s="1"/>
  <c r="J618" i="7" s="1"/>
  <c r="J612" i="7" s="1"/>
  <c r="J721" i="7"/>
  <c r="J720" i="7" s="1"/>
  <c r="I189" i="7"/>
  <c r="I188" i="7" s="1"/>
  <c r="I178" i="7" s="1"/>
  <c r="I177" i="7" s="1"/>
  <c r="I170" i="7" s="1"/>
  <c r="K189" i="7"/>
  <c r="K188" i="7" s="1"/>
  <c r="K178" i="7" s="1"/>
  <c r="K177" i="7" s="1"/>
  <c r="J593" i="7"/>
  <c r="J592" i="7" s="1"/>
  <c r="J591" i="7" s="1"/>
  <c r="J590" i="7" s="1"/>
  <c r="J744" i="7"/>
  <c r="J635" i="7"/>
  <c r="J634" i="7" s="1"/>
  <c r="J633" i="7" s="1"/>
  <c r="J632" i="7" s="1"/>
  <c r="H37" i="7"/>
  <c r="J601" i="7"/>
  <c r="J600" i="7" s="1"/>
  <c r="J599" i="7" s="1"/>
  <c r="J598" i="7" s="1"/>
  <c r="H664" i="7"/>
  <c r="H866" i="7"/>
  <c r="J815" i="7"/>
  <c r="J811" i="7" s="1"/>
  <c r="J189" i="7"/>
  <c r="J188" i="7" s="1"/>
  <c r="D354" i="9"/>
  <c r="D353" i="9" s="1"/>
  <c r="D352" i="9" s="1"/>
  <c r="D351" i="9" s="1"/>
  <c r="D350" i="9" s="1"/>
  <c r="D345" i="9" s="1"/>
  <c r="H951" i="7"/>
  <c r="H189" i="7"/>
  <c r="H188" i="7" s="1"/>
  <c r="H178" i="7" s="1"/>
  <c r="J794" i="7"/>
  <c r="J793" i="7" s="1"/>
  <c r="J792" i="7" s="1"/>
  <c r="J786" i="7" s="1"/>
  <c r="H766" i="7"/>
  <c r="I677" i="7"/>
  <c r="I676" i="7" s="1"/>
  <c r="I675" i="7" s="1"/>
  <c r="H932" i="7"/>
  <c r="H931" i="7" s="1"/>
  <c r="H930" i="7" s="1"/>
  <c r="H929" i="7" s="1"/>
  <c r="I593" i="7"/>
  <c r="I592" i="7" s="1"/>
  <c r="I591" i="7" s="1"/>
  <c r="I590" i="7" s="1"/>
  <c r="I601" i="7"/>
  <c r="I600" i="7" s="1"/>
  <c r="I599" i="7" s="1"/>
  <c r="I598" i="7" s="1"/>
  <c r="H583" i="7"/>
  <c r="H946" i="7"/>
  <c r="H937" i="7" s="1"/>
  <c r="H947" i="7"/>
  <c r="H988" i="7"/>
  <c r="H989" i="7"/>
  <c r="J989" i="7"/>
  <c r="J988" i="7"/>
  <c r="D129" i="9"/>
  <c r="K950" i="7"/>
  <c r="K949" i="7" s="1"/>
  <c r="K948" i="7" s="1"/>
  <c r="K936" i="7"/>
  <c r="K935" i="7" s="1"/>
  <c r="K934" i="7"/>
  <c r="K933" i="7" s="1"/>
  <c r="K927" i="7"/>
  <c r="K926" i="7" s="1"/>
  <c r="K925" i="7"/>
  <c r="K924" i="7" s="1"/>
  <c r="K824" i="7"/>
  <c r="K823" i="7" s="1"/>
  <c r="K819" i="7"/>
  <c r="K816" i="7" s="1"/>
  <c r="K725" i="7"/>
  <c r="K724" i="7" s="1"/>
  <c r="K723" i="7" s="1"/>
  <c r="K695" i="7"/>
  <c r="K694" i="7" s="1"/>
  <c r="K693" i="7" s="1"/>
  <c r="K700" i="7"/>
  <c r="K699" i="7" s="1"/>
  <c r="K688" i="7"/>
  <c r="K687" i="7" s="1"/>
  <c r="K686" i="7" s="1"/>
  <c r="K674" i="7"/>
  <c r="K673" i="7" s="1"/>
  <c r="K672" i="7" s="1"/>
  <c r="K664" i="7" s="1"/>
  <c r="J452" i="7"/>
  <c r="J451" i="7" s="1"/>
  <c r="J450" i="7" s="1"/>
  <c r="J449" i="7" s="1"/>
  <c r="J448" i="7" s="1"/>
  <c r="J444" i="7"/>
  <c r="J443" i="7" s="1"/>
  <c r="K444" i="7"/>
  <c r="K443" i="7" s="1"/>
  <c r="J441" i="7"/>
  <c r="J440" i="7" s="1"/>
  <c r="J434" i="7"/>
  <c r="J433" i="7" s="1"/>
  <c r="J432" i="7" s="1"/>
  <c r="J419" i="7" s="1"/>
  <c r="K434" i="7"/>
  <c r="K433" i="7" s="1"/>
  <c r="K432" i="7" s="1"/>
  <c r="K419" i="7" s="1"/>
  <c r="J399" i="7"/>
  <c r="J398" i="7" s="1"/>
  <c r="J397" i="7" s="1"/>
  <c r="J396" i="7" s="1"/>
  <c r="J394" i="7"/>
  <c r="J393" i="7" s="1"/>
  <c r="K394" i="7"/>
  <c r="K393" i="7" s="1"/>
  <c r="K386" i="7" s="1"/>
  <c r="K385" i="7" s="1"/>
  <c r="K384" i="7" s="1"/>
  <c r="K383" i="7" s="1"/>
  <c r="J391" i="7"/>
  <c r="J390" i="7" s="1"/>
  <c r="J388" i="7"/>
  <c r="J387" i="7" s="1"/>
  <c r="J381" i="7"/>
  <c r="J380" i="7" s="1"/>
  <c r="J378" i="7"/>
  <c r="J371" i="7"/>
  <c r="J370" i="7" s="1"/>
  <c r="J369" i="7" s="1"/>
  <c r="J368" i="7" s="1"/>
  <c r="J367" i="7" s="1"/>
  <c r="J366" i="7" s="1"/>
  <c r="K364" i="7"/>
  <c r="K363" i="7" s="1"/>
  <c r="K362" i="7" s="1"/>
  <c r="K361" i="7" s="1"/>
  <c r="K360" i="7" s="1"/>
  <c r="K359" i="7" s="1"/>
  <c r="K358" i="7" s="1"/>
  <c r="J353" i="7"/>
  <c r="J337" i="7" s="1"/>
  <c r="J336" i="7" s="1"/>
  <c r="J335" i="7" s="1"/>
  <c r="F31" i="10" s="1"/>
  <c r="J291" i="7"/>
  <c r="J290" i="7" s="1"/>
  <c r="J289" i="7" s="1"/>
  <c r="J288" i="7" s="1"/>
  <c r="J285" i="7"/>
  <c r="J284" i="7" s="1"/>
  <c r="J283" i="7" s="1"/>
  <c r="J282" i="7" s="1"/>
  <c r="J281" i="7" s="1"/>
  <c r="J280" i="7" s="1"/>
  <c r="F27" i="10" s="1"/>
  <c r="K249" i="7"/>
  <c r="K248" i="7" s="1"/>
  <c r="K247" i="7" s="1"/>
  <c r="K246" i="7" s="1"/>
  <c r="K245" i="7" s="1"/>
  <c r="K239" i="7" s="1"/>
  <c r="J243" i="7"/>
  <c r="J242" i="7" s="1"/>
  <c r="J241" i="7" s="1"/>
  <c r="J240" i="7" s="1"/>
  <c r="J221" i="7"/>
  <c r="J219" i="7"/>
  <c r="J215" i="7"/>
  <c r="J214" i="7" s="1"/>
  <c r="J212" i="7"/>
  <c r="J211" i="7" s="1"/>
  <c r="J207" i="7"/>
  <c r="J206" i="7" s="1"/>
  <c r="J204" i="7"/>
  <c r="J203" i="7" s="1"/>
  <c r="J197" i="7"/>
  <c r="J196" i="7" s="1"/>
  <c r="J186" i="7"/>
  <c r="J181" i="7"/>
  <c r="J175" i="7"/>
  <c r="J174" i="7" s="1"/>
  <c r="J173" i="7" s="1"/>
  <c r="J172" i="7" s="1"/>
  <c r="J171" i="7" s="1"/>
  <c r="J168" i="7"/>
  <c r="J167" i="7" s="1"/>
  <c r="J165" i="7"/>
  <c r="J164" i="7" s="1"/>
  <c r="J160" i="7"/>
  <c r="J159" i="7" s="1"/>
  <c r="J157" i="7"/>
  <c r="J156" i="7" s="1"/>
  <c r="J154" i="7"/>
  <c r="J153" i="7" s="1"/>
  <c r="J149" i="7"/>
  <c r="J148" i="7" s="1"/>
  <c r="J147" i="7" s="1"/>
  <c r="J146" i="7" s="1"/>
  <c r="J145" i="7" s="1"/>
  <c r="J142" i="7"/>
  <c r="J141" i="7" s="1"/>
  <c r="J139" i="7"/>
  <c r="J138" i="7" s="1"/>
  <c r="J134" i="7"/>
  <c r="J133" i="7" s="1"/>
  <c r="J130" i="7"/>
  <c r="J129" i="7" s="1"/>
  <c r="J126" i="7"/>
  <c r="J125" i="7" s="1"/>
  <c r="J124" i="7" s="1"/>
  <c r="J123" i="7" s="1"/>
  <c r="J122" i="7" s="1"/>
  <c r="J120" i="7"/>
  <c r="J119" i="7" s="1"/>
  <c r="J117" i="7"/>
  <c r="J112" i="7"/>
  <c r="J111" i="7" s="1"/>
  <c r="J105" i="7"/>
  <c r="J104" i="7" s="1"/>
  <c r="J103" i="7" s="1"/>
  <c r="J102" i="7" s="1"/>
  <c r="J101" i="7" s="1"/>
  <c r="J98" i="7"/>
  <c r="J97" i="7" s="1"/>
  <c r="J96" i="7" s="1"/>
  <c r="J95" i="7" s="1"/>
  <c r="J94" i="7" s="1"/>
  <c r="J92" i="7"/>
  <c r="J91" i="7" s="1"/>
  <c r="J89" i="7"/>
  <c r="J88" i="7" s="1"/>
  <c r="J84" i="7"/>
  <c r="J81" i="7" s="1"/>
  <c r="J75" i="7"/>
  <c r="K74" i="7"/>
  <c r="K73" i="7" s="1"/>
  <c r="J67" i="7"/>
  <c r="K66" i="7"/>
  <c r="K65" i="7" s="1"/>
  <c r="J54" i="7"/>
  <c r="J53" i="7" s="1"/>
  <c r="J51" i="7"/>
  <c r="J50" i="7" s="1"/>
  <c r="J46" i="7"/>
  <c r="J45" i="7" s="1"/>
  <c r="J41" i="7"/>
  <c r="J39" i="7"/>
  <c r="J38" i="7" s="1"/>
  <c r="J35" i="7"/>
  <c r="J34" i="7" s="1"/>
  <c r="J33" i="7" s="1"/>
  <c r="J32" i="7" s="1"/>
  <c r="J31" i="7" s="1"/>
  <c r="J21" i="7"/>
  <c r="F772" i="9"/>
  <c r="F771" i="9" s="1"/>
  <c r="F769" i="9"/>
  <c r="F768" i="9" s="1"/>
  <c r="F765" i="9"/>
  <c r="F764" i="9" s="1"/>
  <c r="F762" i="9"/>
  <c r="F761" i="9" s="1"/>
  <c r="F757" i="9"/>
  <c r="F756" i="9" s="1"/>
  <c r="F750" i="9"/>
  <c r="F749" i="9" s="1"/>
  <c r="F747" i="9"/>
  <c r="F746" i="9" s="1"/>
  <c r="F744" i="9"/>
  <c r="F743" i="9" s="1"/>
  <c r="F740" i="9"/>
  <c r="F739" i="9" s="1"/>
  <c r="F737" i="9"/>
  <c r="F736" i="9" s="1"/>
  <c r="F732" i="9"/>
  <c r="F731" i="9" s="1"/>
  <c r="F728" i="9"/>
  <c r="F727" i="9" s="1"/>
  <c r="F725" i="9"/>
  <c r="F724" i="9" s="1"/>
  <c r="F720" i="9"/>
  <c r="F719" i="9" s="1"/>
  <c r="F718" i="9" s="1"/>
  <c r="F717" i="9" s="1"/>
  <c r="F713" i="9"/>
  <c r="F712" i="9" s="1"/>
  <c r="F710" i="9"/>
  <c r="F709" i="9" s="1"/>
  <c r="F705" i="9"/>
  <c r="F704" i="9" s="1"/>
  <c r="F699" i="9"/>
  <c r="F698" i="9" s="1"/>
  <c r="F697" i="9" s="1"/>
  <c r="F687" i="9"/>
  <c r="F686" i="9" s="1"/>
  <c r="F680" i="9"/>
  <c r="F679" i="9" s="1"/>
  <c r="F641" i="9"/>
  <c r="F640" i="9" s="1"/>
  <c r="F638" i="9"/>
  <c r="F637" i="9" s="1"/>
  <c r="F633" i="9"/>
  <c r="F632" i="9" s="1"/>
  <c r="F618" i="9"/>
  <c r="F617" i="9" s="1"/>
  <c r="F615" i="9"/>
  <c r="F614" i="9" s="1"/>
  <c r="F612" i="9"/>
  <c r="F611" i="9" s="1"/>
  <c r="F608" i="9"/>
  <c r="F607" i="9" s="1"/>
  <c r="F606" i="9" s="1"/>
  <c r="F587" i="9"/>
  <c r="F586" i="9" s="1"/>
  <c r="F585" i="9" s="1"/>
  <c r="F584" i="9" s="1"/>
  <c r="F581" i="9"/>
  <c r="F580" i="9" s="1"/>
  <c r="F579" i="9" s="1"/>
  <c r="F578" i="9" s="1"/>
  <c r="F576" i="9"/>
  <c r="F575" i="9" s="1"/>
  <c r="F573" i="9"/>
  <c r="F572" i="9" s="1"/>
  <c r="F570" i="9"/>
  <c r="F569" i="9" s="1"/>
  <c r="F565" i="9"/>
  <c r="F564" i="9" s="1"/>
  <c r="F555" i="9"/>
  <c r="F554" i="9" s="1"/>
  <c r="F553" i="9" s="1"/>
  <c r="F542" i="9"/>
  <c r="F540" i="9"/>
  <c r="F487" i="9"/>
  <c r="F486" i="9" s="1"/>
  <c r="F485" i="9" s="1"/>
  <c r="F483" i="9"/>
  <c r="F482" i="9" s="1"/>
  <c r="F481" i="9" s="1"/>
  <c r="F477" i="9"/>
  <c r="F476" i="9" s="1"/>
  <c r="F463" i="9"/>
  <c r="F461" i="9"/>
  <c r="F458" i="9"/>
  <c r="F456" i="9"/>
  <c r="F452" i="9"/>
  <c r="F451" i="9" s="1"/>
  <c r="F449" i="9"/>
  <c r="F448" i="9" s="1"/>
  <c r="F446" i="9"/>
  <c r="F445" i="9" s="1"/>
  <c r="F443" i="9"/>
  <c r="F442" i="9" s="1"/>
  <c r="F440" i="9"/>
  <c r="F439" i="9" s="1"/>
  <c r="F435" i="9"/>
  <c r="F434" i="9" s="1"/>
  <c r="F431" i="9"/>
  <c r="F430" i="9" s="1"/>
  <c r="F428" i="9"/>
  <c r="F427" i="9" s="1"/>
  <c r="F423" i="9"/>
  <c r="F420" i="9" s="1"/>
  <c r="F417" i="9"/>
  <c r="F416" i="9" s="1"/>
  <c r="F412" i="9"/>
  <c r="F411" i="9" s="1"/>
  <c r="F410" i="9" s="1"/>
  <c r="F409" i="9" s="1"/>
  <c r="F407" i="9"/>
  <c r="F406" i="9" s="1"/>
  <c r="F404" i="9"/>
  <c r="F403" i="9" s="1"/>
  <c r="F397" i="9"/>
  <c r="F396" i="9" s="1"/>
  <c r="F392" i="9"/>
  <c r="F389" i="9" s="1"/>
  <c r="F388" i="9" s="1"/>
  <c r="F390" i="9"/>
  <c r="F386" i="9"/>
  <c r="F385" i="9" s="1"/>
  <c r="F383" i="9"/>
  <c r="F378" i="9"/>
  <c r="F337" i="9"/>
  <c r="F336" i="9" s="1"/>
  <c r="F326" i="9"/>
  <c r="F324" i="9"/>
  <c r="F319" i="9"/>
  <c r="F318" i="9" s="1"/>
  <c r="F317" i="9" s="1"/>
  <c r="F316" i="9" s="1"/>
  <c r="F312" i="9"/>
  <c r="F311" i="9" s="1"/>
  <c r="F307" i="9"/>
  <c r="F306" i="9" s="1"/>
  <c r="F305" i="9" s="1"/>
  <c r="F304" i="9" s="1"/>
  <c r="F300" i="9"/>
  <c r="F299" i="9" s="1"/>
  <c r="F294" i="9"/>
  <c r="F293" i="9" s="1"/>
  <c r="F292" i="9" s="1"/>
  <c r="F289" i="9"/>
  <c r="F288" i="9" s="1"/>
  <c r="F284" i="9"/>
  <c r="F282" i="9"/>
  <c r="F279" i="9"/>
  <c r="F278" i="9" s="1"/>
  <c r="F276" i="9"/>
  <c r="F275" i="9" s="1"/>
  <c r="F272" i="9"/>
  <c r="F271" i="9" s="1"/>
  <c r="F270" i="9" s="1"/>
  <c r="F268" i="9"/>
  <c r="F267" i="9" s="1"/>
  <c r="F266" i="9" s="1"/>
  <c r="F264" i="9"/>
  <c r="F263" i="9" s="1"/>
  <c r="F262" i="9" s="1"/>
  <c r="F256" i="9"/>
  <c r="F252" i="9"/>
  <c r="F239" i="9"/>
  <c r="F238" i="9" s="1"/>
  <c r="F237" i="9"/>
  <c r="F236" i="9" s="1"/>
  <c r="F235" i="9" s="1"/>
  <c r="F230" i="9"/>
  <c r="F229" i="9" s="1"/>
  <c r="F224" i="9"/>
  <c r="F223" i="9" s="1"/>
  <c r="F215" i="9"/>
  <c r="F214" i="9" s="1"/>
  <c r="F213" i="9" s="1"/>
  <c r="F210" i="9"/>
  <c r="F209" i="9" s="1"/>
  <c r="F194" i="9"/>
  <c r="F193" i="9" s="1"/>
  <c r="F191" i="9"/>
  <c r="F190" i="9" s="1"/>
  <c r="F186" i="9"/>
  <c r="F185" i="9" s="1"/>
  <c r="F184" i="9" s="1"/>
  <c r="F169" i="9"/>
  <c r="F168" i="9" s="1"/>
  <c r="F166" i="9"/>
  <c r="F165" i="9" s="1"/>
  <c r="F163" i="9"/>
  <c r="F162" i="9" s="1"/>
  <c r="F158" i="9"/>
  <c r="F157" i="9" s="1"/>
  <c r="F144" i="9"/>
  <c r="F143" i="9" s="1"/>
  <c r="F139" i="9" s="1"/>
  <c r="F135" i="9"/>
  <c r="F134" i="9" s="1"/>
  <c r="F133" i="9" s="1"/>
  <c r="F128" i="9"/>
  <c r="F127" i="9" s="1"/>
  <c r="F110" i="9"/>
  <c r="F109" i="9" s="1"/>
  <c r="F107" i="9"/>
  <c r="F106" i="9" s="1"/>
  <c r="F91" i="9"/>
  <c r="F90" i="9" s="1"/>
  <c r="F88" i="9"/>
  <c r="F87" i="9" s="1"/>
  <c r="F61" i="9"/>
  <c r="F60" i="9" s="1"/>
  <c r="F59" i="9" s="1"/>
  <c r="F58" i="9"/>
  <c r="F57" i="9" s="1"/>
  <c r="F56" i="9" s="1"/>
  <c r="F52" i="9"/>
  <c r="F51" i="9" s="1"/>
  <c r="F49" i="9"/>
  <c r="F47" i="9"/>
  <c r="F38" i="9"/>
  <c r="F37" i="9" s="1"/>
  <c r="F35" i="9"/>
  <c r="F34" i="9" s="1"/>
  <c r="F30" i="9"/>
  <c r="F29" i="9" s="1"/>
  <c r="F28" i="9" s="1"/>
  <c r="F27" i="9" s="1"/>
  <c r="F24" i="9"/>
  <c r="F23" i="9" s="1"/>
  <c r="F22" i="9" s="1"/>
  <c r="F21" i="9" s="1"/>
  <c r="F20" i="9" s="1"/>
  <c r="F64" i="10"/>
  <c r="F54" i="10"/>
  <c r="AF1204" i="2"/>
  <c r="AF1203" i="2" s="1"/>
  <c r="AF1201" i="2"/>
  <c r="AF1200" i="2" s="1"/>
  <c r="AF1198" i="2"/>
  <c r="AF1197" i="2" s="1"/>
  <c r="AF1193" i="2"/>
  <c r="AF1192" i="2" s="1"/>
  <c r="AF1191" i="2" s="1"/>
  <c r="AF1190" i="2" s="1"/>
  <c r="AF1189" i="2" s="1"/>
  <c r="AF1184" i="2"/>
  <c r="AF1183" i="2" s="1"/>
  <c r="AF1182" i="2" s="1"/>
  <c r="AF1181" i="2" s="1"/>
  <c r="AF1180" i="2" s="1"/>
  <c r="AF1179" i="2" s="1"/>
  <c r="AF1178" i="2" s="1"/>
  <c r="AF1176" i="2"/>
  <c r="AF1175" i="2" s="1"/>
  <c r="AF1173" i="2"/>
  <c r="AF1172" i="2" s="1"/>
  <c r="AF1168" i="2"/>
  <c r="AF1167" i="2" s="1"/>
  <c r="AF1164" i="2"/>
  <c r="AF1163" i="2" s="1"/>
  <c r="AF1160" i="2"/>
  <c r="AF1159" i="2" s="1"/>
  <c r="AF1158" i="2" s="1"/>
  <c r="AF1157" i="2" s="1"/>
  <c r="AF1156" i="2" s="1"/>
  <c r="AF1154" i="2"/>
  <c r="AF1153" i="2" s="1"/>
  <c r="AF1152" i="2" s="1"/>
  <c r="AF1151" i="2" s="1"/>
  <c r="AF1150" i="2" s="1"/>
  <c r="AF1137" i="2"/>
  <c r="AF1136" i="2" s="1"/>
  <c r="AF1127" i="2"/>
  <c r="AF1125" i="2"/>
  <c r="AF1118" i="2"/>
  <c r="AF1117" i="2" s="1"/>
  <c r="AF1116" i="2" s="1"/>
  <c r="AF1115" i="2" s="1"/>
  <c r="AF1114" i="2" s="1"/>
  <c r="AF1113" i="2" s="1"/>
  <c r="AF1101" i="2"/>
  <c r="AF1100" i="2" s="1"/>
  <c r="AF1099" i="2" s="1"/>
  <c r="AF1098" i="2" s="1"/>
  <c r="AF1079" i="2"/>
  <c r="AF1078" i="2" s="1"/>
  <c r="AF1076" i="2"/>
  <c r="AF1075" i="2" s="1"/>
  <c r="AF1071" i="2"/>
  <c r="AF1070" i="2" s="1"/>
  <c r="AF1064" i="2"/>
  <c r="AF1063" i="2" s="1"/>
  <c r="AF1062" i="2" s="1"/>
  <c r="AF1061" i="2" s="1"/>
  <c r="AF1060" i="2" s="1"/>
  <c r="AF1058" i="2"/>
  <c r="AF1056" i="2"/>
  <c r="AF1039" i="2"/>
  <c r="AF1038" i="2" s="1"/>
  <c r="AF953" i="2"/>
  <c r="AF952" i="2" s="1"/>
  <c r="AF951" i="2" s="1"/>
  <c r="AF950" i="2" s="1"/>
  <c r="AF949" i="2" s="1"/>
  <c r="AF948" i="2" s="1"/>
  <c r="AF929" i="2"/>
  <c r="AF928" i="2" s="1"/>
  <c r="AF926" i="2"/>
  <c r="AF925" i="2" s="1"/>
  <c r="AF923" i="2"/>
  <c r="AF922" i="2" s="1"/>
  <c r="AF916" i="2"/>
  <c r="AF915" i="2" s="1"/>
  <c r="AF914" i="2" s="1"/>
  <c r="AF913" i="2" s="1"/>
  <c r="AF912" i="2" s="1"/>
  <c r="AF911" i="2" s="1"/>
  <c r="AF890" i="2"/>
  <c r="AF889" i="2" s="1"/>
  <c r="AF888" i="2" s="1"/>
  <c r="AF887" i="2" s="1"/>
  <c r="AF886" i="2" s="1"/>
  <c r="AF885" i="2" s="1"/>
  <c r="AF858" i="2"/>
  <c r="AF857" i="2" s="1"/>
  <c r="AF856" i="2" s="1"/>
  <c r="AF855" i="2" s="1"/>
  <c r="AF854" i="2" s="1"/>
  <c r="AF842" i="2"/>
  <c r="AF841" i="2" s="1"/>
  <c r="AF839" i="2"/>
  <c r="AF838" i="2" s="1"/>
  <c r="AF836" i="2"/>
  <c r="AF835" i="2" s="1"/>
  <c r="AF831" i="2"/>
  <c r="AF830" i="2" s="1"/>
  <c r="AF825" i="2"/>
  <c r="AF824" i="2" s="1"/>
  <c r="AF823" i="2" s="1"/>
  <c r="AF822" i="2" s="1"/>
  <c r="AF818" i="2"/>
  <c r="AF817" i="2" s="1"/>
  <c r="AF816" i="2" s="1"/>
  <c r="AF815" i="2" s="1"/>
  <c r="AF814" i="2" s="1"/>
  <c r="AF813" i="2" s="1"/>
  <c r="AF805" i="2"/>
  <c r="AF803" i="2"/>
  <c r="AF802" i="2" s="1"/>
  <c r="AF800" i="2"/>
  <c r="AF799" i="2" s="1"/>
  <c r="AF780" i="2"/>
  <c r="AF779" i="2" s="1"/>
  <c r="AF778" i="2" s="1"/>
  <c r="AF777" i="2" s="1"/>
  <c r="AF776" i="2" s="1"/>
  <c r="AF774" i="2"/>
  <c r="AF773" i="2" s="1"/>
  <c r="AF772" i="2" s="1"/>
  <c r="AF764" i="2"/>
  <c r="AF763" i="2" s="1"/>
  <c r="AF770" i="2"/>
  <c r="AF769" i="2" s="1"/>
  <c r="AF760" i="2"/>
  <c r="AF759" i="2" s="1"/>
  <c r="AF758" i="2"/>
  <c r="J688" i="7" s="1"/>
  <c r="AF754" i="2"/>
  <c r="AF753" i="2" s="1"/>
  <c r="AF751" i="2"/>
  <c r="AF750" i="2" s="1"/>
  <c r="AF743" i="2"/>
  <c r="AF742" i="2" s="1"/>
  <c r="AF740" i="2"/>
  <c r="AF739" i="2" s="1"/>
  <c r="AF737" i="2"/>
  <c r="AF736" i="2" s="1"/>
  <c r="AF728" i="2"/>
  <c r="AF727" i="2" s="1"/>
  <c r="AF726" i="2" s="1"/>
  <c r="AF725" i="2" s="1"/>
  <c r="AF712" i="2"/>
  <c r="AF711" i="2" s="1"/>
  <c r="AF710" i="2" s="1"/>
  <c r="AF709" i="2" s="1"/>
  <c r="AF708" i="2" s="1"/>
  <c r="AF707" i="2" s="1"/>
  <c r="AF706" i="2" s="1"/>
  <c r="AF703" i="2"/>
  <c r="AF702" i="2" s="1"/>
  <c r="AF701" i="2" s="1"/>
  <c r="AF696" i="2"/>
  <c r="AF695" i="2" s="1"/>
  <c r="AF694" i="2" s="1"/>
  <c r="AF693" i="2" s="1"/>
  <c r="AF692" i="2" s="1"/>
  <c r="AF691" i="2" s="1"/>
  <c r="AF684" i="2"/>
  <c r="AF683" i="2" s="1"/>
  <c r="AF682" i="2" s="1"/>
  <c r="AF681" i="2" s="1"/>
  <c r="AF680" i="2" s="1"/>
  <c r="AF678" i="2"/>
  <c r="AF677" i="2"/>
  <c r="AF674" i="2"/>
  <c r="AF668" i="2"/>
  <c r="AF667" i="2" s="1"/>
  <c r="AF660" i="2"/>
  <c r="AF659" i="2" s="1"/>
  <c r="AF657" i="2"/>
  <c r="AF656" i="2" s="1"/>
  <c r="AF651" i="2"/>
  <c r="AF650" i="2" s="1"/>
  <c r="AF649" i="2" s="1"/>
  <c r="AF648" i="2" s="1"/>
  <c r="AF647" i="2" s="1"/>
  <c r="AF642" i="2"/>
  <c r="AF641" i="2" s="1"/>
  <c r="AF640" i="2" s="1"/>
  <c r="AF639" i="2" s="1"/>
  <c r="AF638" i="2" s="1"/>
  <c r="AF637" i="2" s="1"/>
  <c r="AF636" i="2" s="1"/>
  <c r="AF634" i="2"/>
  <c r="AF633" i="2" s="1"/>
  <c r="AF632" i="2" s="1"/>
  <c r="AF631" i="2" s="1"/>
  <c r="AF630" i="2" s="1"/>
  <c r="AF628" i="2"/>
  <c r="AF627" i="2"/>
  <c r="AF625" i="2"/>
  <c r="AF624" i="2"/>
  <c r="AF620" i="2"/>
  <c r="AF619" i="2" s="1"/>
  <c r="AF613" i="2"/>
  <c r="AF612" i="2" s="1"/>
  <c r="AF611" i="2" s="1"/>
  <c r="AF610" i="2" s="1"/>
  <c r="AF609" i="2" s="1"/>
  <c r="AF604" i="2"/>
  <c r="AF603" i="2" s="1"/>
  <c r="AF602" i="2" s="1"/>
  <c r="AF601" i="2" s="1"/>
  <c r="AF600" i="2" s="1"/>
  <c r="AF599" i="2" s="1"/>
  <c r="AF598" i="2" s="1"/>
  <c r="AF587" i="2"/>
  <c r="AF586" i="2" s="1"/>
  <c r="AF584" i="2"/>
  <c r="AF583" i="2" s="1"/>
  <c r="AF579" i="2"/>
  <c r="AF578" i="2" s="1"/>
  <c r="AF575" i="2"/>
  <c r="AF574" i="2"/>
  <c r="AF572" i="2"/>
  <c r="AF571" i="2" s="1"/>
  <c r="AF568" i="2"/>
  <c r="AF567" i="2" s="1"/>
  <c r="AF566" i="2" s="1"/>
  <c r="AF565" i="2" s="1"/>
  <c r="AF564" i="2" s="1"/>
  <c r="AF553" i="2"/>
  <c r="AF543" i="2"/>
  <c r="AF542" i="2" s="1"/>
  <c r="AF541" i="2" s="1"/>
  <c r="AF534" i="2"/>
  <c r="AF527" i="2"/>
  <c r="AF526" i="2" s="1"/>
  <c r="AF525" i="2" s="1"/>
  <c r="AF524" i="2" s="1"/>
  <c r="AF523" i="2" s="1"/>
  <c r="AF522" i="2" s="1"/>
  <c r="AF519" i="2"/>
  <c r="AF518" i="2" s="1"/>
  <c r="AF517" i="2" s="1"/>
  <c r="AF512" i="2"/>
  <c r="AF511" i="2" s="1"/>
  <c r="AF510" i="2" s="1"/>
  <c r="AF504" i="2"/>
  <c r="AF503" i="2" s="1"/>
  <c r="AF502" i="2" s="1"/>
  <c r="AF501" i="2" s="1"/>
  <c r="AF500" i="2" s="1"/>
  <c r="AF499" i="2" s="1"/>
  <c r="AF498" i="2" s="1"/>
  <c r="AF478" i="2"/>
  <c r="AF477" i="2" s="1"/>
  <c r="AF475" i="2"/>
  <c r="AF474" i="2" s="1"/>
  <c r="AF470" i="2"/>
  <c r="AF469" i="2" s="1"/>
  <c r="AF467" i="2"/>
  <c r="AF465" i="2"/>
  <c r="AF456" i="2"/>
  <c r="AF455" i="2" s="1"/>
  <c r="AF453" i="2"/>
  <c r="AF452" i="2" s="1"/>
  <c r="AF448" i="2"/>
  <c r="AF447" i="2" s="1"/>
  <c r="AF446" i="2" s="1"/>
  <c r="AF445" i="2" s="1"/>
  <c r="AF436" i="2"/>
  <c r="AF435" i="2" s="1"/>
  <c r="AF423" i="2"/>
  <c r="AF422" i="2" s="1"/>
  <c r="AF421" i="2" s="1"/>
  <c r="AF420" i="2" s="1"/>
  <c r="AF419" i="2" s="1"/>
  <c r="AF417" i="2"/>
  <c r="AF416" i="2" s="1"/>
  <c r="AF415" i="2" s="1"/>
  <c r="AF413" i="2"/>
  <c r="AF412" i="2" s="1"/>
  <c r="AF411" i="2" s="1"/>
  <c r="AF400" i="2"/>
  <c r="AF399" i="2" s="1"/>
  <c r="AF398" i="2" s="1"/>
  <c r="AF381" i="2"/>
  <c r="AF380" i="2" s="1"/>
  <c r="AF378" i="2"/>
  <c r="AF377" i="2" s="1"/>
  <c r="AF373" i="2"/>
  <c r="AF372" i="2" s="1"/>
  <c r="AF367" i="2"/>
  <c r="AF366" i="2" s="1"/>
  <c r="AF365" i="2" s="1"/>
  <c r="AF364" i="2" s="1"/>
  <c r="AF361" i="2"/>
  <c r="AF360" i="2" s="1"/>
  <c r="AF359" i="2" s="1"/>
  <c r="AF358" i="2" s="1"/>
  <c r="AF357" i="2" s="1"/>
  <c r="AF355" i="2"/>
  <c r="AF354" i="2" s="1"/>
  <c r="AF353" i="2" s="1"/>
  <c r="AF352" i="2" s="1"/>
  <c r="AF351" i="2" s="1"/>
  <c r="AF348" i="2"/>
  <c r="AF347" i="2" s="1"/>
  <c r="AF334" i="2"/>
  <c r="AF333" i="2" s="1"/>
  <c r="AF332" i="2" s="1"/>
  <c r="AF331" i="2" s="1"/>
  <c r="AF330" i="2" s="1"/>
  <c r="AF326" i="2"/>
  <c r="AF324" i="2"/>
  <c r="AF321" i="2"/>
  <c r="AF320" i="2" s="1"/>
  <c r="AF307" i="2"/>
  <c r="AF297" i="2"/>
  <c r="AF296" i="2" s="1"/>
  <c r="AF295" i="2" s="1"/>
  <c r="AF294" i="2" s="1"/>
  <c r="AF293" i="2" s="1"/>
  <c r="AF289" i="2"/>
  <c r="AF288" i="2" s="1"/>
  <c r="AF286" i="2"/>
  <c r="AF285" i="2" s="1"/>
  <c r="AF264" i="2"/>
  <c r="AF263" i="2" s="1"/>
  <c r="AF262" i="2" s="1"/>
  <c r="AF261" i="2" s="1"/>
  <c r="AF260" i="2" s="1"/>
  <c r="AF259" i="2" s="1"/>
  <c r="AF257" i="2"/>
  <c r="AF256" i="2" s="1"/>
  <c r="AF254" i="2"/>
  <c r="AF253" i="2" s="1"/>
  <c r="AF247" i="2"/>
  <c r="AF246" i="2" s="1"/>
  <c r="AF245" i="2" s="1"/>
  <c r="AF244" i="2" s="1"/>
  <c r="AF243" i="2" s="1"/>
  <c r="AF242" i="2" s="1"/>
  <c r="AF201" i="2"/>
  <c r="AF200" i="2" s="1"/>
  <c r="AF238" i="2"/>
  <c r="AF237" i="2" s="1"/>
  <c r="AF236" i="2" s="1"/>
  <c r="AF234" i="2"/>
  <c r="AF233" i="2" s="1"/>
  <c r="AF232" i="2" s="1"/>
  <c r="AF230" i="2"/>
  <c r="AF224" i="2"/>
  <c r="AF223" i="2" s="1"/>
  <c r="AF216" i="2"/>
  <c r="AF215" i="2" s="1"/>
  <c r="AF214" i="2" s="1"/>
  <c r="AF213" i="2" s="1"/>
  <c r="AF212" i="2" s="1"/>
  <c r="AF208" i="2"/>
  <c r="AF206" i="2"/>
  <c r="AF183" i="2"/>
  <c r="AF182" i="2" s="1"/>
  <c r="AF181" i="2" s="1"/>
  <c r="AF180" i="2" s="1"/>
  <c r="AF178" i="2"/>
  <c r="AF177" i="2" s="1"/>
  <c r="AF176" i="2" s="1"/>
  <c r="AF175" i="2" s="1"/>
  <c r="AF194" i="2"/>
  <c r="AF190" i="2"/>
  <c r="AF189" i="2" s="1"/>
  <c r="AF188" i="2" s="1"/>
  <c r="AF170" i="2"/>
  <c r="AF169" i="2" s="1"/>
  <c r="AF168" i="2" s="1"/>
  <c r="AF167" i="2" s="1"/>
  <c r="AF166" i="2" s="1"/>
  <c r="AF165" i="2" s="1"/>
  <c r="AF163" i="2"/>
  <c r="AF162" i="2" s="1"/>
  <c r="AF161" i="2" s="1"/>
  <c r="AF160" i="2" s="1"/>
  <c r="AF159" i="2" s="1"/>
  <c r="AF158" i="2" s="1"/>
  <c r="AF151" i="2"/>
  <c r="AF150" i="2" s="1"/>
  <c r="AF149" i="2" s="1"/>
  <c r="AF143" i="2"/>
  <c r="AF137" i="2"/>
  <c r="AF136" i="2" s="1"/>
  <c r="AF135" i="2" s="1"/>
  <c r="AF133" i="2"/>
  <c r="AF128" i="2"/>
  <c r="AF127" i="2" s="1"/>
  <c r="AF126" i="2" s="1"/>
  <c r="AF125" i="2" s="1"/>
  <c r="AF111" i="2"/>
  <c r="J226" i="7" s="1"/>
  <c r="AF109" i="2"/>
  <c r="AF106" i="2"/>
  <c r="AF104" i="2"/>
  <c r="AF100" i="2"/>
  <c r="AF99" i="2"/>
  <c r="AF95" i="2"/>
  <c r="AF84" i="2"/>
  <c r="AF83" i="2" s="1"/>
  <c r="AF82" i="2" s="1"/>
  <c r="AF81" i="2" s="1"/>
  <c r="AF80" i="2" s="1"/>
  <c r="AF77" i="2"/>
  <c r="AF76" i="2" s="1"/>
  <c r="AF74" i="2"/>
  <c r="AF73" i="2" s="1"/>
  <c r="AF69" i="2"/>
  <c r="AF68" i="2" s="1"/>
  <c r="AF67" i="2" s="1"/>
  <c r="AF66" i="2" s="1"/>
  <c r="AF65" i="2" s="1"/>
  <c r="AF63" i="2"/>
  <c r="AF62" i="2" s="1"/>
  <c r="AF60" i="2"/>
  <c r="AF59" i="2" s="1"/>
  <c r="AF55" i="2"/>
  <c r="AF52" i="2" s="1"/>
  <c r="AF46" i="2"/>
  <c r="AF44" i="2"/>
  <c r="AF38" i="2"/>
  <c r="AF36" i="2"/>
  <c r="AF25" i="2"/>
  <c r="AF24" i="2" s="1"/>
  <c r="AF23" i="2" s="1"/>
  <c r="AF22" i="2" s="1"/>
  <c r="AF21" i="2" s="1"/>
  <c r="AF20" i="2" s="1"/>
  <c r="AF343" i="2" l="1"/>
  <c r="J810" i="7"/>
  <c r="J809" i="7" s="1"/>
  <c r="J785" i="7" s="1"/>
  <c r="F51" i="10" s="1"/>
  <c r="J849" i="7"/>
  <c r="J848" i="7" s="1"/>
  <c r="AF451" i="2"/>
  <c r="AF450" i="2" s="1"/>
  <c r="F33" i="9"/>
  <c r="F32" i="9" s="1"/>
  <c r="H849" i="7"/>
  <c r="H848" i="7" s="1"/>
  <c r="H847" i="7" s="1"/>
  <c r="AF551" i="2"/>
  <c r="AF552" i="2"/>
  <c r="J647" i="7"/>
  <c r="F45" i="10"/>
  <c r="F44" i="10" s="1"/>
  <c r="F610" i="9"/>
  <c r="F593" i="9" s="1"/>
  <c r="F460" i="9"/>
  <c r="F650" i="7"/>
  <c r="F649" i="7" s="1"/>
  <c r="F648" i="7" s="1"/>
  <c r="AF227" i="2"/>
  <c r="AF226" i="2" s="1"/>
  <c r="AF193" i="2"/>
  <c r="AF192" i="2" s="1"/>
  <c r="AF187" i="2" s="1"/>
  <c r="F251" i="9"/>
  <c r="F250" i="9" s="1"/>
  <c r="F249" i="9" s="1"/>
  <c r="AF222" i="2"/>
  <c r="AF221" i="2" s="1"/>
  <c r="F377" i="9"/>
  <c r="F376" i="9" s="1"/>
  <c r="AF323" i="2"/>
  <c r="AF319" i="2" s="1"/>
  <c r="AF318" i="2" s="1"/>
  <c r="AF317" i="2" s="1"/>
  <c r="AF666" i="2"/>
  <c r="AF665" i="2" s="1"/>
  <c r="AF199" i="2"/>
  <c r="AF198" i="2" s="1"/>
  <c r="F281" i="9"/>
  <c r="F274" i="9" s="1"/>
  <c r="F323" i="9"/>
  <c r="F322" i="9" s="1"/>
  <c r="F321" i="9" s="1"/>
  <c r="AF533" i="2"/>
  <c r="AF532" i="2" s="1"/>
  <c r="AF531" i="2" s="1"/>
  <c r="J180" i="7"/>
  <c r="J179" i="7" s="1"/>
  <c r="AF89" i="2"/>
  <c r="AF88" i="2" s="1"/>
  <c r="AF87" i="2" s="1"/>
  <c r="I928" i="7"/>
  <c r="I911" i="7" s="1"/>
  <c r="AF1132" i="2"/>
  <c r="AF1131" i="2" s="1"/>
  <c r="AF1130" i="2" s="1"/>
  <c r="AF1129" i="2" s="1"/>
  <c r="F332" i="9"/>
  <c r="F331" i="9" s="1"/>
  <c r="J937" i="7"/>
  <c r="J928" i="7" s="1"/>
  <c r="F59" i="10" s="1"/>
  <c r="F219" i="9"/>
  <c r="F218" i="9" s="1"/>
  <c r="F767" i="9"/>
  <c r="AF762" i="2"/>
  <c r="K692" i="7"/>
  <c r="AF724" i="2"/>
  <c r="AF723" i="2" s="1"/>
  <c r="AF722" i="2" s="1"/>
  <c r="K170" i="7"/>
  <c r="J439" i="7"/>
  <c r="J438" i="7" s="1"/>
  <c r="J437" i="7" s="1"/>
  <c r="J436" i="7" s="1"/>
  <c r="AF284" i="2"/>
  <c r="AF283" i="2" s="1"/>
  <c r="K439" i="7"/>
  <c r="K438" i="7" s="1"/>
  <c r="K437" i="7" s="1"/>
  <c r="K436" i="7" s="1"/>
  <c r="J224" i="7"/>
  <c r="J223" i="7" s="1"/>
  <c r="AF108" i="2"/>
  <c r="J218" i="7"/>
  <c r="AF103" i="2"/>
  <c r="F455" i="9"/>
  <c r="AF174" i="2"/>
  <c r="AF173" i="2" s="1"/>
  <c r="J80" i="7"/>
  <c r="J79" i="7" s="1"/>
  <c r="J78" i="7" s="1"/>
  <c r="J77" i="7" s="1"/>
  <c r="F419" i="9"/>
  <c r="F86" i="9"/>
  <c r="J287" i="7"/>
  <c r="J743" i="7"/>
  <c r="J742" i="7" s="1"/>
  <c r="J731" i="7" s="1"/>
  <c r="H920" i="7"/>
  <c r="H919" i="7" s="1"/>
  <c r="K722" i="7"/>
  <c r="K721" i="7" s="1"/>
  <c r="K720" i="7" s="1"/>
  <c r="J663" i="7"/>
  <c r="J662" i="7" s="1"/>
  <c r="J661" i="7" s="1"/>
  <c r="K663" i="7"/>
  <c r="K662" i="7" s="1"/>
  <c r="K661" i="7" s="1"/>
  <c r="H663" i="7"/>
  <c r="H662" i="7" s="1"/>
  <c r="H661" i="7" s="1"/>
  <c r="J920" i="7"/>
  <c r="J919" i="7" s="1"/>
  <c r="J951" i="7"/>
  <c r="F60" i="10" s="1"/>
  <c r="I15" i="7"/>
  <c r="J583" i="7"/>
  <c r="F42" i="10" s="1"/>
  <c r="I660" i="7"/>
  <c r="AF577" i="2"/>
  <c r="AF570" i="2" s="1"/>
  <c r="AF1069" i="2"/>
  <c r="AF1068" i="2" s="1"/>
  <c r="AF1067" i="2" s="1"/>
  <c r="AF1066" i="2" s="1"/>
  <c r="AF749" i="2"/>
  <c r="H177" i="7"/>
  <c r="H170" i="7" s="1"/>
  <c r="F114" i="9"/>
  <c r="J687" i="7"/>
  <c r="J686" i="7" s="1"/>
  <c r="J678" i="7" s="1"/>
  <c r="J677" i="7" s="1"/>
  <c r="J676" i="7" s="1"/>
  <c r="J675" i="7" s="1"/>
  <c r="AF306" i="2"/>
  <c r="AF305" i="2" s="1"/>
  <c r="AF301" i="2" s="1"/>
  <c r="J462" i="7"/>
  <c r="AF132" i="2"/>
  <c r="J248" i="7"/>
  <c r="AF32" i="2"/>
  <c r="AF31" i="2" s="1"/>
  <c r="AF30" i="2" s="1"/>
  <c r="J62" i="7"/>
  <c r="F76" i="9" s="1"/>
  <c r="AF757" i="2"/>
  <c r="AF756" i="2" s="1"/>
  <c r="AF1055" i="2"/>
  <c r="AF1054" i="2" s="1"/>
  <c r="AF1053" i="2" s="1"/>
  <c r="AF1052" i="2" s="1"/>
  <c r="AF1196" i="2"/>
  <c r="AF1195" i="2" s="1"/>
  <c r="F63" i="10"/>
  <c r="J377" i="7"/>
  <c r="J376" i="7" s="1"/>
  <c r="J375" i="7" s="1"/>
  <c r="J374" i="7" s="1"/>
  <c r="J373" i="7" s="1"/>
  <c r="J365" i="7" s="1"/>
  <c r="F34" i="10" s="1"/>
  <c r="F563" i="9"/>
  <c r="F562" i="9" s="1"/>
  <c r="F561" i="9" s="1"/>
  <c r="F560" i="9" s="1"/>
  <c r="F559" i="9" s="1"/>
  <c r="F558" i="9" s="1"/>
  <c r="AF142" i="2"/>
  <c r="J258" i="7"/>
  <c r="H928" i="7"/>
  <c r="AF846" i="2"/>
  <c r="AF845" i="2" s="1"/>
  <c r="AF844" i="2" s="1"/>
  <c r="J20" i="7"/>
  <c r="J19" i="7" s="1"/>
  <c r="J18" i="7" s="1"/>
  <c r="J17" i="7" s="1"/>
  <c r="J16" i="7" s="1"/>
  <c r="F18" i="10" s="1"/>
  <c r="I583" i="7"/>
  <c r="I446" i="7" s="1"/>
  <c r="AF205" i="2"/>
  <c r="AF204" i="2" s="1"/>
  <c r="AF203" i="2" s="1"/>
  <c r="F105" i="9"/>
  <c r="F730" i="9"/>
  <c r="F742" i="9"/>
  <c r="F433" i="9"/>
  <c r="AF434" i="2"/>
  <c r="AF430" i="2" s="1"/>
  <c r="AF896" i="2"/>
  <c r="AF895" i="2" s="1"/>
  <c r="AF894" i="2" s="1"/>
  <c r="AF893" i="2" s="1"/>
  <c r="AF892" i="2" s="1"/>
  <c r="AF884" i="2" s="1"/>
  <c r="AF157" i="2"/>
  <c r="AF371" i="2"/>
  <c r="AF370" i="2" s="1"/>
  <c r="AF369" i="2" s="1"/>
  <c r="AF363" i="2" s="1"/>
  <c r="AF540" i="2"/>
  <c r="AF539" i="2" s="1"/>
  <c r="AF655" i="2"/>
  <c r="AF1047" i="2"/>
  <c r="AF1046" i="2" s="1"/>
  <c r="AF1045" i="2" s="1"/>
  <c r="AF1044" i="2" s="1"/>
  <c r="AF735" i="2"/>
  <c r="AF734" i="2" s="1"/>
  <c r="AF1124" i="2"/>
  <c r="AF1122" i="2" s="1"/>
  <c r="AF1121" i="2" s="1"/>
  <c r="AF1166" i="2"/>
  <c r="AF1162" i="2" s="1"/>
  <c r="AF1149" i="2" s="1"/>
  <c r="AF1148" i="2" s="1"/>
  <c r="AF1147" i="2" s="1"/>
  <c r="AF516" i="2"/>
  <c r="AF515" i="2" s="1"/>
  <c r="F55" i="9"/>
  <c r="F54" i="9" s="1"/>
  <c r="AF798" i="2"/>
  <c r="AF797" i="2" s="1"/>
  <c r="AF796" i="2" s="1"/>
  <c r="AF795" i="2" s="1"/>
  <c r="AF794" i="2" s="1"/>
  <c r="AF252" i="2"/>
  <c r="AF251" i="2" s="1"/>
  <c r="AF250" i="2" s="1"/>
  <c r="AF249" i="2" s="1"/>
  <c r="AF241" i="2" s="1"/>
  <c r="AF410" i="2"/>
  <c r="AF409" i="2" s="1"/>
  <c r="AF408" i="2" s="1"/>
  <c r="AF473" i="2"/>
  <c r="AF472" i="2" s="1"/>
  <c r="AF618" i="2"/>
  <c r="AF617" i="2" s="1"/>
  <c r="AF616" i="2" s="1"/>
  <c r="AF615" i="2" s="1"/>
  <c r="AF608" i="2" s="1"/>
  <c r="AF607" i="2" s="1"/>
  <c r="AF606" i="2" s="1"/>
  <c r="AF1037" i="2"/>
  <c r="AF1036" i="2" s="1"/>
  <c r="AF1017" i="2" s="1"/>
  <c r="AF967" i="2" s="1"/>
  <c r="AF464" i="2"/>
  <c r="AF463" i="2" s="1"/>
  <c r="AF462" i="2" s="1"/>
  <c r="AF921" i="2"/>
  <c r="AF920" i="2" s="1"/>
  <c r="AF919" i="2" s="1"/>
  <c r="J152" i="7"/>
  <c r="J151" i="7" s="1"/>
  <c r="F480" i="9"/>
  <c r="K815" i="7"/>
  <c r="K811" i="7" s="1"/>
  <c r="J42" i="7"/>
  <c r="K932" i="7"/>
  <c r="K931" i="7" s="1"/>
  <c r="K930" i="7" s="1"/>
  <c r="K929" i="7" s="1"/>
  <c r="F138" i="9"/>
  <c r="J363" i="7"/>
  <c r="J362" i="7" s="1"/>
  <c r="J361" i="7" s="1"/>
  <c r="J360" i="7" s="1"/>
  <c r="J359" i="7" s="1"/>
  <c r="J358" i="7" s="1"/>
  <c r="F33" i="10" s="1"/>
  <c r="J44" i="7"/>
  <c r="J37" i="7" s="1"/>
  <c r="F703" i="9"/>
  <c r="F702" i="9" s="1"/>
  <c r="F701" i="9" s="1"/>
  <c r="F755" i="9"/>
  <c r="F395" i="9"/>
  <c r="F394" i="9" s="1"/>
  <c r="K597" i="7"/>
  <c r="K596" i="7" s="1"/>
  <c r="K605" i="7"/>
  <c r="K604" i="7" s="1"/>
  <c r="K68" i="7"/>
  <c r="K67" i="7" s="1"/>
  <c r="K64" i="7" s="1"/>
  <c r="K63" i="7" s="1"/>
  <c r="K58" i="7" s="1"/>
  <c r="K57" i="7" s="1"/>
  <c r="K76" i="7"/>
  <c r="K75" i="7" s="1"/>
  <c r="K72" i="7" s="1"/>
  <c r="K71" i="7" s="1"/>
  <c r="K70" i="7" s="1"/>
  <c r="K69" i="7" s="1"/>
  <c r="K279" i="7"/>
  <c r="K278" i="7" s="1"/>
  <c r="K277" i="7" s="1"/>
  <c r="K276" i="7" s="1"/>
  <c r="K275" i="7" s="1"/>
  <c r="K274" i="7" s="1"/>
  <c r="K273" i="7" s="1"/>
  <c r="K272" i="7" s="1"/>
  <c r="J278" i="7"/>
  <c r="J277" i="7" s="1"/>
  <c r="J276" i="7" s="1"/>
  <c r="J275" i="7" s="1"/>
  <c r="J274" i="7" s="1"/>
  <c r="J273" i="7" s="1"/>
  <c r="K691" i="7"/>
  <c r="K690" i="7" s="1"/>
  <c r="K689" i="7" s="1"/>
  <c r="K678" i="7" s="1"/>
  <c r="F298" i="9"/>
  <c r="F291" i="9" s="1"/>
  <c r="F716" i="9"/>
  <c r="F715" i="9" s="1"/>
  <c r="J65" i="7"/>
  <c r="J64" i="7" s="1"/>
  <c r="J63" i="7" s="1"/>
  <c r="J73" i="7"/>
  <c r="J72" i="7" s="1"/>
  <c r="J71" i="7" s="1"/>
  <c r="J70" i="7" s="1"/>
  <c r="J69" i="7" s="1"/>
  <c r="J132" i="7"/>
  <c r="J128" i="7" s="1"/>
  <c r="K595" i="7"/>
  <c r="K603" i="7"/>
  <c r="K602" i="7" s="1"/>
  <c r="K791" i="7"/>
  <c r="K790" i="7" s="1"/>
  <c r="K789" i="7" s="1"/>
  <c r="K788" i="7" s="1"/>
  <c r="K787" i="7" s="1"/>
  <c r="K786" i="7" s="1"/>
  <c r="F146" i="9"/>
  <c r="F156" i="9"/>
  <c r="F155" i="9" s="1"/>
  <c r="F154" i="9" s="1"/>
  <c r="F189" i="9"/>
  <c r="F188" i="9" s="1"/>
  <c r="F310" i="9"/>
  <c r="F309" i="9" s="1"/>
  <c r="F539" i="9"/>
  <c r="F538" i="9" s="1"/>
  <c r="F537" i="9" s="1"/>
  <c r="J195" i="7"/>
  <c r="J194" i="7" s="1"/>
  <c r="K617" i="7"/>
  <c r="K616" i="7" s="1"/>
  <c r="K615" i="7" s="1"/>
  <c r="K614" i="7" s="1"/>
  <c r="K613" i="7" s="1"/>
  <c r="K612" i="7" s="1"/>
  <c r="K923" i="7"/>
  <c r="K922" i="7" s="1"/>
  <c r="J163" i="7"/>
  <c r="J162" i="7" s="1"/>
  <c r="F23" i="10" s="1"/>
  <c r="J386" i="7"/>
  <c r="J385" i="7" s="1"/>
  <c r="J384" i="7" s="1"/>
  <c r="J383" i="7" s="1"/>
  <c r="J116" i="7"/>
  <c r="J110" i="7" s="1"/>
  <c r="J109" i="7" s="1"/>
  <c r="J108" i="7" s="1"/>
  <c r="J107" i="7" s="1"/>
  <c r="K947" i="7"/>
  <c r="K946" i="7"/>
  <c r="K937" i="7" s="1"/>
  <c r="F46" i="9"/>
  <c r="F45" i="9" s="1"/>
  <c r="F44" i="9" s="1"/>
  <c r="F234" i="9"/>
  <c r="F233" i="9" s="1"/>
  <c r="F232" i="9" s="1"/>
  <c r="F631" i="9"/>
  <c r="F630" i="9" s="1"/>
  <c r="F629" i="9" s="1"/>
  <c r="F678" i="9"/>
  <c r="F677" i="9" s="1"/>
  <c r="F212" i="9"/>
  <c r="F568" i="9"/>
  <c r="F567" i="9" s="1"/>
  <c r="AF508" i="2"/>
  <c r="AF507" i="2" s="1"/>
  <c r="AF509" i="2"/>
  <c r="AF829" i="2"/>
  <c r="AF828" i="2" s="1"/>
  <c r="AF827" i="2" s="1"/>
  <c r="AF821" i="2" s="1"/>
  <c r="AF700" i="2"/>
  <c r="AF699" i="2" s="1"/>
  <c r="AF698" i="2" s="1"/>
  <c r="AF690" i="2" s="1"/>
  <c r="AF1097" i="2"/>
  <c r="AF1096" i="2" s="1"/>
  <c r="AF1095" i="2" s="1"/>
  <c r="AF1094" i="2" s="1"/>
  <c r="AF397" i="2"/>
  <c r="AF72" i="2"/>
  <c r="AF71" i="2" s="1"/>
  <c r="AF51" i="2"/>
  <c r="AF50" i="2" s="1"/>
  <c r="AF49" i="2" s="1"/>
  <c r="AF48" i="2" s="1"/>
  <c r="AF43" i="2"/>
  <c r="AF42" i="2" s="1"/>
  <c r="AF41" i="2" s="1"/>
  <c r="AF40" i="2" s="1"/>
  <c r="AF35" i="2"/>
  <c r="AF34" i="2" s="1"/>
  <c r="AF342" i="2" l="1"/>
  <c r="AF336" i="2" s="1"/>
  <c r="K810" i="7"/>
  <c r="K809" i="7" s="1"/>
  <c r="K785" i="7" s="1"/>
  <c r="AF429" i="2"/>
  <c r="AF300" i="2"/>
  <c r="AF299" i="2" s="1"/>
  <c r="AF292" i="2" s="1"/>
  <c r="F647" i="7"/>
  <c r="D45" i="10"/>
  <c r="D44" i="10" s="1"/>
  <c r="AF220" i="2"/>
  <c r="AF219" i="2" s="1"/>
  <c r="AF218" i="2" s="1"/>
  <c r="AF557" i="2"/>
  <c r="AF556" i="2" s="1"/>
  <c r="AF555" i="2" s="1"/>
  <c r="J23" i="7"/>
  <c r="F19" i="10" s="1"/>
  <c r="AF918" i="2"/>
  <c r="AF910" i="2" s="1"/>
  <c r="F454" i="9"/>
  <c r="F415" i="9" s="1"/>
  <c r="F414" i="9" s="1"/>
  <c r="J217" i="7"/>
  <c r="J210" i="7" s="1"/>
  <c r="J209" i="7" s="1"/>
  <c r="AF102" i="2"/>
  <c r="AF98" i="2" s="1"/>
  <c r="AF97" i="2" s="1"/>
  <c r="AF86" i="2" s="1"/>
  <c r="K921" i="7"/>
  <c r="K920" i="7" s="1"/>
  <c r="K919" i="7" s="1"/>
  <c r="J847" i="7"/>
  <c r="AF820" i="2"/>
  <c r="AF282" i="2"/>
  <c r="AF281" i="2" s="1"/>
  <c r="AF267" i="2"/>
  <c r="AF266" i="2" s="1"/>
  <c r="AF1188" i="2"/>
  <c r="AF1187" i="2" s="1"/>
  <c r="AF1186" i="2" s="1"/>
  <c r="J144" i="7"/>
  <c r="F22" i="10" s="1"/>
  <c r="E47" i="10"/>
  <c r="F47" i="10"/>
  <c r="F37" i="10"/>
  <c r="K56" i="7"/>
  <c r="K15" i="7" s="1"/>
  <c r="AF186" i="2"/>
  <c r="AF185" i="2" s="1"/>
  <c r="F248" i="9"/>
  <c r="F247" i="9" s="1"/>
  <c r="J61" i="7"/>
  <c r="J60" i="7" s="1"/>
  <c r="J59" i="7" s="1"/>
  <c r="J58" i="7" s="1"/>
  <c r="J57" i="7" s="1"/>
  <c r="J56" i="7" s="1"/>
  <c r="F75" i="9"/>
  <c r="F74" i="9" s="1"/>
  <c r="F73" i="9" s="1"/>
  <c r="AF396" i="2"/>
  <c r="AF395" i="2" s="1"/>
  <c r="AF384" i="2" s="1"/>
  <c r="H911" i="7"/>
  <c r="F49" i="10"/>
  <c r="AF1120" i="2"/>
  <c r="AF1112" i="2" s="1"/>
  <c r="F137" i="9"/>
  <c r="F58" i="10"/>
  <c r="AF733" i="2"/>
  <c r="AF732" i="2" s="1"/>
  <c r="AF731" i="2" s="1"/>
  <c r="F35" i="10"/>
  <c r="J418" i="7"/>
  <c r="J417" i="7" s="1"/>
  <c r="F583" i="9"/>
  <c r="K418" i="7"/>
  <c r="K417" i="7" s="1"/>
  <c r="K357" i="7" s="1"/>
  <c r="K677" i="7"/>
  <c r="K676" i="7" s="1"/>
  <c r="K675" i="7" s="1"/>
  <c r="I996" i="7"/>
  <c r="AF748" i="2"/>
  <c r="AF747" i="2" s="1"/>
  <c r="AF746" i="2" s="1"/>
  <c r="AF745" i="2" s="1"/>
  <c r="J178" i="7"/>
  <c r="F48" i="10"/>
  <c r="J272" i="7"/>
  <c r="F26" i="10"/>
  <c r="AF131" i="2"/>
  <c r="J247" i="7"/>
  <c r="AF29" i="2"/>
  <c r="AF28" i="2" s="1"/>
  <c r="AF27" i="2" s="1"/>
  <c r="AF350" i="2"/>
  <c r="F696" i="9"/>
  <c r="F695" i="9" s="1"/>
  <c r="F694" i="9" s="1"/>
  <c r="J461" i="7"/>
  <c r="J460" i="7" s="1"/>
  <c r="AF514" i="2"/>
  <c r="AF506" i="2" s="1"/>
  <c r="AF141" i="2"/>
  <c r="J257" i="7"/>
  <c r="J256" i="7" s="1"/>
  <c r="J255" i="7" s="1"/>
  <c r="J254" i="7" s="1"/>
  <c r="AF529" i="2"/>
  <c r="AF521" i="2" s="1"/>
  <c r="AF1043" i="2"/>
  <c r="AF947" i="2" s="1"/>
  <c r="AF654" i="2"/>
  <c r="AF653" i="2" s="1"/>
  <c r="AF646" i="2" s="1"/>
  <c r="F43" i="9"/>
  <c r="F557" i="9"/>
  <c r="K601" i="7"/>
  <c r="K600" i="7" s="1"/>
  <c r="K599" i="7" s="1"/>
  <c r="K598" i="7" s="1"/>
  <c r="AF530" i="2"/>
  <c r="AF1123" i="2"/>
  <c r="K928" i="7"/>
  <c r="AF461" i="2"/>
  <c r="AF444" i="2" s="1"/>
  <c r="AF443" i="2" s="1"/>
  <c r="F217" i="9"/>
  <c r="F723" i="9"/>
  <c r="F375" i="9"/>
  <c r="J100" i="7"/>
  <c r="F21" i="10" s="1"/>
  <c r="K594" i="7"/>
  <c r="K593" i="7" s="1"/>
  <c r="K592" i="7" s="1"/>
  <c r="K591" i="7" s="1"/>
  <c r="K590" i="7" s="1"/>
  <c r="AF316" i="2"/>
  <c r="AF901" i="2" l="1"/>
  <c r="F648" i="9"/>
  <c r="F647" i="9" s="1"/>
  <c r="F646" i="9" s="1"/>
  <c r="F645" i="9" s="1"/>
  <c r="F644" i="9" s="1"/>
  <c r="J553" i="7"/>
  <c r="J552" i="7" s="1"/>
  <c r="J551" i="7" s="1"/>
  <c r="J550" i="7" s="1"/>
  <c r="J549" i="7" s="1"/>
  <c r="J481" i="7" s="1"/>
  <c r="F41" i="10" s="1"/>
  <c r="AF427" i="2"/>
  <c r="AF383" i="2" s="1"/>
  <c r="AF428" i="2"/>
  <c r="J456" i="7"/>
  <c r="J455" i="7" s="1"/>
  <c r="J454" i="7" s="1"/>
  <c r="J447" i="7" s="1"/>
  <c r="F690" i="9"/>
  <c r="F689" i="9" s="1"/>
  <c r="AF291" i="2"/>
  <c r="AF240" i="2"/>
  <c r="AF645" i="2"/>
  <c r="AF644" i="2" s="1"/>
  <c r="AF172" i="2"/>
  <c r="J660" i="7"/>
  <c r="J911" i="7"/>
  <c r="F53" i="10"/>
  <c r="F52" i="10" s="1"/>
  <c r="AF442" i="2"/>
  <c r="AF730" i="2"/>
  <c r="AF705" i="2" s="1"/>
  <c r="AF140" i="2"/>
  <c r="AF139" i="2" s="1"/>
  <c r="J177" i="7"/>
  <c r="J246" i="7"/>
  <c r="AF130" i="2"/>
  <c r="F20" i="10"/>
  <c r="F29" i="10"/>
  <c r="F28" i="10" s="1"/>
  <c r="J357" i="7"/>
  <c r="F36" i="10"/>
  <c r="K583" i="7"/>
  <c r="K446" i="7" s="1"/>
  <c r="F374" i="9"/>
  <c r="K911" i="7"/>
  <c r="K660" i="7"/>
  <c r="F643" i="9" l="1"/>
  <c r="J446" i="7"/>
  <c r="F39" i="10"/>
  <c r="AF124" i="2"/>
  <c r="AF79" i="2" s="1"/>
  <c r="J245" i="7"/>
  <c r="J239" i="7" s="1"/>
  <c r="J170" i="7" s="1"/>
  <c r="K996" i="7"/>
  <c r="J15" i="7" l="1"/>
  <c r="J996" i="7" s="1"/>
  <c r="AF19" i="2"/>
  <c r="F24" i="10"/>
  <c r="AF18" i="2" l="1"/>
  <c r="AF1214" i="2" s="1"/>
  <c r="AE634" i="2"/>
  <c r="AE633" i="2" s="1"/>
  <c r="AE632" i="2" s="1"/>
  <c r="AE631" i="2" s="1"/>
  <c r="AE630" i="2" s="1"/>
  <c r="AD634" i="2"/>
  <c r="AD633" i="2" s="1"/>
  <c r="AD632" i="2" s="1"/>
  <c r="AD631" i="2" s="1"/>
  <c r="AD630" i="2" s="1"/>
  <c r="E153" i="9" l="1"/>
  <c r="E152" i="9" s="1"/>
  <c r="E151" i="9"/>
  <c r="E150" i="9"/>
  <c r="F759" i="7"/>
  <c r="F757" i="7"/>
  <c r="D151" i="9" s="1"/>
  <c r="F756" i="7"/>
  <c r="F126" i="7"/>
  <c r="D153" i="9" l="1"/>
  <c r="D152" i="9" s="1"/>
  <c r="F758" i="7"/>
  <c r="D150" i="9"/>
  <c r="F754" i="7"/>
  <c r="G688" i="7"/>
  <c r="G687" i="7" s="1"/>
  <c r="G686" i="7" s="1"/>
  <c r="AE758" i="2"/>
  <c r="AD758" i="2"/>
  <c r="F688" i="7" s="1"/>
  <c r="F687" i="7" s="1"/>
  <c r="F686" i="7" s="1"/>
  <c r="F753" i="7" l="1"/>
  <c r="AE757" i="2"/>
  <c r="AE756" i="2" s="1"/>
  <c r="H688" i="7"/>
  <c r="H687" i="7" s="1"/>
  <c r="H686" i="7" s="1"/>
  <c r="H678" i="7" s="1"/>
  <c r="H677" i="7" s="1"/>
  <c r="H676" i="7" s="1"/>
  <c r="H675" i="7" s="1"/>
  <c r="F113" i="9"/>
  <c r="F112" i="9" s="1"/>
  <c r="D114" i="9"/>
  <c r="AD757" i="2"/>
  <c r="AD756" i="2" s="1"/>
  <c r="E48" i="10" l="1"/>
  <c r="H660" i="7"/>
  <c r="E114" i="9"/>
  <c r="D237" i="9" l="1"/>
  <c r="D236" i="9" s="1"/>
  <c r="D235" i="9" s="1"/>
  <c r="E237" i="9"/>
  <c r="E236" i="9" s="1"/>
  <c r="E235" i="9" s="1"/>
  <c r="A236" i="9"/>
  <c r="A237" i="9"/>
  <c r="A235" i="9"/>
  <c r="AD543" i="2"/>
  <c r="AD542" i="2" s="1"/>
  <c r="AD541" i="2" s="1"/>
  <c r="AE543" i="2"/>
  <c r="AE542" i="2" s="1"/>
  <c r="AE541" i="2" s="1"/>
  <c r="D240" i="9"/>
  <c r="D239" i="9" s="1"/>
  <c r="D238" i="9" s="1"/>
  <c r="F984" i="7"/>
  <c r="F983" i="7" s="1"/>
  <c r="F982" i="7" s="1"/>
  <c r="A983" i="7"/>
  <c r="A984" i="7"/>
  <c r="A982" i="7"/>
  <c r="D61" i="9"/>
  <c r="D60" i="9" s="1"/>
  <c r="D59" i="9" s="1"/>
  <c r="E61" i="9"/>
  <c r="E60" i="9" s="1"/>
  <c r="E59" i="9" s="1"/>
  <c r="D58" i="9"/>
  <c r="D57" i="9" s="1"/>
  <c r="D56" i="9" s="1"/>
  <c r="E58" i="9"/>
  <c r="E57" i="9" s="1"/>
  <c r="E56" i="9" s="1"/>
  <c r="B57" i="9"/>
  <c r="B58" i="9"/>
  <c r="B59" i="9"/>
  <c r="B60" i="9"/>
  <c r="B61" i="9"/>
  <c r="B56" i="9"/>
  <c r="F883" i="7"/>
  <c r="F882" i="7" s="1"/>
  <c r="F880" i="7"/>
  <c r="F879" i="7" s="1"/>
  <c r="E881" i="7"/>
  <c r="E883" i="7"/>
  <c r="E884" i="7"/>
  <c r="E880" i="7"/>
  <c r="B880" i="7"/>
  <c r="C880" i="7"/>
  <c r="D880" i="7"/>
  <c r="B881" i="7"/>
  <c r="C881" i="7"/>
  <c r="D881" i="7"/>
  <c r="B882" i="7"/>
  <c r="C882" i="7"/>
  <c r="D882" i="7"/>
  <c r="B883" i="7"/>
  <c r="C883" i="7"/>
  <c r="D883" i="7"/>
  <c r="B884" i="7"/>
  <c r="C884" i="7"/>
  <c r="D884" i="7"/>
  <c r="C879" i="7"/>
  <c r="D879" i="7"/>
  <c r="B879" i="7"/>
  <c r="A880" i="7"/>
  <c r="A57" i="9" s="1"/>
  <c r="A881" i="7"/>
  <c r="A58" i="9" s="1"/>
  <c r="A882" i="7"/>
  <c r="A59" i="9" s="1"/>
  <c r="A883" i="7"/>
  <c r="A60" i="9" s="1"/>
  <c r="A884" i="7"/>
  <c r="A61" i="9" s="1"/>
  <c r="A879" i="7"/>
  <c r="A56" i="9" s="1"/>
  <c r="AD475" i="2"/>
  <c r="AD474" i="2" s="1"/>
  <c r="AE475" i="2"/>
  <c r="AE474" i="2" s="1"/>
  <c r="AD478" i="2"/>
  <c r="AD477" i="2" s="1"/>
  <c r="AE478" i="2"/>
  <c r="AE477" i="2" s="1"/>
  <c r="F878" i="7" l="1"/>
  <c r="E240" i="9"/>
  <c r="E239" i="9" s="1"/>
  <c r="E238" i="9" s="1"/>
  <c r="E234" i="9" s="1"/>
  <c r="E55" i="9"/>
  <c r="F986" i="7"/>
  <c r="F985" i="7" s="1"/>
  <c r="F981" i="7" s="1"/>
  <c r="D234" i="9"/>
  <c r="D55" i="9"/>
  <c r="AD473" i="2"/>
  <c r="AE473" i="2"/>
  <c r="D128" i="9" l="1"/>
  <c r="D127" i="9" s="1"/>
  <c r="E128" i="9"/>
  <c r="E127" i="9" s="1"/>
  <c r="E113" i="9" l="1"/>
  <c r="E112" i="9" s="1"/>
  <c r="D113" i="9"/>
  <c r="D112" i="9" s="1"/>
  <c r="G444" i="7" l="1"/>
  <c r="G443" i="7" s="1"/>
  <c r="E290" i="9"/>
  <c r="E289" i="9" s="1"/>
  <c r="E288" i="9" s="1"/>
  <c r="F445" i="7"/>
  <c r="D290" i="9" s="1"/>
  <c r="D289" i="9" s="1"/>
  <c r="D288" i="9" s="1"/>
  <c r="AE289" i="2"/>
  <c r="AE288" i="2" s="1"/>
  <c r="AD289" i="2"/>
  <c r="AD288" i="2" s="1"/>
  <c r="G439" i="7" l="1"/>
  <c r="G438" i="7" s="1"/>
  <c r="F444" i="7"/>
  <c r="F443" i="7" s="1"/>
  <c r="F389" i="7" l="1"/>
  <c r="D571" i="9" s="1"/>
  <c r="D570" i="9" s="1"/>
  <c r="D569" i="9" s="1"/>
  <c r="AD923" i="2"/>
  <c r="AD922" i="2" s="1"/>
  <c r="AE923" i="2"/>
  <c r="AE922" i="2" s="1"/>
  <c r="E571" i="9" l="1"/>
  <c r="E570" i="9" s="1"/>
  <c r="E569" i="9" s="1"/>
  <c r="F388" i="7"/>
  <c r="F387" i="7" s="1"/>
  <c r="F589" i="7" l="1"/>
  <c r="F176" i="7"/>
  <c r="F175" i="7" s="1"/>
  <c r="F174" i="7" s="1"/>
  <c r="F173" i="7" s="1"/>
  <c r="F172" i="7" s="1"/>
  <c r="F171" i="7" s="1"/>
  <c r="AE33" i="2"/>
  <c r="AE1154" i="2"/>
  <c r="AE1153" i="2" s="1"/>
  <c r="AE1152" i="2" s="1"/>
  <c r="AE1151" i="2" s="1"/>
  <c r="AE1150" i="2" s="1"/>
  <c r="AD1154" i="2"/>
  <c r="AD1153" i="2" s="1"/>
  <c r="AD1152" i="2" s="1"/>
  <c r="AD1151" i="2" s="1"/>
  <c r="AD1150" i="2" s="1"/>
  <c r="AE613" i="2"/>
  <c r="AD613" i="2"/>
  <c r="AD612" i="2" s="1"/>
  <c r="AD611" i="2" s="1"/>
  <c r="AD610" i="2" s="1"/>
  <c r="AD609" i="2" s="1"/>
  <c r="AE651" i="2"/>
  <c r="AE650" i="2" s="1"/>
  <c r="AE649" i="2" s="1"/>
  <c r="AE648" i="2" s="1"/>
  <c r="AE647" i="2" s="1"/>
  <c r="AD651" i="2"/>
  <c r="AD650" i="2" s="1"/>
  <c r="AD649" i="2" s="1"/>
  <c r="AD648" i="2" s="1"/>
  <c r="AD647" i="2" s="1"/>
  <c r="AE355" i="2"/>
  <c r="AE354" i="2" s="1"/>
  <c r="AE353" i="2" s="1"/>
  <c r="AE352" i="2" s="1"/>
  <c r="AE351" i="2" s="1"/>
  <c r="AD355" i="2"/>
  <c r="AD354" i="2" s="1"/>
  <c r="AD353" i="2" s="1"/>
  <c r="AD352" i="2" s="1"/>
  <c r="AD351" i="2" s="1"/>
  <c r="AE84" i="2"/>
  <c r="AE83" i="2" s="1"/>
  <c r="AE82" i="2" s="1"/>
  <c r="AE81" i="2" s="1"/>
  <c r="AE80" i="2" s="1"/>
  <c r="AD84" i="2"/>
  <c r="AD83" i="2" s="1"/>
  <c r="AD82" i="2" s="1"/>
  <c r="AD81" i="2" s="1"/>
  <c r="AD80" i="2" s="1"/>
  <c r="H62" i="7" l="1"/>
  <c r="AE612" i="2"/>
  <c r="AE611" i="2" s="1"/>
  <c r="AE610" i="2" s="1"/>
  <c r="AE609" i="2" s="1"/>
  <c r="H106" i="7"/>
  <c r="H105" i="7" s="1"/>
  <c r="H104" i="7" s="1"/>
  <c r="H103" i="7" s="1"/>
  <c r="H102" i="7" s="1"/>
  <c r="H101" i="7" s="1"/>
  <c r="H100" i="7" s="1"/>
  <c r="F588" i="7"/>
  <c r="F587" i="7" s="1"/>
  <c r="F586" i="7" s="1"/>
  <c r="F585" i="7" s="1"/>
  <c r="F584" i="7" s="1"/>
  <c r="F106" i="7"/>
  <c r="F105" i="7" s="1"/>
  <c r="F104" i="7" s="1"/>
  <c r="F103" i="7" s="1"/>
  <c r="F102" i="7" s="1"/>
  <c r="F101" i="7" s="1"/>
  <c r="E384" i="9"/>
  <c r="E383" i="9" s="1"/>
  <c r="F187" i="7"/>
  <c r="D384" i="9" s="1"/>
  <c r="D383" i="9" s="1"/>
  <c r="AE95" i="2"/>
  <c r="AD95" i="2"/>
  <c r="H61" i="7" l="1"/>
  <c r="H60" i="7" s="1"/>
  <c r="H59" i="7" s="1"/>
  <c r="H58" i="7" s="1"/>
  <c r="H57" i="7" s="1"/>
  <c r="H56" i="7" s="1"/>
  <c r="E76" i="9"/>
  <c r="AD89" i="2"/>
  <c r="AD88" i="2" s="1"/>
  <c r="AD87" i="2" s="1"/>
  <c r="AE89" i="2"/>
  <c r="AE88" i="2" s="1"/>
  <c r="AE87" i="2" s="1"/>
  <c r="F186" i="7"/>
  <c r="E233" i="9" l="1"/>
  <c r="E232" i="9" s="1"/>
  <c r="F980" i="7"/>
  <c r="F979" i="7" s="1"/>
  <c r="AE540" i="2" l="1"/>
  <c r="AE539" i="2" s="1"/>
  <c r="AD540" i="2"/>
  <c r="AD539" i="2" s="1"/>
  <c r="D233" i="9"/>
  <c r="D232" i="9" s="1"/>
  <c r="F169" i="7" l="1"/>
  <c r="E48" i="9"/>
  <c r="E47" i="9" s="1"/>
  <c r="D48" i="9"/>
  <c r="D47" i="9" s="1"/>
  <c r="AD465" i="2"/>
  <c r="AE465" i="2"/>
  <c r="F205" i="9"/>
  <c r="F202" i="9" s="1"/>
  <c r="F201" i="9" l="1"/>
  <c r="F197" i="9" s="1"/>
  <c r="F870" i="7"/>
  <c r="F869" i="7" s="1"/>
  <c r="F196" i="9" l="1"/>
  <c r="F726" i="7"/>
  <c r="E543" i="9" l="1"/>
  <c r="E542" i="9" s="1"/>
  <c r="D543" i="9"/>
  <c r="D542" i="9" s="1"/>
  <c r="F783" i="7" l="1"/>
  <c r="AD663" i="2" l="1"/>
  <c r="AE660" i="2" l="1"/>
  <c r="AE659" i="2" s="1"/>
  <c r="E612" i="9"/>
  <c r="E611" i="9" s="1"/>
  <c r="D615" i="9"/>
  <c r="D614" i="9" s="1"/>
  <c r="AD661" i="2" l="1"/>
  <c r="AD660" i="2" s="1"/>
  <c r="AD659" i="2" s="1"/>
  <c r="F191" i="7"/>
  <c r="E748" i="9"/>
  <c r="G191" i="7" l="1"/>
  <c r="G190" i="7" s="1"/>
  <c r="G189" i="7" s="1"/>
  <c r="G188" i="7" s="1"/>
  <c r="G178" i="7" s="1"/>
  <c r="G177" i="7" s="1"/>
  <c r="F190" i="7"/>
  <c r="E65" i="10"/>
  <c r="E64" i="10" s="1"/>
  <c r="E231" i="9"/>
  <c r="E230" i="9" s="1"/>
  <c r="E102" i="9"/>
  <c r="F712" i="7"/>
  <c r="D192" i="9" s="1"/>
  <c r="E126" i="9"/>
  <c r="E373" i="9"/>
  <c r="E371" i="9"/>
  <c r="E183" i="9"/>
  <c r="E181" i="9"/>
  <c r="E541" i="9" l="1"/>
  <c r="E36" i="9"/>
  <c r="E338" i="9"/>
  <c r="E706" i="9"/>
  <c r="E721" i="9"/>
  <c r="E170" i="9"/>
  <c r="E216" i="9"/>
  <c r="E225" i="9"/>
  <c r="E387" i="9"/>
  <c r="E283" i="9"/>
  <c r="E634" i="9"/>
  <c r="E711" i="9"/>
  <c r="E92" i="9"/>
  <c r="E159" i="9"/>
  <c r="E50" i="9"/>
  <c r="E413" i="9"/>
  <c r="E488" i="9"/>
  <c r="E688" i="9"/>
  <c r="E642" i="9"/>
  <c r="E111" i="9"/>
  <c r="E149" i="9"/>
  <c r="E148" i="9" s="1"/>
  <c r="E147" i="9" s="1"/>
  <c r="E167" i="9"/>
  <c r="E566" i="9"/>
  <c r="E192" i="9"/>
  <c r="E39" i="9"/>
  <c r="E478" i="9"/>
  <c r="E277" i="9"/>
  <c r="E700" i="9"/>
  <c r="E285" i="9"/>
  <c r="E639" i="9"/>
  <c r="E714" i="9"/>
  <c r="E108" i="9"/>
  <c r="E145" i="9"/>
  <c r="E273" i="9"/>
  <c r="E164" i="9"/>
  <c r="E53" i="9"/>
  <c r="E136" i="9"/>
  <c r="E393" i="9"/>
  <c r="E405" i="9" l="1"/>
  <c r="E447" i="9"/>
  <c r="E751" i="9"/>
  <c r="E398" i="9"/>
  <c r="E766" i="9"/>
  <c r="E450" i="9"/>
  <c r="E758" i="9"/>
  <c r="E745" i="9"/>
  <c r="E457" i="9"/>
  <c r="E763" i="9"/>
  <c r="E408" i="9"/>
  <c r="E563" i="9"/>
  <c r="E754" i="9"/>
  <c r="E753" i="9" s="1"/>
  <c r="E752" i="9" s="1"/>
  <c r="E770" i="9"/>
  <c r="E453" i="9"/>
  <c r="E444" i="9"/>
  <c r="E436" i="9"/>
  <c r="E429" i="9"/>
  <c r="D191" i="9"/>
  <c r="E98" i="9"/>
  <c r="E418" i="9"/>
  <c r="F166" i="7"/>
  <c r="D770" i="9" s="1"/>
  <c r="D769" i="9" s="1"/>
  <c r="D768" i="9" s="1"/>
  <c r="E117" i="9"/>
  <c r="G889" i="7"/>
  <c r="G888" i="7" s="1"/>
  <c r="G887" i="7" s="1"/>
  <c r="G886" i="7" s="1"/>
  <c r="G885" i="7" s="1"/>
  <c r="G848" i="7" s="1"/>
  <c r="F249" i="7"/>
  <c r="D552" i="9" s="1"/>
  <c r="E95" i="9"/>
  <c r="E176" i="9"/>
  <c r="E178" i="9"/>
  <c r="F927" i="7"/>
  <c r="F999" i="7" s="1"/>
  <c r="F279" i="7"/>
  <c r="D548" i="9" s="1"/>
  <c r="E343" i="9"/>
  <c r="F950" i="7"/>
  <c r="D343" i="9" s="1"/>
  <c r="E80" i="9"/>
  <c r="F66" i="7"/>
  <c r="D80" i="9" s="1"/>
  <c r="F68" i="7"/>
  <c r="E729" i="9"/>
  <c r="E726" i="9"/>
  <c r="E123" i="9"/>
  <c r="E121" i="9"/>
  <c r="E82" i="9"/>
  <c r="E391" i="9"/>
  <c r="E552" i="9"/>
  <c r="E556" i="9"/>
  <c r="E548" i="9"/>
  <c r="E246" i="9"/>
  <c r="F62" i="7"/>
  <c r="D76" i="9" s="1"/>
  <c r="D178" i="9" l="1"/>
  <c r="D82" i="9"/>
  <c r="G68" i="7"/>
  <c r="E100" i="9"/>
  <c r="E588" i="9"/>
  <c r="D342" i="9"/>
  <c r="E574" i="9"/>
  <c r="E741" i="9"/>
  <c r="E432" i="9"/>
  <c r="E464" i="9"/>
  <c r="D190" i="9"/>
  <c r="E462" i="9"/>
  <c r="E733" i="9"/>
  <c r="E424" i="9"/>
  <c r="E441" i="9"/>
  <c r="E459" i="9"/>
  <c r="E738" i="9"/>
  <c r="E25" i="9"/>
  <c r="E628" i="9"/>
  <c r="F392" i="7"/>
  <c r="E773" i="9"/>
  <c r="F462" i="7"/>
  <c r="F395" i="7"/>
  <c r="F890" i="7"/>
  <c r="D195" i="9" s="1"/>
  <c r="G847" i="7"/>
  <c r="AE307" i="2"/>
  <c r="H462" i="7" s="1"/>
  <c r="H461" i="7" s="1"/>
  <c r="H460" i="7" s="1"/>
  <c r="E194" i="9"/>
  <c r="E193" i="9" s="1"/>
  <c r="AD484" i="2"/>
  <c r="E191" i="9"/>
  <c r="E190" i="9" s="1"/>
  <c r="F372" i="9"/>
  <c r="F180" i="9"/>
  <c r="G66" i="7"/>
  <c r="G65" i="7" s="1"/>
  <c r="E81" i="9"/>
  <c r="D121" i="9"/>
  <c r="D123" i="9"/>
  <c r="D441" i="9"/>
  <c r="D766" i="9"/>
  <c r="D748" i="9"/>
  <c r="D391" i="9"/>
  <c r="D393" i="9"/>
  <c r="D408" i="9"/>
  <c r="D453" i="9"/>
  <c r="D457" i="9"/>
  <c r="D459" i="9"/>
  <c r="D556" i="9"/>
  <c r="D588" i="9"/>
  <c r="G279" i="7"/>
  <c r="G278" i="7" s="1"/>
  <c r="G277" i="7" s="1"/>
  <c r="G276" i="7" s="1"/>
  <c r="G275" i="7" s="1"/>
  <c r="G274" i="7" s="1"/>
  <c r="G273" i="7" s="1"/>
  <c r="G272" i="7" s="1"/>
  <c r="G434" i="7"/>
  <c r="G433" i="7" s="1"/>
  <c r="G432" i="7" s="1"/>
  <c r="G419" i="7" s="1"/>
  <c r="D277" i="9"/>
  <c r="D387" i="9"/>
  <c r="G461" i="7"/>
  <c r="G460" i="7" s="1"/>
  <c r="D700" i="9"/>
  <c r="D283" i="9"/>
  <c r="D488" i="9"/>
  <c r="D181" i="9"/>
  <c r="D183" i="9"/>
  <c r="D371" i="9"/>
  <c r="D373" i="9"/>
  <c r="D628" i="9"/>
  <c r="D639" i="9"/>
  <c r="D642" i="9"/>
  <c r="D706" i="9"/>
  <c r="D714" i="9"/>
  <c r="D95" i="9"/>
  <c r="D108" i="9"/>
  <c r="D117" i="9"/>
  <c r="D126" i="9"/>
  <c r="D136" i="9"/>
  <c r="F711" i="7"/>
  <c r="D721" i="9"/>
  <c r="D541" i="9"/>
  <c r="D102" i="9"/>
  <c r="D167" i="9"/>
  <c r="G819" i="7"/>
  <c r="G816" i="7" s="1"/>
  <c r="G824" i="7"/>
  <c r="G823" i="7" s="1"/>
  <c r="D39" i="9"/>
  <c r="D176" i="9"/>
  <c r="G927" i="7"/>
  <c r="D98" i="9"/>
  <c r="D338" i="9"/>
  <c r="G950" i="7"/>
  <c r="D231" i="9"/>
  <c r="D230" i="9" s="1"/>
  <c r="D225" i="9"/>
  <c r="AE1204" i="2"/>
  <c r="AE1201" i="2"/>
  <c r="AE1198" i="2"/>
  <c r="AE1197" i="2" s="1"/>
  <c r="AE1193" i="2"/>
  <c r="AE1184" i="2"/>
  <c r="AE1176" i="2"/>
  <c r="AE1173" i="2"/>
  <c r="AE1168" i="2"/>
  <c r="AE1167" i="2" s="1"/>
  <c r="AE1164" i="2"/>
  <c r="AE1160" i="2"/>
  <c r="AE1137" i="2"/>
  <c r="AE1127" i="2"/>
  <c r="AE1125" i="2"/>
  <c r="AE1118" i="2"/>
  <c r="AE1101" i="2"/>
  <c r="AE1079" i="2"/>
  <c r="AE1076" i="2"/>
  <c r="AE1071" i="2"/>
  <c r="AE1070" i="2" s="1"/>
  <c r="AE1064" i="2"/>
  <c r="AE1058" i="2"/>
  <c r="AE1056" i="2"/>
  <c r="AE953" i="2"/>
  <c r="AE926" i="2"/>
  <c r="AE916" i="2"/>
  <c r="AE897" i="2"/>
  <c r="AE899" i="2"/>
  <c r="AE890" i="2"/>
  <c r="AE858" i="2"/>
  <c r="AE842" i="2"/>
  <c r="AE839" i="2"/>
  <c r="AE836" i="2"/>
  <c r="AE831" i="2"/>
  <c r="AE830" i="2" s="1"/>
  <c r="AE825" i="2"/>
  <c r="AE818" i="2"/>
  <c r="AE803" i="2"/>
  <c r="AE800" i="2"/>
  <c r="AE780" i="2"/>
  <c r="AE774" i="2"/>
  <c r="AE773" i="2" s="1"/>
  <c r="AE764" i="2"/>
  <c r="AE770" i="2"/>
  <c r="AE760" i="2"/>
  <c r="AE754" i="2"/>
  <c r="AE753" i="2" s="1"/>
  <c r="AE751" i="2"/>
  <c r="AE750" i="2" s="1"/>
  <c r="AE743" i="2"/>
  <c r="AE740" i="2"/>
  <c r="AE712" i="2"/>
  <c r="AE703" i="2"/>
  <c r="AE696" i="2"/>
  <c r="AE684" i="2"/>
  <c r="AE678" i="2"/>
  <c r="AE677" i="2"/>
  <c r="AE674" i="2"/>
  <c r="AE668" i="2"/>
  <c r="AE667" i="2" s="1"/>
  <c r="AE642" i="2"/>
  <c r="AE628" i="2"/>
  <c r="AE627" i="2"/>
  <c r="AE625" i="2"/>
  <c r="AE624" i="2"/>
  <c r="AE620" i="2"/>
  <c r="AE619" i="2" s="1"/>
  <c r="AE604" i="2"/>
  <c r="AE587" i="2"/>
  <c r="AE584" i="2"/>
  <c r="AE579" i="2"/>
  <c r="AE578" i="2" s="1"/>
  <c r="AE575" i="2"/>
  <c r="AE574" i="2"/>
  <c r="AE572" i="2"/>
  <c r="AE568" i="2"/>
  <c r="H35" i="7" s="1"/>
  <c r="H34" i="7" s="1"/>
  <c r="H33" i="7" s="1"/>
  <c r="H32" i="7" s="1"/>
  <c r="H31" i="7" s="1"/>
  <c r="H23" i="7" s="1"/>
  <c r="AE553" i="2"/>
  <c r="AE534" i="2"/>
  <c r="AE533" i="2" s="1"/>
  <c r="AE527" i="2"/>
  <c r="AE519" i="2"/>
  <c r="AE504" i="2"/>
  <c r="AE470" i="2"/>
  <c r="AE467" i="2"/>
  <c r="AE464" i="2" s="1"/>
  <c r="AE456" i="2"/>
  <c r="AE453" i="2"/>
  <c r="AE448" i="2"/>
  <c r="AE436" i="2"/>
  <c r="AE435" i="2" s="1"/>
  <c r="AE423" i="2"/>
  <c r="AE417" i="2"/>
  <c r="AE413" i="2"/>
  <c r="AE400" i="2"/>
  <c r="AE381" i="2"/>
  <c r="AE378" i="2"/>
  <c r="AE373" i="2"/>
  <c r="AE372" i="2" s="1"/>
  <c r="AE367" i="2"/>
  <c r="AE361" i="2"/>
  <c r="AE348" i="2"/>
  <c r="AE334" i="2"/>
  <c r="AE326" i="2"/>
  <c r="AE324" i="2"/>
  <c r="AE297" i="2"/>
  <c r="AE286" i="2"/>
  <c r="AE257" i="2"/>
  <c r="AE254" i="2"/>
  <c r="AE247" i="2"/>
  <c r="AE201" i="2"/>
  <c r="AE200" i="2" s="1"/>
  <c r="AE238" i="2"/>
  <c r="AE234" i="2"/>
  <c r="AE230" i="2"/>
  <c r="AE227" i="2" s="1"/>
  <c r="H346" i="7" s="1"/>
  <c r="AE224" i="2"/>
  <c r="AE223" i="2" s="1"/>
  <c r="AE216" i="2"/>
  <c r="AE208" i="2"/>
  <c r="AE206" i="2"/>
  <c r="AE183" i="2"/>
  <c r="AE178" i="2"/>
  <c r="AE194" i="2"/>
  <c r="AE193" i="2" s="1"/>
  <c r="AE170" i="2"/>
  <c r="AE163" i="2"/>
  <c r="AE151" i="2"/>
  <c r="AE143" i="2"/>
  <c r="AE137" i="2"/>
  <c r="AE133" i="2"/>
  <c r="AE128" i="2"/>
  <c r="AE111" i="2"/>
  <c r="AE109" i="2"/>
  <c r="AE106" i="2"/>
  <c r="AE104" i="2"/>
  <c r="AE100" i="2"/>
  <c r="AE99" i="2"/>
  <c r="AE77" i="2"/>
  <c r="AE74" i="2"/>
  <c r="AE63" i="2"/>
  <c r="AE60" i="2"/>
  <c r="AE55" i="2"/>
  <c r="AE52" i="2" s="1"/>
  <c r="AE46" i="2"/>
  <c r="AE44" i="2"/>
  <c r="AE38" i="2"/>
  <c r="AE36" i="2"/>
  <c r="AE32" i="2"/>
  <c r="AE25" i="2"/>
  <c r="AD1204" i="2"/>
  <c r="AD1203" i="2" s="1"/>
  <c r="AD1201" i="2"/>
  <c r="AD1200" i="2" s="1"/>
  <c r="AD1198" i="2"/>
  <c r="AD1197" i="2" s="1"/>
  <c r="AD1193" i="2"/>
  <c r="AD1192" i="2" s="1"/>
  <c r="AD1191" i="2" s="1"/>
  <c r="AD1190" i="2" s="1"/>
  <c r="AD1189" i="2" s="1"/>
  <c r="AD1184" i="2"/>
  <c r="AD1183" i="2" s="1"/>
  <c r="AD1182" i="2" s="1"/>
  <c r="AD1176" i="2"/>
  <c r="AD1175" i="2" s="1"/>
  <c r="AD1173" i="2"/>
  <c r="AD1172" i="2" s="1"/>
  <c r="AD1168" i="2"/>
  <c r="AD1167" i="2" s="1"/>
  <c r="AD1164" i="2"/>
  <c r="AD1163" i="2" s="1"/>
  <c r="AD1160" i="2"/>
  <c r="AD1159" i="2" s="1"/>
  <c r="AD1158" i="2" s="1"/>
  <c r="AD1157" i="2" s="1"/>
  <c r="AD1156" i="2" s="1"/>
  <c r="AD1137" i="2"/>
  <c r="AD1136" i="2" s="1"/>
  <c r="AD1127" i="2"/>
  <c r="AD1125" i="2"/>
  <c r="AD1118" i="2"/>
  <c r="AD1117" i="2" s="1"/>
  <c r="AD1116" i="2" s="1"/>
  <c r="AD1101" i="2"/>
  <c r="AD1100" i="2" s="1"/>
  <c r="AD1099" i="2" s="1"/>
  <c r="AD1079" i="2"/>
  <c r="AD1078" i="2" s="1"/>
  <c r="AD1076" i="2"/>
  <c r="AD1075" i="2" s="1"/>
  <c r="AD1071" i="2"/>
  <c r="AD1070" i="2" s="1"/>
  <c r="AD1064" i="2"/>
  <c r="AD1063" i="2" s="1"/>
  <c r="AD1062" i="2" s="1"/>
  <c r="AD1061" i="2" s="1"/>
  <c r="AD1060" i="2" s="1"/>
  <c r="AD1058" i="2"/>
  <c r="AD1056" i="2"/>
  <c r="AD1050" i="2"/>
  <c r="AD1048" i="2"/>
  <c r="AD1039" i="2"/>
  <c r="AD1038" i="2" s="1"/>
  <c r="AD953" i="2"/>
  <c r="AD952" i="2" s="1"/>
  <c r="AD951" i="2" s="1"/>
  <c r="AD950" i="2" s="1"/>
  <c r="AD926" i="2"/>
  <c r="AD925" i="2" s="1"/>
  <c r="AD916" i="2"/>
  <c r="AD915" i="2" s="1"/>
  <c r="AD914" i="2" s="1"/>
  <c r="AD913" i="2" s="1"/>
  <c r="AD912" i="2" s="1"/>
  <c r="AD911" i="2" s="1"/>
  <c r="AD897" i="2"/>
  <c r="AD899" i="2"/>
  <c r="AD890" i="2"/>
  <c r="AD889" i="2" s="1"/>
  <c r="AD888" i="2" s="1"/>
  <c r="AD858" i="2"/>
  <c r="AD857" i="2" s="1"/>
  <c r="AD856" i="2" s="1"/>
  <c r="AD855" i="2" s="1"/>
  <c r="AD854" i="2" s="1"/>
  <c r="AD852" i="2"/>
  <c r="AD851" i="2" s="1"/>
  <c r="AD847" i="2" s="1"/>
  <c r="AD842" i="2"/>
  <c r="AD841" i="2" s="1"/>
  <c r="AD839" i="2"/>
  <c r="AD838" i="2" s="1"/>
  <c r="AD836" i="2"/>
  <c r="AD835" i="2" s="1"/>
  <c r="AD831" i="2"/>
  <c r="AD830" i="2" s="1"/>
  <c r="AD825" i="2"/>
  <c r="AD824" i="2" s="1"/>
  <c r="AD823" i="2" s="1"/>
  <c r="AD822" i="2" s="1"/>
  <c r="AD818" i="2"/>
  <c r="AD817" i="2" s="1"/>
  <c r="AD816" i="2" s="1"/>
  <c r="AD815" i="2" s="1"/>
  <c r="AD814" i="2" s="1"/>
  <c r="AD813" i="2" s="1"/>
  <c r="AD805" i="2"/>
  <c r="AD803" i="2"/>
  <c r="AD802" i="2" s="1"/>
  <c r="AD800" i="2"/>
  <c r="AD799" i="2" s="1"/>
  <c r="AD780" i="2"/>
  <c r="AD779" i="2" s="1"/>
  <c r="AD778" i="2" s="1"/>
  <c r="AD774" i="2"/>
  <c r="AD773" i="2" s="1"/>
  <c r="AD764" i="2"/>
  <c r="AD763" i="2" s="1"/>
  <c r="AD770" i="2"/>
  <c r="AD769" i="2" s="1"/>
  <c r="AD760" i="2"/>
  <c r="AD759" i="2" s="1"/>
  <c r="AD754" i="2"/>
  <c r="AD753" i="2" s="1"/>
  <c r="AD751" i="2"/>
  <c r="AD750" i="2" s="1"/>
  <c r="AD743" i="2"/>
  <c r="AD742" i="2" s="1"/>
  <c r="AD740" i="2"/>
  <c r="AD739" i="2" s="1"/>
  <c r="AD737" i="2"/>
  <c r="AD736" i="2" s="1"/>
  <c r="AD712" i="2"/>
  <c r="AD711" i="2" s="1"/>
  <c r="AD703" i="2"/>
  <c r="AD702" i="2" s="1"/>
  <c r="AD696" i="2"/>
  <c r="AD695" i="2" s="1"/>
  <c r="AD694" i="2" s="1"/>
  <c r="AD693" i="2" s="1"/>
  <c r="AD692" i="2" s="1"/>
  <c r="AD691" i="2" s="1"/>
  <c r="AD684" i="2"/>
  <c r="AD683" i="2" s="1"/>
  <c r="AD682" i="2" s="1"/>
  <c r="AD681" i="2" s="1"/>
  <c r="AD680" i="2" s="1"/>
  <c r="AD678" i="2"/>
  <c r="AD677" i="2"/>
  <c r="AD674" i="2"/>
  <c r="AD668" i="2"/>
  <c r="AD667" i="2" s="1"/>
  <c r="AD657" i="2"/>
  <c r="AD656" i="2" s="1"/>
  <c r="AD642" i="2"/>
  <c r="AD641" i="2" s="1"/>
  <c r="AD640" i="2" s="1"/>
  <c r="AD628" i="2"/>
  <c r="AD627" i="2"/>
  <c r="AD625" i="2"/>
  <c r="AD624" i="2"/>
  <c r="AD620" i="2"/>
  <c r="AD619" i="2" s="1"/>
  <c r="AD604" i="2"/>
  <c r="AD603" i="2" s="1"/>
  <c r="AD602" i="2" s="1"/>
  <c r="AD587" i="2"/>
  <c r="AD586" i="2" s="1"/>
  <c r="AD584" i="2"/>
  <c r="AD583" i="2" s="1"/>
  <c r="AD579" i="2"/>
  <c r="AD578" i="2" s="1"/>
  <c r="AD575" i="2"/>
  <c r="AD574" i="2"/>
  <c r="AD572" i="2"/>
  <c r="AD571" i="2" s="1"/>
  <c r="AD568" i="2"/>
  <c r="AD553" i="2"/>
  <c r="AD534" i="2"/>
  <c r="AD527" i="2"/>
  <c r="AD526" i="2" s="1"/>
  <c r="AD525" i="2" s="1"/>
  <c r="AD524" i="2" s="1"/>
  <c r="AD523" i="2" s="1"/>
  <c r="AD522" i="2" s="1"/>
  <c r="AD519" i="2"/>
  <c r="AD518" i="2" s="1"/>
  <c r="AD517" i="2" s="1"/>
  <c r="AD512" i="2"/>
  <c r="AD511" i="2" s="1"/>
  <c r="AD510" i="2" s="1"/>
  <c r="AD504" i="2"/>
  <c r="AD503" i="2" s="1"/>
  <c r="AD502" i="2" s="1"/>
  <c r="AD501" i="2" s="1"/>
  <c r="AD500" i="2" s="1"/>
  <c r="AD499" i="2" s="1"/>
  <c r="AD498" i="2" s="1"/>
  <c r="AD470" i="2"/>
  <c r="AD469" i="2" s="1"/>
  <c r="AD464" i="2"/>
  <c r="AD456" i="2"/>
  <c r="AD455" i="2" s="1"/>
  <c r="AD453" i="2"/>
  <c r="AD452" i="2" s="1"/>
  <c r="AD448" i="2"/>
  <c r="AD447" i="2" s="1"/>
  <c r="AD446" i="2" s="1"/>
  <c r="AD445" i="2" s="1"/>
  <c r="AD438" i="2"/>
  <c r="AD436" i="2"/>
  <c r="AD423" i="2"/>
  <c r="AD417" i="2"/>
  <c r="AD416" i="2" s="1"/>
  <c r="AD415" i="2" s="1"/>
  <c r="AD413" i="2"/>
  <c r="AD412" i="2" s="1"/>
  <c r="AD411" i="2" s="1"/>
  <c r="AD400" i="2"/>
  <c r="AD399" i="2" s="1"/>
  <c r="AD398" i="2" s="1"/>
  <c r="AD381" i="2"/>
  <c r="AD380" i="2" s="1"/>
  <c r="AD378" i="2"/>
  <c r="AD377" i="2" s="1"/>
  <c r="AD373" i="2"/>
  <c r="AD372" i="2" s="1"/>
  <c r="AD367" i="2"/>
  <c r="AD366" i="2" s="1"/>
  <c r="AD365" i="2" s="1"/>
  <c r="AD364" i="2" s="1"/>
  <c r="AD361" i="2"/>
  <c r="AD360" i="2" s="1"/>
  <c r="AD359" i="2" s="1"/>
  <c r="AD358" i="2" s="1"/>
  <c r="AD357" i="2" s="1"/>
  <c r="AD348" i="2"/>
  <c r="AD347" i="2" s="1"/>
  <c r="AD334" i="2"/>
  <c r="AD333" i="2" s="1"/>
  <c r="AD332" i="2" s="1"/>
  <c r="AD331" i="2" s="1"/>
  <c r="AD330" i="2" s="1"/>
  <c r="AD326" i="2"/>
  <c r="AD324" i="2"/>
  <c r="AD321" i="2"/>
  <c r="AD320" i="2" s="1"/>
  <c r="AD297" i="2"/>
  <c r="AD296" i="2" s="1"/>
  <c r="AD295" i="2" s="1"/>
  <c r="AD294" i="2" s="1"/>
  <c r="AD293" i="2" s="1"/>
  <c r="AD286" i="2"/>
  <c r="AD285" i="2" s="1"/>
  <c r="AD257" i="2"/>
  <c r="AD256" i="2" s="1"/>
  <c r="AD254" i="2"/>
  <c r="AD253" i="2" s="1"/>
  <c r="AD247" i="2"/>
  <c r="AD246" i="2" s="1"/>
  <c r="AD245" i="2" s="1"/>
  <c r="AD244" i="2" s="1"/>
  <c r="AD243" i="2" s="1"/>
  <c r="AD242" i="2" s="1"/>
  <c r="AD201" i="2"/>
  <c r="AD200" i="2" s="1"/>
  <c r="AD238" i="2"/>
  <c r="AD237" i="2" s="1"/>
  <c r="AD236" i="2" s="1"/>
  <c r="AD234" i="2"/>
  <c r="AD233" i="2" s="1"/>
  <c r="AD232" i="2" s="1"/>
  <c r="AD230" i="2"/>
  <c r="AD227" i="2" s="1"/>
  <c r="AD226" i="2" s="1"/>
  <c r="AD224" i="2"/>
  <c r="AD223" i="2" s="1"/>
  <c r="AD216" i="2"/>
  <c r="AD215" i="2" s="1"/>
  <c r="AD214" i="2" s="1"/>
  <c r="AD213" i="2" s="1"/>
  <c r="AD212" i="2" s="1"/>
  <c r="AD208" i="2"/>
  <c r="AD206" i="2"/>
  <c r="AD183" i="2"/>
  <c r="AD182" i="2" s="1"/>
  <c r="AD181" i="2" s="1"/>
  <c r="AD180" i="2" s="1"/>
  <c r="AD178" i="2"/>
  <c r="AD177" i="2" s="1"/>
  <c r="AD176" i="2" s="1"/>
  <c r="AD175" i="2" s="1"/>
  <c r="AD190" i="2"/>
  <c r="AD189" i="2" s="1"/>
  <c r="AD188" i="2" s="1"/>
  <c r="AD187" i="2" s="1"/>
  <c r="AD170" i="2"/>
  <c r="AD169" i="2" s="1"/>
  <c r="AD168" i="2" s="1"/>
  <c r="AD167" i="2" s="1"/>
  <c r="AD166" i="2" s="1"/>
  <c r="AD165" i="2" s="1"/>
  <c r="AD163" i="2"/>
  <c r="AD162" i="2" s="1"/>
  <c r="AD161" i="2" s="1"/>
  <c r="AD160" i="2" s="1"/>
  <c r="AD159" i="2" s="1"/>
  <c r="AD158" i="2" s="1"/>
  <c r="AD151" i="2"/>
  <c r="AD150" i="2" s="1"/>
  <c r="AD149" i="2" s="1"/>
  <c r="AD143" i="2"/>
  <c r="AD142" i="2" s="1"/>
  <c r="AD141" i="2" s="1"/>
  <c r="AD140" i="2" s="1"/>
  <c r="AD139" i="2" s="1"/>
  <c r="AD137" i="2"/>
  <c r="AD136" i="2" s="1"/>
  <c r="AD135" i="2" s="1"/>
  <c r="AD133" i="2"/>
  <c r="AD132" i="2" s="1"/>
  <c r="AD131" i="2" s="1"/>
  <c r="AD128" i="2"/>
  <c r="AD127" i="2" s="1"/>
  <c r="AD126" i="2" s="1"/>
  <c r="AD125" i="2" s="1"/>
  <c r="AD111" i="2"/>
  <c r="AD109" i="2"/>
  <c r="AD106" i="2"/>
  <c r="AD104" i="2"/>
  <c r="AD100" i="2"/>
  <c r="AD99" i="2"/>
  <c r="AD77" i="2"/>
  <c r="AD76" i="2" s="1"/>
  <c r="AD74" i="2"/>
  <c r="AD73" i="2" s="1"/>
  <c r="AD69" i="2"/>
  <c r="AD68" i="2" s="1"/>
  <c r="AD67" i="2" s="1"/>
  <c r="AD66" i="2" s="1"/>
  <c r="AD65" i="2" s="1"/>
  <c r="AD63" i="2"/>
  <c r="AD62" i="2" s="1"/>
  <c r="AD60" i="2"/>
  <c r="AD59" i="2" s="1"/>
  <c r="AD55" i="2"/>
  <c r="AD52" i="2" s="1"/>
  <c r="AD46" i="2"/>
  <c r="AD44" i="2"/>
  <c r="AD38" i="2"/>
  <c r="AD36" i="2"/>
  <c r="AD32" i="2"/>
  <c r="AD31" i="2" s="1"/>
  <c r="AD30" i="2" s="1"/>
  <c r="AD25" i="2"/>
  <c r="AD24" i="2" s="1"/>
  <c r="H456" i="7" l="1"/>
  <c r="H455" i="7" s="1"/>
  <c r="H454" i="7" s="1"/>
  <c r="H447" i="7" s="1"/>
  <c r="G456" i="7"/>
  <c r="G455" i="7" s="1"/>
  <c r="G454" i="7" s="1"/>
  <c r="G447" i="7" s="1"/>
  <c r="AD451" i="2"/>
  <c r="AD450" i="2" s="1"/>
  <c r="AE551" i="2"/>
  <c r="AE552" i="2"/>
  <c r="AD551" i="2"/>
  <c r="AD552" i="2"/>
  <c r="AD435" i="2"/>
  <c r="AD434" i="2" s="1"/>
  <c r="AD430" i="2" s="1"/>
  <c r="AD343" i="2"/>
  <c r="AD108" i="2"/>
  <c r="AD666" i="2"/>
  <c r="AD665" i="2" s="1"/>
  <c r="H345" i="7"/>
  <c r="H344" i="7" s="1"/>
  <c r="H343" i="7" s="1"/>
  <c r="H337" i="7" s="1"/>
  <c r="H336" i="7" s="1"/>
  <c r="H335" i="7" s="1"/>
  <c r="E259" i="9"/>
  <c r="E258" i="9" s="1"/>
  <c r="E257" i="9" s="1"/>
  <c r="E256" i="9" s="1"/>
  <c r="AD222" i="2"/>
  <c r="AD221" i="2" s="1"/>
  <c r="AD205" i="2"/>
  <c r="AD204" i="2" s="1"/>
  <c r="AD203" i="2" s="1"/>
  <c r="AE323" i="2"/>
  <c r="AD199" i="2"/>
  <c r="AD198" i="2" s="1"/>
  <c r="AE666" i="2"/>
  <c r="AD323" i="2"/>
  <c r="AD319" i="2" s="1"/>
  <c r="AD318" i="2" s="1"/>
  <c r="AD317" i="2" s="1"/>
  <c r="AD422" i="2"/>
  <c r="AD421" i="2" s="1"/>
  <c r="AD420" i="2" s="1"/>
  <c r="AD419" i="2" s="1"/>
  <c r="AD533" i="2"/>
  <c r="AD532" i="2" s="1"/>
  <c r="AD531" i="2" s="1"/>
  <c r="AD530" i="2" s="1"/>
  <c r="AD1132" i="2"/>
  <c r="AD1131" i="2" s="1"/>
  <c r="AD1130" i="2" s="1"/>
  <c r="AD762" i="2"/>
  <c r="AD284" i="2"/>
  <c r="AD283" i="2" s="1"/>
  <c r="AD103" i="2"/>
  <c r="AD174" i="2"/>
  <c r="AD173" i="2" s="1"/>
  <c r="AE103" i="2"/>
  <c r="AE108" i="2"/>
  <c r="AD1098" i="2"/>
  <c r="AD1097" i="2" s="1"/>
  <c r="AD1096" i="2" s="1"/>
  <c r="AD1095" i="2" s="1"/>
  <c r="AD1094" i="2" s="1"/>
  <c r="AD567" i="2"/>
  <c r="AD566" i="2" s="1"/>
  <c r="AD565" i="2" s="1"/>
  <c r="AD564" i="2" s="1"/>
  <c r="F35" i="7"/>
  <c r="AD23" i="2"/>
  <c r="AD22" i="2" s="1"/>
  <c r="AD21" i="2" s="1"/>
  <c r="AD20" i="2" s="1"/>
  <c r="F20" i="7"/>
  <c r="F627" i="9"/>
  <c r="F626" i="9" s="1"/>
  <c r="F625" i="9" s="1"/>
  <c r="F120" i="9"/>
  <c r="F175" i="9"/>
  <c r="F342" i="9"/>
  <c r="F341" i="9" s="1"/>
  <c r="D149" i="9"/>
  <c r="D148" i="9" s="1"/>
  <c r="D147" i="9" s="1"/>
  <c r="D100" i="9"/>
  <c r="AE205" i="2"/>
  <c r="AE204" i="2" s="1"/>
  <c r="AE203" i="2" s="1"/>
  <c r="AD710" i="2"/>
  <c r="AD709" i="2" s="1"/>
  <c r="AD708" i="2" s="1"/>
  <c r="AD707" i="2" s="1"/>
  <c r="AD706" i="2" s="1"/>
  <c r="AD1181" i="2"/>
  <c r="AD1180" i="2" s="1"/>
  <c r="AD1179" i="2" s="1"/>
  <c r="AD1178" i="2" s="1"/>
  <c r="AD1115" i="2"/>
  <c r="AD1114" i="2" s="1"/>
  <c r="AD1113" i="2" s="1"/>
  <c r="AD887" i="2"/>
  <c r="AD886" i="2" s="1"/>
  <c r="AD885" i="2" s="1"/>
  <c r="AD639" i="2"/>
  <c r="AD638" i="2" s="1"/>
  <c r="AD637" i="2" s="1"/>
  <c r="AD636" i="2" s="1"/>
  <c r="AD601" i="2"/>
  <c r="AD600" i="2" s="1"/>
  <c r="AD599" i="2" s="1"/>
  <c r="AD598" i="2" s="1"/>
  <c r="AD508" i="2"/>
  <c r="AD507" i="2" s="1"/>
  <c r="AD509" i="2"/>
  <c r="AD1037" i="2"/>
  <c r="AD1036" i="2" s="1"/>
  <c r="AD1017" i="2" s="1"/>
  <c r="AD967" i="2" s="1"/>
  <c r="AD655" i="2"/>
  <c r="G386" i="7"/>
  <c r="E75" i="9"/>
  <c r="E74" i="9" s="1"/>
  <c r="E73" i="9" s="1"/>
  <c r="E189" i="9"/>
  <c r="E188" i="9" s="1"/>
  <c r="AD472" i="2"/>
  <c r="AD929" i="2"/>
  <c r="AD928" i="2" s="1"/>
  <c r="D246" i="9"/>
  <c r="D33" i="10"/>
  <c r="AD264" i="2"/>
  <c r="AD263" i="2" s="1"/>
  <c r="AD262" i="2" s="1"/>
  <c r="AD261" i="2" s="1"/>
  <c r="AD260" i="2" s="1"/>
  <c r="F400" i="7"/>
  <c r="D582" i="9" s="1"/>
  <c r="D581" i="9" s="1"/>
  <c r="D580" i="9" s="1"/>
  <c r="D579" i="9" s="1"/>
  <c r="E582" i="9"/>
  <c r="E187" i="9"/>
  <c r="E89" i="9"/>
  <c r="E681" i="9"/>
  <c r="D135" i="9"/>
  <c r="D134" i="9" s="1"/>
  <c r="D705" i="9"/>
  <c r="D704" i="9" s="1"/>
  <c r="D282" i="9"/>
  <c r="D300" i="9"/>
  <c r="D299" i="9" s="1"/>
  <c r="D765" i="9"/>
  <c r="D75" i="9"/>
  <c r="D166" i="9"/>
  <c r="D540" i="9"/>
  <c r="D539" i="9" s="1"/>
  <c r="D107" i="9"/>
  <c r="D106" i="9" s="1"/>
  <c r="D641" i="9"/>
  <c r="D324" i="9"/>
  <c r="D458" i="9"/>
  <c r="D407" i="9"/>
  <c r="D747" i="9"/>
  <c r="D326" i="9"/>
  <c r="D224" i="9"/>
  <c r="D223" i="9" s="1"/>
  <c r="D713" i="9"/>
  <c r="D638" i="9"/>
  <c r="D487" i="9"/>
  <c r="D699" i="9"/>
  <c r="D587" i="9"/>
  <c r="D456" i="9"/>
  <c r="D440" i="9"/>
  <c r="D341" i="9"/>
  <c r="D337" i="9"/>
  <c r="D38" i="9"/>
  <c r="D720" i="9"/>
  <c r="D634" i="9"/>
  <c r="D276" i="9"/>
  <c r="D275" i="9" s="1"/>
  <c r="D252" i="9"/>
  <c r="D251" i="9" s="1"/>
  <c r="D307" i="9"/>
  <c r="D452" i="9"/>
  <c r="D268" i="9"/>
  <c r="D36" i="9"/>
  <c r="D170" i="9"/>
  <c r="D111" i="9"/>
  <c r="D462" i="9"/>
  <c r="D450" i="9"/>
  <c r="D751" i="9"/>
  <c r="D432" i="9"/>
  <c r="D729" i="9"/>
  <c r="D413" i="9"/>
  <c r="D216" i="9"/>
  <c r="D53" i="9"/>
  <c r="D145" i="9"/>
  <c r="D563" i="9"/>
  <c r="D447" i="9"/>
  <c r="D763" i="9"/>
  <c r="D444" i="9"/>
  <c r="D429" i="9"/>
  <c r="D741" i="9"/>
  <c r="D726" i="9"/>
  <c r="D574" i="9"/>
  <c r="D50" i="9"/>
  <c r="D164" i="9"/>
  <c r="D478" i="9"/>
  <c r="D405" i="9"/>
  <c r="D773" i="9"/>
  <c r="D745" i="9"/>
  <c r="D758" i="9"/>
  <c r="D424" i="9"/>
  <c r="D738" i="9"/>
  <c r="D159" i="9"/>
  <c r="D92" i="9"/>
  <c r="D711" i="9"/>
  <c r="D688" i="9"/>
  <c r="D285" i="9"/>
  <c r="D566" i="9"/>
  <c r="D464" i="9"/>
  <c r="D398" i="9"/>
  <c r="D436" i="9"/>
  <c r="D733" i="9"/>
  <c r="D418" i="9"/>
  <c r="D696" i="9"/>
  <c r="F710" i="7"/>
  <c r="AE31" i="2"/>
  <c r="AE62" i="2"/>
  <c r="AE169" i="2"/>
  <c r="AE182" i="2"/>
  <c r="AE347" i="2"/>
  <c r="AE377" i="2"/>
  <c r="E206" i="9"/>
  <c r="AE455" i="2"/>
  <c r="AE503" i="2"/>
  <c r="AE526" i="2"/>
  <c r="AE567" i="2"/>
  <c r="AE618" i="2"/>
  <c r="AE695" i="2"/>
  <c r="AE763" i="2"/>
  <c r="AE889" i="2"/>
  <c r="AE925" i="2"/>
  <c r="AE1075" i="2"/>
  <c r="AE1136" i="2"/>
  <c r="AE1132" i="2" s="1"/>
  <c r="F933" i="7"/>
  <c r="AE150" i="2"/>
  <c r="AE149" i="2" s="1"/>
  <c r="AE233" i="2"/>
  <c r="AE253" i="2"/>
  <c r="AE296" i="2"/>
  <c r="AE366" i="2"/>
  <c r="AE422" i="2"/>
  <c r="AE447" i="2"/>
  <c r="AE469" i="2"/>
  <c r="AE518" i="2"/>
  <c r="AE517" i="2" s="1"/>
  <c r="AE586" i="2"/>
  <c r="AE641" i="2"/>
  <c r="AE711" i="2"/>
  <c r="AE710" i="2" s="1"/>
  <c r="AE709" i="2" s="1"/>
  <c r="AE739" i="2"/>
  <c r="AE759" i="2"/>
  <c r="AE835" i="2"/>
  <c r="E211" i="9"/>
  <c r="AE1063" i="2"/>
  <c r="AE1163" i="2"/>
  <c r="AE1183" i="2"/>
  <c r="AE1203" i="2"/>
  <c r="E224" i="9"/>
  <c r="E223" i="9" s="1"/>
  <c r="G926" i="7"/>
  <c r="F830" i="7"/>
  <c r="F694" i="7"/>
  <c r="E107" i="9"/>
  <c r="E106" i="9" s="1"/>
  <c r="F630" i="7"/>
  <c r="F610" i="7"/>
  <c r="G364" i="7"/>
  <c r="G363" i="7" s="1"/>
  <c r="G362" i="7" s="1"/>
  <c r="G361" i="7" s="1"/>
  <c r="G360" i="7" s="1"/>
  <c r="G359" i="7" s="1"/>
  <c r="G358" i="7" s="1"/>
  <c r="E307" i="9"/>
  <c r="E306" i="9" s="1"/>
  <c r="E305" i="9" s="1"/>
  <c r="E304" i="9" s="1"/>
  <c r="F215" i="7"/>
  <c r="F149" i="7"/>
  <c r="E31" i="9"/>
  <c r="E30" i="9" s="1"/>
  <c r="E29" i="9" s="1"/>
  <c r="E28" i="9" s="1"/>
  <c r="E27" i="9" s="1"/>
  <c r="AD483" i="2"/>
  <c r="E696" i="9"/>
  <c r="F889" i="7"/>
  <c r="AE24" i="2"/>
  <c r="AE59" i="2"/>
  <c r="AE76" i="2"/>
  <c r="AE162" i="2"/>
  <c r="AE177" i="2"/>
  <c r="AE215" i="2"/>
  <c r="AE237" i="2"/>
  <c r="AE256" i="2"/>
  <c r="AE285" i="2"/>
  <c r="AE333" i="2"/>
  <c r="AE399" i="2"/>
  <c r="AE398" i="2" s="1"/>
  <c r="AE452" i="2"/>
  <c r="AE603" i="2"/>
  <c r="AE657" i="2"/>
  <c r="AE656" i="2" s="1"/>
  <c r="E379" i="9"/>
  <c r="AE683" i="2"/>
  <c r="AE742" i="2"/>
  <c r="AE769" i="2"/>
  <c r="AE779" i="2"/>
  <c r="AE778" i="2" s="1"/>
  <c r="AE817" i="2"/>
  <c r="AE838" i="2"/>
  <c r="AE857" i="2"/>
  <c r="AE915" i="2"/>
  <c r="AE1100" i="2"/>
  <c r="AE1192" i="2"/>
  <c r="F964" i="7"/>
  <c r="E337" i="9"/>
  <c r="E336" i="9" s="1"/>
  <c r="E38" i="9"/>
  <c r="E37" i="9" s="1"/>
  <c r="F771" i="7"/>
  <c r="E720" i="9"/>
  <c r="E719" i="9" s="1"/>
  <c r="E718" i="9" s="1"/>
  <c r="E94" i="9"/>
  <c r="E93" i="9" s="1"/>
  <c r="E713" i="9"/>
  <c r="E712" i="9" s="1"/>
  <c r="E638" i="9"/>
  <c r="E637" i="9" s="1"/>
  <c r="G605" i="7"/>
  <c r="G604" i="7" s="1"/>
  <c r="G594" i="7"/>
  <c r="F499" i="7"/>
  <c r="E699" i="9"/>
  <c r="E698" i="9" s="1"/>
  <c r="E697" i="9" s="1"/>
  <c r="F243" i="7"/>
  <c r="F142" i="7"/>
  <c r="F75" i="7"/>
  <c r="AD728" i="2"/>
  <c r="AD727" i="2" s="1"/>
  <c r="AD726" i="2" s="1"/>
  <c r="AD725" i="2" s="1"/>
  <c r="F435" i="7"/>
  <c r="D577" i="9"/>
  <c r="AE412" i="2"/>
  <c r="AE799" i="2"/>
  <c r="AE841" i="2"/>
  <c r="AE1117" i="2"/>
  <c r="AE1172" i="2"/>
  <c r="G603" i="7"/>
  <c r="G602" i="7" s="1"/>
  <c r="E276" i="9"/>
  <c r="E275" i="9" s="1"/>
  <c r="E458" i="9"/>
  <c r="E407" i="9"/>
  <c r="E406" i="9" s="1"/>
  <c r="E747" i="9"/>
  <c r="E746" i="9" s="1"/>
  <c r="G74" i="7"/>
  <c r="G73" i="7" s="1"/>
  <c r="AE69" i="2"/>
  <c r="AE190" i="2"/>
  <c r="AE246" i="2"/>
  <c r="AE264" i="2"/>
  <c r="AE360" i="2"/>
  <c r="AE380" i="2"/>
  <c r="AE416" i="2"/>
  <c r="AE512" i="2"/>
  <c r="AE532" i="2"/>
  <c r="AE531" i="2" s="1"/>
  <c r="AE571" i="2"/>
  <c r="AE583" i="2"/>
  <c r="AE702" i="2"/>
  <c r="AE802" i="2"/>
  <c r="AE952" i="2"/>
  <c r="AE1078" i="2"/>
  <c r="AE1159" i="2"/>
  <c r="AE1175" i="2"/>
  <c r="AE1200" i="2"/>
  <c r="D31" i="9"/>
  <c r="E166" i="9"/>
  <c r="E165" i="9" s="1"/>
  <c r="E540" i="9"/>
  <c r="E705" i="9"/>
  <c r="E704" i="9" s="1"/>
  <c r="G617" i="7"/>
  <c r="G616" i="7" s="1"/>
  <c r="G615" i="7" s="1"/>
  <c r="G614" i="7" s="1"/>
  <c r="G613" i="7" s="1"/>
  <c r="G612" i="7" s="1"/>
  <c r="F489" i="7"/>
  <c r="E587" i="9"/>
  <c r="E586" i="9" s="1"/>
  <c r="E585" i="9" s="1"/>
  <c r="E584" i="9" s="1"/>
  <c r="E456" i="9"/>
  <c r="F117" i="7"/>
  <c r="E135" i="9"/>
  <c r="E134" i="9" s="1"/>
  <c r="AE73" i="2"/>
  <c r="AE142" i="2"/>
  <c r="AE141" i="2" s="1"/>
  <c r="AE140" i="2" s="1"/>
  <c r="AE139" i="2" s="1"/>
  <c r="AE132" i="2"/>
  <c r="E609" i="9"/>
  <c r="AE127" i="2"/>
  <c r="AE136" i="2"/>
  <c r="AD306" i="2"/>
  <c r="AD305" i="2" s="1"/>
  <c r="AD301" i="2" s="1"/>
  <c r="AE306" i="2"/>
  <c r="AE1047" i="2"/>
  <c r="D206" i="9"/>
  <c r="D187" i="9"/>
  <c r="AD43" i="2"/>
  <c r="AD42" i="2" s="1"/>
  <c r="AD41" i="2" s="1"/>
  <c r="AD40" i="2" s="1"/>
  <c r="AE728" i="2"/>
  <c r="AE737" i="2"/>
  <c r="F461" i="7"/>
  <c r="G76" i="7"/>
  <c r="G75" i="7" s="1"/>
  <c r="E146" i="9"/>
  <c r="F853" i="7"/>
  <c r="F804" i="7"/>
  <c r="F781" i="7"/>
  <c r="F780" i="7" s="1"/>
  <c r="F645" i="7"/>
  <c r="F681" i="7"/>
  <c r="F680" i="7" s="1"/>
  <c r="E122" i="9"/>
  <c r="E324" i="9"/>
  <c r="F725" i="7"/>
  <c r="E125" i="9"/>
  <c r="E124" i="9" s="1"/>
  <c r="E282" i="9"/>
  <c r="E641" i="9"/>
  <c r="E640" i="9" s="1"/>
  <c r="F46" i="7"/>
  <c r="F45" i="7" s="1"/>
  <c r="E732" i="9"/>
  <c r="E731" i="9" s="1"/>
  <c r="F861" i="7"/>
  <c r="D211" i="9"/>
  <c r="F182" i="9"/>
  <c r="F179" i="9" s="1"/>
  <c r="AD846" i="2"/>
  <c r="AD845" i="2" s="1"/>
  <c r="AD844" i="2" s="1"/>
  <c r="AD1047" i="2"/>
  <c r="AD1046" i="2" s="1"/>
  <c r="AD1045" i="2" s="1"/>
  <c r="AD1044" i="2" s="1"/>
  <c r="AE321" i="2"/>
  <c r="AE1039" i="2"/>
  <c r="AE1038" i="2" s="1"/>
  <c r="E180" i="9"/>
  <c r="G595" i="7"/>
  <c r="F391" i="7"/>
  <c r="D379" i="9"/>
  <c r="E762" i="9"/>
  <c r="E761" i="9" s="1"/>
  <c r="F139" i="7"/>
  <c r="F99" i="9"/>
  <c r="AE929" i="2"/>
  <c r="F394" i="7"/>
  <c r="F551" i="9"/>
  <c r="F550" i="9" s="1"/>
  <c r="F549" i="9" s="1"/>
  <c r="E158" i="9"/>
  <c r="E157" i="9" s="1"/>
  <c r="F796" i="7"/>
  <c r="F795" i="7" s="1"/>
  <c r="AD51" i="2"/>
  <c r="AD50" i="2" s="1"/>
  <c r="AD49" i="2" s="1"/>
  <c r="AD48" i="2" s="1"/>
  <c r="F750" i="7"/>
  <c r="E144" i="9"/>
  <c r="E143" i="9" s="1"/>
  <c r="E139" i="9" s="1"/>
  <c r="F258" i="7"/>
  <c r="F157" i="7"/>
  <c r="E740" i="9"/>
  <c r="E739" i="9" s="1"/>
  <c r="F54" i="7"/>
  <c r="F370" i="9"/>
  <c r="F369" i="9" s="1"/>
  <c r="F368" i="9" s="1"/>
  <c r="F367" i="9" s="1"/>
  <c r="F344" i="9" s="1"/>
  <c r="E97" i="9"/>
  <c r="E487" i="9"/>
  <c r="E486" i="9" s="1"/>
  <c r="E485" i="9" s="1"/>
  <c r="AD1196" i="2"/>
  <c r="AD1195" i="2" s="1"/>
  <c r="E452" i="9"/>
  <c r="E451" i="9" s="1"/>
  <c r="F935" i="7"/>
  <c r="E99" i="9"/>
  <c r="F690" i="7"/>
  <c r="E116" i="9"/>
  <c r="E115" i="9" s="1"/>
  <c r="E326" i="9"/>
  <c r="F81" i="9"/>
  <c r="F974" i="7"/>
  <c r="F973" i="7" s="1"/>
  <c r="F924" i="7"/>
  <c r="E175" i="9"/>
  <c r="G925" i="7"/>
  <c r="G924" i="7" s="1"/>
  <c r="F858" i="7"/>
  <c r="E35" i="9"/>
  <c r="E34" i="9" s="1"/>
  <c r="E272" i="9"/>
  <c r="E271" i="9" s="1"/>
  <c r="E270" i="9" s="1"/>
  <c r="F775" i="7"/>
  <c r="F684" i="7"/>
  <c r="F683" i="7" s="1"/>
  <c r="E110" i="9"/>
  <c r="E109" i="9" s="1"/>
  <c r="E91" i="9"/>
  <c r="E90" i="9" s="1"/>
  <c r="F670" i="7"/>
  <c r="F616" i="7"/>
  <c r="E627" i="9"/>
  <c r="E626" i="9" s="1"/>
  <c r="E625" i="9" s="1"/>
  <c r="E624" i="9" s="1"/>
  <c r="F452" i="7"/>
  <c r="E386" i="9"/>
  <c r="E385" i="9" s="1"/>
  <c r="F252" i="7"/>
  <c r="E555" i="9"/>
  <c r="E554" i="9" s="1"/>
  <c r="E553" i="9" s="1"/>
  <c r="F212" i="7"/>
  <c r="E449" i="9"/>
  <c r="E448" i="9" s="1"/>
  <c r="E750" i="9"/>
  <c r="E749" i="9" s="1"/>
  <c r="F125" i="9"/>
  <c r="F124" i="9" s="1"/>
  <c r="G936" i="7"/>
  <c r="F801" i="7"/>
  <c r="E163" i="9"/>
  <c r="E162" i="9" s="1"/>
  <c r="F637" i="7"/>
  <c r="F636" i="7" s="1"/>
  <c r="F285" i="7"/>
  <c r="E446" i="9"/>
  <c r="E445" i="9" s="1"/>
  <c r="F226" i="7"/>
  <c r="E463" i="9"/>
  <c r="F219" i="7"/>
  <c r="F134" i="7"/>
  <c r="F133" i="7" s="1"/>
  <c r="E757" i="9"/>
  <c r="E756" i="9" s="1"/>
  <c r="F112" i="7"/>
  <c r="F111" i="7" s="1"/>
  <c r="E435" i="9"/>
  <c r="E434" i="9" s="1"/>
  <c r="E428" i="9"/>
  <c r="E427" i="9" s="1"/>
  <c r="F89" i="7"/>
  <c r="F61" i="7"/>
  <c r="E417" i="9"/>
  <c r="E416" i="9" s="1"/>
  <c r="F21" i="7"/>
  <c r="F79" i="9"/>
  <c r="F122" i="9"/>
  <c r="F807" i="7"/>
  <c r="E169" i="9"/>
  <c r="E168" i="9" s="1"/>
  <c r="F491" i="7"/>
  <c r="E284" i="9"/>
  <c r="F224" i="7"/>
  <c r="E461" i="9"/>
  <c r="F204" i="7"/>
  <c r="F203" i="7" s="1"/>
  <c r="E404" i="9"/>
  <c r="E403" i="9" s="1"/>
  <c r="F154" i="7"/>
  <c r="F153" i="7" s="1"/>
  <c r="E744" i="9"/>
  <c r="E743" i="9" s="1"/>
  <c r="F944" i="7"/>
  <c r="F875" i="7"/>
  <c r="E52" i="9"/>
  <c r="E51" i="9" s="1"/>
  <c r="F704" i="7"/>
  <c r="F703" i="7" s="1"/>
  <c r="F596" i="7"/>
  <c r="G597" i="7"/>
  <c r="G596" i="7" s="1"/>
  <c r="E397" i="9"/>
  <c r="E396" i="9" s="1"/>
  <c r="F197" i="7"/>
  <c r="F196" i="7" s="1"/>
  <c r="F168" i="7"/>
  <c r="E772" i="9"/>
  <c r="E771" i="9" s="1"/>
  <c r="E120" i="9"/>
  <c r="F73" i="7"/>
  <c r="F41" i="7"/>
  <c r="E728" i="9"/>
  <c r="E727" i="9" s="1"/>
  <c r="F42" i="7"/>
  <c r="F101" i="9"/>
  <c r="E412" i="9"/>
  <c r="E411" i="9" s="1"/>
  <c r="E410" i="9" s="1"/>
  <c r="E409" i="9" s="1"/>
  <c r="F994" i="7"/>
  <c r="E49" i="9"/>
  <c r="E46" i="9" s="1"/>
  <c r="G791" i="7"/>
  <c r="G790" i="7" s="1"/>
  <c r="G789" i="7" s="1"/>
  <c r="G788" i="7" s="1"/>
  <c r="G787" i="7" s="1"/>
  <c r="G786" i="7" s="1"/>
  <c r="F790" i="7"/>
  <c r="E101" i="9"/>
  <c r="F627" i="7"/>
  <c r="F465" i="7"/>
  <c r="F441" i="7"/>
  <c r="F381" i="7"/>
  <c r="E565" i="9"/>
  <c r="E564" i="9" s="1"/>
  <c r="F353" i="7"/>
  <c r="F337" i="7" s="1"/>
  <c r="F336" i="7" s="1"/>
  <c r="F335" i="7" s="1"/>
  <c r="D31" i="10" s="1"/>
  <c r="E312" i="9"/>
  <c r="E311" i="9" s="1"/>
  <c r="F192" i="7"/>
  <c r="F189" i="7" s="1"/>
  <c r="F188" i="7" s="1"/>
  <c r="E392" i="9"/>
  <c r="E389" i="9" s="1"/>
  <c r="E388" i="9" s="1"/>
  <c r="E769" i="9"/>
  <c r="E768" i="9" s="1"/>
  <c r="F165" i="7"/>
  <c r="F51" i="7"/>
  <c r="E737" i="9"/>
  <c r="E736" i="9" s="1"/>
  <c r="F97" i="9"/>
  <c r="E182" i="9"/>
  <c r="E252" i="9"/>
  <c r="F956" i="7"/>
  <c r="E215" i="9"/>
  <c r="E214" i="9" s="1"/>
  <c r="E213" i="9" s="1"/>
  <c r="G934" i="7"/>
  <c r="G933" i="7" s="1"/>
  <c r="F926" i="7"/>
  <c r="E177" i="9"/>
  <c r="F909" i="7"/>
  <c r="E24" i="9"/>
  <c r="E23" i="9" s="1"/>
  <c r="E22" i="9" s="1"/>
  <c r="E21" i="9" s="1"/>
  <c r="E20" i="9" s="1"/>
  <c r="F642" i="7"/>
  <c r="E710" i="9"/>
  <c r="E709" i="9" s="1"/>
  <c r="F622" i="7"/>
  <c r="F621" i="7" s="1"/>
  <c r="E633" i="9"/>
  <c r="E632" i="9" s="1"/>
  <c r="F602" i="7"/>
  <c r="E370" i="9"/>
  <c r="F581" i="7"/>
  <c r="E687" i="9"/>
  <c r="E686" i="9" s="1"/>
  <c r="F377" i="7"/>
  <c r="E562" i="9"/>
  <c r="E561" i="9" s="1"/>
  <c r="F363" i="7"/>
  <c r="F278" i="7"/>
  <c r="E547" i="9"/>
  <c r="E546" i="9" s="1"/>
  <c r="E545" i="9" s="1"/>
  <c r="F248" i="7"/>
  <c r="E551" i="9"/>
  <c r="E550" i="9" s="1"/>
  <c r="E549" i="9" s="1"/>
  <c r="F130" i="7"/>
  <c r="F120" i="7"/>
  <c r="E443" i="9"/>
  <c r="E442" i="9" s="1"/>
  <c r="F94" i="9"/>
  <c r="F93" i="9" s="1"/>
  <c r="F116" i="9"/>
  <c r="F115" i="9" s="1"/>
  <c r="F104" i="9" s="1"/>
  <c r="E300" i="9"/>
  <c r="E299" i="9" s="1"/>
  <c r="E765" i="9"/>
  <c r="E764" i="9" s="1"/>
  <c r="G949" i="7"/>
  <c r="G948" i="7" s="1"/>
  <c r="G947" i="7" s="1"/>
  <c r="E342" i="9"/>
  <c r="E341" i="9" s="1"/>
  <c r="E340" i="9" s="1"/>
  <c r="E264" i="9"/>
  <c r="E263" i="9" s="1"/>
  <c r="E262" i="9" s="1"/>
  <c r="F700" i="7"/>
  <c r="F604" i="7"/>
  <c r="E372" i="9"/>
  <c r="F371" i="7"/>
  <c r="E477" i="9"/>
  <c r="E476" i="9" s="1"/>
  <c r="E319" i="9"/>
  <c r="E318" i="9" s="1"/>
  <c r="E317" i="9" s="1"/>
  <c r="E316" i="9" s="1"/>
  <c r="F221" i="7"/>
  <c r="F207" i="7"/>
  <c r="F116" i="7"/>
  <c r="E440" i="9"/>
  <c r="E439" i="9" s="1"/>
  <c r="F92" i="7"/>
  <c r="E431" i="9"/>
  <c r="E430" i="9" s="1"/>
  <c r="F84" i="7"/>
  <c r="F81" i="7" s="1"/>
  <c r="E423" i="9"/>
  <c r="E420" i="9" s="1"/>
  <c r="F65" i="7"/>
  <c r="E79" i="9"/>
  <c r="E78" i="9" s="1"/>
  <c r="E77" i="9" s="1"/>
  <c r="F39" i="7"/>
  <c r="E725" i="9"/>
  <c r="E724" i="9" s="1"/>
  <c r="F177" i="9"/>
  <c r="F547" i="9"/>
  <c r="F546" i="9" s="1"/>
  <c r="F545" i="9" s="1"/>
  <c r="F949" i="7"/>
  <c r="G674" i="7"/>
  <c r="G673" i="7" s="1"/>
  <c r="G672" i="7" s="1"/>
  <c r="G664" i="7" s="1"/>
  <c r="G663" i="7" s="1"/>
  <c r="F673" i="7"/>
  <c r="G437" i="7"/>
  <c r="G436" i="7" s="1"/>
  <c r="G695" i="7"/>
  <c r="G694" i="7" s="1"/>
  <c r="G693" i="7" s="1"/>
  <c r="G700" i="7"/>
  <c r="G699" i="7" s="1"/>
  <c r="G691" i="7"/>
  <c r="G690" i="7" s="1"/>
  <c r="G689" i="7" s="1"/>
  <c r="G678" i="7" s="1"/>
  <c r="F67" i="7"/>
  <c r="G249" i="7"/>
  <c r="AE35" i="2"/>
  <c r="AD618" i="2"/>
  <c r="AD617" i="2" s="1"/>
  <c r="AD616" i="2" s="1"/>
  <c r="AD735" i="2"/>
  <c r="AD734" i="2" s="1"/>
  <c r="AD72" i="2"/>
  <c r="AD71" i="2" s="1"/>
  <c r="AD772" i="2"/>
  <c r="AE43" i="2"/>
  <c r="AE896" i="2"/>
  <c r="AE1124" i="2"/>
  <c r="AD516" i="2"/>
  <c r="AD515" i="2" s="1"/>
  <c r="AD130" i="2"/>
  <c r="AD124" i="2" s="1"/>
  <c r="AD949" i="2"/>
  <c r="AD948" i="2" s="1"/>
  <c r="AD35" i="2"/>
  <c r="AD34" i="2" s="1"/>
  <c r="AD29" i="2" s="1"/>
  <c r="AD28" i="2" s="1"/>
  <c r="AD410" i="2"/>
  <c r="AD409" i="2" s="1"/>
  <c r="AD700" i="2"/>
  <c r="AD699" i="2" s="1"/>
  <c r="AD698" i="2" s="1"/>
  <c r="AD690" i="2" s="1"/>
  <c r="AD701" i="2"/>
  <c r="AD463" i="2"/>
  <c r="AD462" i="2" s="1"/>
  <c r="AD1124" i="2"/>
  <c r="AD252" i="2"/>
  <c r="AD251" i="2" s="1"/>
  <c r="AD250" i="2" s="1"/>
  <c r="AD249" i="2" s="1"/>
  <c r="AD241" i="2" s="1"/>
  <c r="AD1055" i="2"/>
  <c r="AD1054" i="2" s="1"/>
  <c r="AD1053" i="2" s="1"/>
  <c r="AD1052" i="2" s="1"/>
  <c r="AE1055" i="2"/>
  <c r="AD1069" i="2"/>
  <c r="AD1068" i="2" s="1"/>
  <c r="AD1067" i="2" s="1"/>
  <c r="AD1066" i="2" s="1"/>
  <c r="AD371" i="2"/>
  <c r="AD370" i="2" s="1"/>
  <c r="AD369" i="2" s="1"/>
  <c r="AE824" i="2"/>
  <c r="AD157" i="2"/>
  <c r="AD397" i="2"/>
  <c r="AD396" i="2" s="1"/>
  <c r="AD749" i="2"/>
  <c r="AD748" i="2" s="1"/>
  <c r="AD577" i="2"/>
  <c r="AD570" i="2" s="1"/>
  <c r="AD798" i="2"/>
  <c r="AD797" i="2" s="1"/>
  <c r="AD796" i="2" s="1"/>
  <c r="AD795" i="2" s="1"/>
  <c r="AD794" i="2" s="1"/>
  <c r="AD829" i="2"/>
  <c r="AD828" i="2" s="1"/>
  <c r="AD827" i="2" s="1"/>
  <c r="AD821" i="2" s="1"/>
  <c r="AD896" i="2"/>
  <c r="AD895" i="2" s="1"/>
  <c r="AD894" i="2" s="1"/>
  <c r="AD893" i="2" s="1"/>
  <c r="AD892" i="2" s="1"/>
  <c r="AD1166" i="2"/>
  <c r="AD1162" i="2" s="1"/>
  <c r="AD342" i="2" l="1"/>
  <c r="AD336" i="2" s="1"/>
  <c r="AD429" i="2"/>
  <c r="AD300" i="2"/>
  <c r="AD299" i="2" s="1"/>
  <c r="AD292" i="2" s="1"/>
  <c r="E33" i="9"/>
  <c r="E32" i="9" s="1"/>
  <c r="AE451" i="2"/>
  <c r="G935" i="7"/>
  <c r="G932" i="7" s="1"/>
  <c r="G931" i="7" s="1"/>
  <c r="G930" i="7" s="1"/>
  <c r="G929" i="7" s="1"/>
  <c r="G999" i="7"/>
  <c r="F679" i="7"/>
  <c r="F223" i="7"/>
  <c r="E460" i="9"/>
  <c r="AD102" i="2"/>
  <c r="AD98" i="2" s="1"/>
  <c r="AD97" i="2" s="1"/>
  <c r="AD86" i="2" s="1"/>
  <c r="E31" i="10"/>
  <c r="H287" i="7"/>
  <c r="AD1043" i="2"/>
  <c r="AD947" i="2" s="1"/>
  <c r="AD557" i="2"/>
  <c r="AD556" i="2" s="1"/>
  <c r="AD555" i="2" s="1"/>
  <c r="E251" i="9"/>
  <c r="E250" i="9" s="1"/>
  <c r="E249" i="9" s="1"/>
  <c r="AD220" i="2"/>
  <c r="AD219" i="2" s="1"/>
  <c r="AD218" i="2" s="1"/>
  <c r="AD186" i="2"/>
  <c r="AD185" i="2" s="1"/>
  <c r="AD408" i="2"/>
  <c r="E281" i="9"/>
  <c r="F488" i="7"/>
  <c r="F483" i="7" s="1"/>
  <c r="F482" i="7" s="1"/>
  <c r="E323" i="9"/>
  <c r="E322" i="9" s="1"/>
  <c r="E321" i="9" s="1"/>
  <c r="D323" i="9"/>
  <c r="D322" i="9" s="1"/>
  <c r="D321" i="9" s="1"/>
  <c r="AE102" i="2"/>
  <c r="E767" i="9"/>
  <c r="AD820" i="2"/>
  <c r="E332" i="9"/>
  <c r="E331" i="9" s="1"/>
  <c r="AD282" i="2"/>
  <c r="AD281" i="2" s="1"/>
  <c r="AD267" i="2"/>
  <c r="AD266" i="2" s="1"/>
  <c r="AD1188" i="2"/>
  <c r="AD1187" i="2" s="1"/>
  <c r="AD1186" i="2" s="1"/>
  <c r="AE762" i="2"/>
  <c r="G692" i="7"/>
  <c r="G677" i="7" s="1"/>
  <c r="G676" i="7" s="1"/>
  <c r="G675" i="7" s="1"/>
  <c r="F624" i="9"/>
  <c r="F623" i="9" s="1"/>
  <c r="AE284" i="2"/>
  <c r="AE283" i="2" s="1"/>
  <c r="AE267" i="2" s="1"/>
  <c r="AE266" i="2" s="1"/>
  <c r="AD27" i="2"/>
  <c r="E455" i="9"/>
  <c r="D455" i="9"/>
  <c r="F218" i="7"/>
  <c r="E419" i="9"/>
  <c r="E717" i="9"/>
  <c r="E716" i="9" s="1"/>
  <c r="E715" i="9" s="1"/>
  <c r="AD733" i="2"/>
  <c r="AD732" i="2" s="1"/>
  <c r="AD731" i="2" s="1"/>
  <c r="G418" i="7"/>
  <c r="G417" i="7" s="1"/>
  <c r="G593" i="7"/>
  <c r="G592" i="7" s="1"/>
  <c r="G591" i="7" s="1"/>
  <c r="G590" i="7" s="1"/>
  <c r="AD363" i="2"/>
  <c r="AD350" i="2" s="1"/>
  <c r="AD654" i="2"/>
  <c r="AD653" i="2" s="1"/>
  <c r="AD646" i="2" s="1"/>
  <c r="F78" i="9"/>
  <c r="F77" i="9" s="1"/>
  <c r="F72" i="9" s="1"/>
  <c r="F26" i="9" s="1"/>
  <c r="AE23" i="2"/>
  <c r="AE22" i="2" s="1"/>
  <c r="H20" i="7"/>
  <c r="H19" i="7" s="1"/>
  <c r="H18" i="7" s="1"/>
  <c r="H17" i="7" s="1"/>
  <c r="H16" i="7" s="1"/>
  <c r="F544" i="9"/>
  <c r="F479" i="9" s="1"/>
  <c r="F174" i="9"/>
  <c r="F173" i="9" s="1"/>
  <c r="F172" i="9" s="1"/>
  <c r="F340" i="9"/>
  <c r="F339" i="9"/>
  <c r="F330" i="9" s="1"/>
  <c r="F245" i="9"/>
  <c r="F244" i="9"/>
  <c r="F243" i="9" s="1"/>
  <c r="F242" i="9" s="1"/>
  <c r="F241" i="9" s="1"/>
  <c r="F96" i="9"/>
  <c r="F85" i="9" s="1"/>
  <c r="F84" i="9" s="1"/>
  <c r="F119" i="9"/>
  <c r="F118" i="9" s="1"/>
  <c r="G385" i="7"/>
  <c r="G384" i="7" s="1"/>
  <c r="G383" i="7" s="1"/>
  <c r="AD514" i="2"/>
  <c r="AD506" i="2" s="1"/>
  <c r="E298" i="9"/>
  <c r="AD316" i="2"/>
  <c r="AD884" i="2"/>
  <c r="E280" i="9"/>
  <c r="E279" i="9" s="1"/>
  <c r="E278" i="9" s="1"/>
  <c r="E310" i="9"/>
  <c r="E309" i="9" s="1"/>
  <c r="AD921" i="2"/>
  <c r="AD920" i="2" s="1"/>
  <c r="AD919" i="2" s="1"/>
  <c r="AD1149" i="2"/>
  <c r="AD1148" i="2" s="1"/>
  <c r="AD1147" i="2" s="1"/>
  <c r="E72" i="9"/>
  <c r="AD529" i="2"/>
  <c r="AD521" i="2" s="1"/>
  <c r="F61" i="10"/>
  <c r="AD461" i="2"/>
  <c r="AD444" i="2" s="1"/>
  <c r="E539" i="9"/>
  <c r="E538" i="9" s="1"/>
  <c r="E537" i="9" s="1"/>
  <c r="AD777" i="2"/>
  <c r="AD776" i="2" s="1"/>
  <c r="AE72" i="2"/>
  <c r="AE71" i="2" s="1"/>
  <c r="AE1069" i="2"/>
  <c r="AE1068" i="2" s="1"/>
  <c r="AD259" i="2"/>
  <c r="AD615" i="2"/>
  <c r="AD608" i="2" s="1"/>
  <c r="AE1166" i="2"/>
  <c r="AE1162" i="2" s="1"/>
  <c r="AE252" i="2"/>
  <c r="AE251" i="2" s="1"/>
  <c r="AE798" i="2"/>
  <c r="AE797" i="2" s="1"/>
  <c r="AE397" i="2"/>
  <c r="AE396" i="2" s="1"/>
  <c r="AE772" i="2"/>
  <c r="D205" i="9"/>
  <c r="D202" i="9" s="1"/>
  <c r="D397" i="9"/>
  <c r="D396" i="9" s="1"/>
  <c r="D687" i="9"/>
  <c r="D91" i="9"/>
  <c r="D573" i="9"/>
  <c r="D740" i="9"/>
  <c r="D446" i="9"/>
  <c r="D431" i="9"/>
  <c r="D110" i="9"/>
  <c r="D109" i="9" s="1"/>
  <c r="D37" i="9"/>
  <c r="D439" i="9"/>
  <c r="D486" i="9"/>
  <c r="D279" i="9"/>
  <c r="D423" i="9"/>
  <c r="D420" i="9" s="1"/>
  <c r="D744" i="9"/>
  <c r="D743" i="9" s="1"/>
  <c r="D477" i="9"/>
  <c r="D49" i="9"/>
  <c r="D46" i="9" s="1"/>
  <c r="D144" i="9"/>
  <c r="D412" i="9"/>
  <c r="D732" i="9"/>
  <c r="D731" i="9" s="1"/>
  <c r="D435" i="9"/>
  <c r="D434" i="9" s="1"/>
  <c r="D463" i="9"/>
  <c r="D284" i="9"/>
  <c r="D281" i="9" s="1"/>
  <c r="D710" i="9"/>
  <c r="D158" i="9"/>
  <c r="D157" i="9" s="1"/>
  <c r="D725" i="9"/>
  <c r="D428" i="9"/>
  <c r="D762" i="9"/>
  <c r="D562" i="9"/>
  <c r="D728" i="9"/>
  <c r="D750" i="9"/>
  <c r="D461" i="9"/>
  <c r="D386" i="9"/>
  <c r="D385" i="9" s="1"/>
  <c r="D169" i="9"/>
  <c r="D451" i="9"/>
  <c r="D306" i="9"/>
  <c r="D336" i="9"/>
  <c r="D332" i="9" s="1"/>
  <c r="D586" i="9"/>
  <c r="D585" i="9" s="1"/>
  <c r="D584" i="9" s="1"/>
  <c r="D698" i="9"/>
  <c r="D697" i="9" s="1"/>
  <c r="D637" i="9"/>
  <c r="D417" i="9"/>
  <c r="D565" i="9"/>
  <c r="D443" i="9"/>
  <c r="D449" i="9"/>
  <c r="D312" i="9"/>
  <c r="D311" i="9" s="1"/>
  <c r="D35" i="9"/>
  <c r="D719" i="9"/>
  <c r="D339" i="9"/>
  <c r="D340" i="9"/>
  <c r="D712" i="9"/>
  <c r="D378" i="9"/>
  <c r="D377" i="9" s="1"/>
  <c r="D30" i="9"/>
  <c r="D695" i="9"/>
  <c r="D404" i="9"/>
  <c r="D403" i="9" s="1"/>
  <c r="D272" i="9"/>
  <c r="D578" i="9"/>
  <c r="D633" i="9"/>
  <c r="D632" i="9" s="1"/>
  <c r="D406" i="9"/>
  <c r="D640" i="9"/>
  <c r="D764" i="9"/>
  <c r="D210" i="9"/>
  <c r="D186" i="9"/>
  <c r="D576" i="9"/>
  <c r="D24" i="9"/>
  <c r="D737" i="9"/>
  <c r="D757" i="9"/>
  <c r="D756" i="9" s="1"/>
  <c r="D772" i="9"/>
  <c r="D319" i="9"/>
  <c r="D163" i="9"/>
  <c r="D52" i="9"/>
  <c r="D215" i="9"/>
  <c r="D264" i="9"/>
  <c r="D267" i="9"/>
  <c r="D746" i="9"/>
  <c r="D165" i="9"/>
  <c r="D74" i="9"/>
  <c r="D618" i="9"/>
  <c r="E212" i="9"/>
  <c r="F19" i="7"/>
  <c r="F18" i="7" s="1"/>
  <c r="E577" i="9"/>
  <c r="E576" i="9" s="1"/>
  <c r="E575" i="9" s="1"/>
  <c r="D609" i="9"/>
  <c r="D681" i="9"/>
  <c r="G601" i="7"/>
  <c r="G600" i="7" s="1"/>
  <c r="G599" i="7" s="1"/>
  <c r="G598" i="7" s="1"/>
  <c r="D194" i="9"/>
  <c r="E618" i="9"/>
  <c r="E617" i="9" s="1"/>
  <c r="D89" i="9"/>
  <c r="F667" i="7"/>
  <c r="F709" i="7"/>
  <c r="F708" i="7" s="1"/>
  <c r="E608" i="9"/>
  <c r="E607" i="9" s="1"/>
  <c r="E606" i="9" s="1"/>
  <c r="G72" i="7"/>
  <c r="G71" i="7" s="1"/>
  <c r="G70" i="7" s="1"/>
  <c r="G69" i="7" s="1"/>
  <c r="E703" i="9"/>
  <c r="E702" i="9" s="1"/>
  <c r="E701" i="9" s="1"/>
  <c r="E88" i="9"/>
  <c r="E87" i="9" s="1"/>
  <c r="E86" i="9" s="1"/>
  <c r="AE665" i="2"/>
  <c r="AE895" i="2"/>
  <c r="F699" i="7"/>
  <c r="F943" i="7"/>
  <c r="F939" i="7" s="1"/>
  <c r="F88" i="7"/>
  <c r="F800" i="7"/>
  <c r="F932" i="7"/>
  <c r="F156" i="7"/>
  <c r="F460" i="7"/>
  <c r="F456" i="7" s="1"/>
  <c r="AE736" i="2"/>
  <c r="E205" i="9"/>
  <c r="E202" i="9" s="1"/>
  <c r="AE1158" i="2"/>
  <c r="AE511" i="2"/>
  <c r="AE359" i="2"/>
  <c r="F141" i="7"/>
  <c r="AE421" i="2"/>
  <c r="AE888" i="2"/>
  <c r="AE887" i="2" s="1"/>
  <c r="AE886" i="2" s="1"/>
  <c r="AE525" i="2"/>
  <c r="AE1054" i="2"/>
  <c r="AE577" i="2"/>
  <c r="AE51" i="2"/>
  <c r="F362" i="7"/>
  <c r="F641" i="7"/>
  <c r="F626" i="7"/>
  <c r="F991" i="7"/>
  <c r="F53" i="7"/>
  <c r="F257" i="7"/>
  <c r="F256" i="7" s="1"/>
  <c r="F255" i="7" s="1"/>
  <c r="F254" i="7" s="1"/>
  <c r="E210" i="9"/>
  <c r="E209" i="9" s="1"/>
  <c r="E294" i="9"/>
  <c r="E293" i="9" s="1"/>
  <c r="E292" i="9" s="1"/>
  <c r="AE727" i="2"/>
  <c r="AE305" i="2"/>
  <c r="AE301" i="2" s="1"/>
  <c r="AE1116" i="2"/>
  <c r="AE1115" i="2" s="1"/>
  <c r="AE1114" i="2" s="1"/>
  <c r="AE1191" i="2"/>
  <c r="AE816" i="2"/>
  <c r="AE236" i="2"/>
  <c r="AE176" i="2"/>
  <c r="AE1182" i="2"/>
  <c r="AE1181" i="2" s="1"/>
  <c r="AE1180" i="2" s="1"/>
  <c r="AE805" i="2"/>
  <c r="AE640" i="2"/>
  <c r="AE639" i="2" s="1"/>
  <c r="AE638" i="2" s="1"/>
  <c r="AE181" i="2"/>
  <c r="AE30" i="2"/>
  <c r="AE700" i="2"/>
  <c r="F370" i="7"/>
  <c r="G815" i="7"/>
  <c r="G811" i="7" s="1"/>
  <c r="F908" i="7"/>
  <c r="F806" i="7"/>
  <c r="F669" i="7"/>
  <c r="F857" i="7"/>
  <c r="F689" i="7"/>
  <c r="F181" i="7"/>
  <c r="F180" i="7" s="1"/>
  <c r="F860" i="7"/>
  <c r="F724" i="7"/>
  <c r="F644" i="7"/>
  <c r="F803" i="7"/>
  <c r="F34" i="7"/>
  <c r="F125" i="7"/>
  <c r="AE263" i="2"/>
  <c r="AE189" i="2"/>
  <c r="F242" i="7"/>
  <c r="AE602" i="2"/>
  <c r="AE601" i="2" s="1"/>
  <c r="AE600" i="2" s="1"/>
  <c r="F148" i="7"/>
  <c r="F629" i="7"/>
  <c r="F693" i="7"/>
  <c r="AE446" i="2"/>
  <c r="AE192" i="2"/>
  <c r="AE694" i="2"/>
  <c r="AE693" i="2" s="1"/>
  <c r="AE692" i="2" s="1"/>
  <c r="AE691" i="2" s="1"/>
  <c r="AE566" i="2"/>
  <c r="AE502" i="2"/>
  <c r="AE823" i="2"/>
  <c r="G248" i="7"/>
  <c r="G247" i="7" s="1"/>
  <c r="G246" i="7" s="1"/>
  <c r="F206" i="7"/>
  <c r="F195" i="7" s="1"/>
  <c r="F464" i="7"/>
  <c r="F463" i="7" s="1"/>
  <c r="F72" i="7"/>
  <c r="F593" i="7"/>
  <c r="F284" i="7"/>
  <c r="F393" i="7"/>
  <c r="F138" i="7"/>
  <c r="AE415" i="2"/>
  <c r="AE245" i="2"/>
  <c r="F770" i="7"/>
  <c r="AE1099" i="2"/>
  <c r="F609" i="7"/>
  <c r="AE365" i="2"/>
  <c r="AE617" i="2"/>
  <c r="AE1196" i="2"/>
  <c r="F948" i="7"/>
  <c r="F91" i="7"/>
  <c r="F119" i="7"/>
  <c r="F247" i="7"/>
  <c r="F434" i="7"/>
  <c r="F50" i="7"/>
  <c r="F380" i="7"/>
  <c r="F159" i="7"/>
  <c r="F251" i="7"/>
  <c r="F615" i="7"/>
  <c r="AE928" i="2"/>
  <c r="AE921" i="2" s="1"/>
  <c r="E186" i="9"/>
  <c r="E185" i="9" s="1"/>
  <c r="E184" i="9" s="1"/>
  <c r="AE68" i="2"/>
  <c r="F963" i="7"/>
  <c r="AE856" i="2"/>
  <c r="F829" i="7"/>
  <c r="AE463" i="2"/>
  <c r="AE829" i="2"/>
  <c r="AE701" i="2"/>
  <c r="AE371" i="2"/>
  <c r="AE1122" i="2"/>
  <c r="AE42" i="2"/>
  <c r="AE434" i="2"/>
  <c r="AE430" i="2" s="1"/>
  <c r="AE34" i="2"/>
  <c r="G67" i="7"/>
  <c r="G64" i="7" s="1"/>
  <c r="G63" i="7" s="1"/>
  <c r="G58" i="7" s="1"/>
  <c r="G57" i="7" s="1"/>
  <c r="F672" i="7"/>
  <c r="F38" i="7"/>
  <c r="F129" i="7"/>
  <c r="F277" i="7"/>
  <c r="F580" i="7"/>
  <c r="F955" i="7"/>
  <c r="F954" i="7" s="1"/>
  <c r="F440" i="7"/>
  <c r="F789" i="7"/>
  <c r="F167" i="7"/>
  <c r="F874" i="7"/>
  <c r="F211" i="7"/>
  <c r="F451" i="7"/>
  <c r="F774" i="7"/>
  <c r="G923" i="7"/>
  <c r="G922" i="7" s="1"/>
  <c r="G921" i="7" s="1"/>
  <c r="F98" i="7"/>
  <c r="F749" i="7"/>
  <c r="F745" i="7" s="1"/>
  <c r="AE226" i="2"/>
  <c r="AE320" i="2"/>
  <c r="AE319" i="2" s="1"/>
  <c r="F852" i="7"/>
  <c r="AE749" i="2"/>
  <c r="AE748" i="2" s="1"/>
  <c r="E581" i="9"/>
  <c r="AE1046" i="2"/>
  <c r="AE951" i="2"/>
  <c r="AE411" i="2"/>
  <c r="AE222" i="2"/>
  <c r="F498" i="7"/>
  <c r="AE914" i="2"/>
  <c r="AE682" i="2"/>
  <c r="AE332" i="2"/>
  <c r="AE214" i="2"/>
  <c r="AE161" i="2"/>
  <c r="F888" i="7"/>
  <c r="AD482" i="2"/>
  <c r="F214" i="7"/>
  <c r="AE1062" i="2"/>
  <c r="AE295" i="2"/>
  <c r="AE232" i="2"/>
  <c r="AE343" i="2"/>
  <c r="AE199" i="2"/>
  <c r="AE168" i="2"/>
  <c r="E133" i="9"/>
  <c r="F60" i="7"/>
  <c r="F390" i="7"/>
  <c r="F164" i="7"/>
  <c r="AE126" i="2"/>
  <c r="AE135" i="2"/>
  <c r="AE131" i="2"/>
  <c r="F399" i="7"/>
  <c r="F819" i="7"/>
  <c r="F816" i="7" s="1"/>
  <c r="E695" i="9"/>
  <c r="E694" i="9" s="1"/>
  <c r="E229" i="9"/>
  <c r="E179" i="9"/>
  <c r="F917" i="7"/>
  <c r="F915" i="7"/>
  <c r="F914" i="7" s="1"/>
  <c r="E369" i="9"/>
  <c r="E368" i="9" s="1"/>
  <c r="E367" i="9" s="1"/>
  <c r="E344" i="9" s="1"/>
  <c r="F824" i="7"/>
  <c r="E54" i="9"/>
  <c r="G946" i="7"/>
  <c r="G937" i="7" s="1"/>
  <c r="E339" i="9"/>
  <c r="E433" i="9"/>
  <c r="E573" i="9"/>
  <c r="E572" i="9" s="1"/>
  <c r="E174" i="9"/>
  <c r="E156" i="9"/>
  <c r="E155" i="9" s="1"/>
  <c r="E154" i="9" s="1"/>
  <c r="F993" i="7"/>
  <c r="E755" i="9"/>
  <c r="E631" i="9"/>
  <c r="E630" i="9" s="1"/>
  <c r="E629" i="9" s="1"/>
  <c r="F923" i="7"/>
  <c r="E730" i="9"/>
  <c r="E483" i="9"/>
  <c r="E482" i="9" s="1"/>
  <c r="E481" i="9" s="1"/>
  <c r="E480" i="9" s="1"/>
  <c r="E119" i="9"/>
  <c r="E118" i="9" s="1"/>
  <c r="E395" i="9"/>
  <c r="E394" i="9" s="1"/>
  <c r="F990" i="7"/>
  <c r="E378" i="9"/>
  <c r="E377" i="9" s="1"/>
  <c r="E376" i="9" s="1"/>
  <c r="E742" i="9"/>
  <c r="E268" i="9"/>
  <c r="E267" i="9" s="1"/>
  <c r="E266" i="9" s="1"/>
  <c r="E544" i="9"/>
  <c r="E680" i="9"/>
  <c r="E679" i="9" s="1"/>
  <c r="F574" i="7"/>
  <c r="F573" i="7" s="1"/>
  <c r="G662" i="7"/>
  <c r="G661" i="7" s="1"/>
  <c r="E96" i="9"/>
  <c r="E45" i="9"/>
  <c r="E44" i="9" s="1"/>
  <c r="F601" i="7"/>
  <c r="F64" i="7"/>
  <c r="E245" i="9"/>
  <c r="E244" i="9"/>
  <c r="E243" i="9" s="1"/>
  <c r="E242" i="9" s="1"/>
  <c r="E241" i="9" s="1"/>
  <c r="E138" i="9"/>
  <c r="E137" i="9" s="1"/>
  <c r="E560" i="9"/>
  <c r="E559" i="9" s="1"/>
  <c r="E558" i="9" s="1"/>
  <c r="E390" i="9"/>
  <c r="AD747" i="2"/>
  <c r="AD746" i="2" s="1"/>
  <c r="AE1123" i="2"/>
  <c r="AD1122" i="2"/>
  <c r="AD1121" i="2" s="1"/>
  <c r="AD1120" i="2" s="1"/>
  <c r="AD1123" i="2"/>
  <c r="E648" i="9" l="1"/>
  <c r="E647" i="9" s="1"/>
  <c r="E646" i="9" s="1"/>
  <c r="E645" i="9" s="1"/>
  <c r="E644" i="9" s="1"/>
  <c r="H553" i="7"/>
  <c r="H552" i="7" s="1"/>
  <c r="H551" i="7" s="1"/>
  <c r="H550" i="7" s="1"/>
  <c r="H549" i="7" s="1"/>
  <c r="H481" i="7" s="1"/>
  <c r="H446" i="7" s="1"/>
  <c r="F553" i="7"/>
  <c r="F552" i="7" s="1"/>
  <c r="F551" i="7" s="1"/>
  <c r="D648" i="9"/>
  <c r="D647" i="9" s="1"/>
  <c r="D646" i="9" s="1"/>
  <c r="D645" i="9" s="1"/>
  <c r="D644" i="9" s="1"/>
  <c r="AD427" i="2"/>
  <c r="AD428" i="2"/>
  <c r="AD291" i="2"/>
  <c r="E690" i="9"/>
  <c r="E689" i="9" s="1"/>
  <c r="AE300" i="2"/>
  <c r="AD879" i="2"/>
  <c r="AD878" i="2" s="1"/>
  <c r="AD877" i="2" s="1"/>
  <c r="AD876" i="2" s="1"/>
  <c r="AD875" i="2" s="1"/>
  <c r="F856" i="7"/>
  <c r="AD745" i="2"/>
  <c r="AD730" i="2" s="1"/>
  <c r="D460" i="9"/>
  <c r="AD918" i="2"/>
  <c r="AD910" i="2" s="1"/>
  <c r="D376" i="9"/>
  <c r="F217" i="7"/>
  <c r="E454" i="9"/>
  <c r="E415" i="9" s="1"/>
  <c r="E414" i="9" s="1"/>
  <c r="E479" i="9"/>
  <c r="E330" i="9"/>
  <c r="AD240" i="2"/>
  <c r="F969" i="7"/>
  <c r="F968" i="7" s="1"/>
  <c r="F967" i="7" s="1"/>
  <c r="F966" i="7" s="1"/>
  <c r="E219" i="9"/>
  <c r="E218" i="9" s="1"/>
  <c r="E217" i="9" s="1"/>
  <c r="F692" i="7"/>
  <c r="E274" i="9"/>
  <c r="E248" i="9" s="1"/>
  <c r="F439" i="7"/>
  <c r="F438" i="7" s="1"/>
  <c r="AE410" i="2"/>
  <c r="G56" i="7"/>
  <c r="E291" i="9"/>
  <c r="F171" i="9"/>
  <c r="E85" i="9"/>
  <c r="E84" i="9" s="1"/>
  <c r="AD172" i="2"/>
  <c r="F103" i="9"/>
  <c r="F83" i="9" s="1"/>
  <c r="AE1098" i="2"/>
  <c r="AE1097" i="2" s="1"/>
  <c r="G357" i="7"/>
  <c r="H15" i="7"/>
  <c r="H996" i="7" s="1"/>
  <c r="F25" i="10"/>
  <c r="F32" i="10"/>
  <c r="G920" i="7"/>
  <c r="G919" i="7" s="1"/>
  <c r="AE530" i="2"/>
  <c r="AE529" i="2"/>
  <c r="D65" i="10"/>
  <c r="D64" i="10" s="1"/>
  <c r="F989" i="7"/>
  <c r="E678" i="9"/>
  <c r="E677" i="9" s="1"/>
  <c r="F386" i="7"/>
  <c r="F385" i="7" s="1"/>
  <c r="E568" i="9"/>
  <c r="E567" i="9" s="1"/>
  <c r="AD607" i="2"/>
  <c r="AD606" i="2" s="1"/>
  <c r="G583" i="7"/>
  <c r="G446" i="7" s="1"/>
  <c r="AD645" i="2"/>
  <c r="AD644" i="2" s="1"/>
  <c r="AD79" i="2"/>
  <c r="E375" i="9"/>
  <c r="E43" i="9"/>
  <c r="E26" i="9" s="1"/>
  <c r="F433" i="7"/>
  <c r="F432" i="7" s="1"/>
  <c r="F419" i="7" s="1"/>
  <c r="F666" i="7"/>
  <c r="E580" i="9"/>
  <c r="D209" i="9"/>
  <c r="D34" i="9"/>
  <c r="D33" i="9" s="1"/>
  <c r="D442" i="9"/>
  <c r="D433" i="9" s="1"/>
  <c r="D749" i="9"/>
  <c r="D427" i="9"/>
  <c r="E615" i="9"/>
  <c r="D229" i="9"/>
  <c r="D608" i="9"/>
  <c r="D73" i="9"/>
  <c r="D575" i="9"/>
  <c r="D185" i="9"/>
  <c r="D483" i="9"/>
  <c r="D538" i="9"/>
  <c r="D564" i="9"/>
  <c r="D305" i="9"/>
  <c r="D168" i="9"/>
  <c r="D727" i="9"/>
  <c r="D761" i="9"/>
  <c r="D755" i="9" s="1"/>
  <c r="D724" i="9"/>
  <c r="D709" i="9"/>
  <c r="D411" i="9"/>
  <c r="D278" i="9"/>
  <c r="D274" i="9" s="1"/>
  <c r="D485" i="9"/>
  <c r="D250" i="9"/>
  <c r="D88" i="9"/>
  <c r="D680" i="9"/>
  <c r="D679" i="9" s="1"/>
  <c r="D298" i="9"/>
  <c r="D718" i="9"/>
  <c r="D448" i="9"/>
  <c r="D416" i="9"/>
  <c r="D561" i="9"/>
  <c r="D143" i="9"/>
  <c r="D139" i="9" s="1"/>
  <c r="D138" i="9" s="1"/>
  <c r="D476" i="9"/>
  <c r="D266" i="9"/>
  <c r="D214" i="9"/>
  <c r="D213" i="9" s="1"/>
  <c r="D771" i="9"/>
  <c r="D767" i="9" s="1"/>
  <c r="D736" i="9"/>
  <c r="D430" i="9"/>
  <c r="D739" i="9"/>
  <c r="D90" i="9"/>
  <c r="D263" i="9"/>
  <c r="D51" i="9"/>
  <c r="D162" i="9"/>
  <c r="D318" i="9"/>
  <c r="D23" i="9"/>
  <c r="D271" i="9"/>
  <c r="D694" i="9"/>
  <c r="D690" i="9" s="1"/>
  <c r="D29" i="9"/>
  <c r="D256" i="9"/>
  <c r="D146" i="9"/>
  <c r="D445" i="9"/>
  <c r="D572" i="9"/>
  <c r="D686" i="9"/>
  <c r="F744" i="7"/>
  <c r="E723" i="9"/>
  <c r="D612" i="9"/>
  <c r="E57" i="10"/>
  <c r="F947" i="7"/>
  <c r="F868" i="7"/>
  <c r="F702" i="7"/>
  <c r="D193" i="9"/>
  <c r="D189" i="9" s="1"/>
  <c r="E623" i="9"/>
  <c r="D617" i="9"/>
  <c r="F946" i="7"/>
  <c r="F132" i="7"/>
  <c r="F128" i="7" s="1"/>
  <c r="F922" i="7"/>
  <c r="F921" i="7" s="1"/>
  <c r="AE318" i="2"/>
  <c r="AE317" i="2" s="1"/>
  <c r="AD481" i="2"/>
  <c r="AE160" i="2"/>
  <c r="AE655" i="2"/>
  <c r="AE654" i="2" s="1"/>
  <c r="AE653" i="2" s="1"/>
  <c r="F497" i="7"/>
  <c r="AE950" i="2"/>
  <c r="AE1045" i="2"/>
  <c r="AE41" i="2"/>
  <c r="F71" i="7"/>
  <c r="AE1053" i="2"/>
  <c r="AE420" i="2"/>
  <c r="F152" i="7"/>
  <c r="F398" i="7"/>
  <c r="F769" i="7"/>
  <c r="AE244" i="2"/>
  <c r="AE262" i="2"/>
  <c r="F907" i="7"/>
  <c r="F361" i="7"/>
  <c r="AE510" i="2"/>
  <c r="AE509" i="2" s="1"/>
  <c r="AE1067" i="2"/>
  <c r="F376" i="7"/>
  <c r="F635" i="7"/>
  <c r="F110" i="7"/>
  <c r="F794" i="7"/>
  <c r="F992" i="7"/>
  <c r="G928" i="7"/>
  <c r="E201" i="9"/>
  <c r="E197" i="9" s="1"/>
  <c r="F913" i="7"/>
  <c r="AE294" i="2"/>
  <c r="F887" i="7"/>
  <c r="AE213" i="2"/>
  <c r="AE331" i="2"/>
  <c r="AE681" i="2"/>
  <c r="AE913" i="2"/>
  <c r="F851" i="7"/>
  <c r="F773" i="7"/>
  <c r="F276" i="7"/>
  <c r="AE1121" i="2"/>
  <c r="AE1120" i="2" s="1"/>
  <c r="F828" i="7"/>
  <c r="AE855" i="2"/>
  <c r="F246" i="7"/>
  <c r="F283" i="7"/>
  <c r="F592" i="7"/>
  <c r="F241" i="7"/>
  <c r="AE796" i="2"/>
  <c r="F723" i="7"/>
  <c r="AE1037" i="2"/>
  <c r="F369" i="7"/>
  <c r="AE180" i="2"/>
  <c r="AE708" i="2"/>
  <c r="AE524" i="2"/>
  <c r="F63" i="7"/>
  <c r="F988" i="7"/>
  <c r="F823" i="7"/>
  <c r="F916" i="7"/>
  <c r="AE1061" i="2"/>
  <c r="F450" i="7"/>
  <c r="AE29" i="2"/>
  <c r="AE450" i="2"/>
  <c r="F962" i="7"/>
  <c r="F608" i="7"/>
  <c r="F33" i="7"/>
  <c r="F752" i="7"/>
  <c r="AE570" i="2"/>
  <c r="F600" i="7"/>
  <c r="AE167" i="2"/>
  <c r="AE221" i="2"/>
  <c r="AE220" i="2" s="1"/>
  <c r="AE219" i="2" s="1"/>
  <c r="F779" i="7"/>
  <c r="F97" i="7"/>
  <c r="F788" i="7"/>
  <c r="AE370" i="2"/>
  <c r="F250" i="7"/>
  <c r="AE616" i="2"/>
  <c r="AE615" i="2" s="1"/>
  <c r="AE608" i="2" s="1"/>
  <c r="AE364" i="2"/>
  <c r="AE501" i="2"/>
  <c r="AE699" i="2"/>
  <c r="AE1190" i="2"/>
  <c r="AD724" i="2"/>
  <c r="AD723" i="2" s="1"/>
  <c r="AD722" i="2" s="1"/>
  <c r="AE250" i="2"/>
  <c r="AE98" i="2"/>
  <c r="F80" i="7"/>
  <c r="F678" i="7"/>
  <c r="F44" i="7"/>
  <c r="F620" i="7"/>
  <c r="AE198" i="2"/>
  <c r="AE342" i="2"/>
  <c r="AE336" i="2" s="1"/>
  <c r="AE516" i="2"/>
  <c r="AE515" i="2" s="1"/>
  <c r="AE828" i="2"/>
  <c r="AE462" i="2"/>
  <c r="AE67" i="2"/>
  <c r="F614" i="7"/>
  <c r="AE1195" i="2"/>
  <c r="AE822" i="2"/>
  <c r="AE565" i="2"/>
  <c r="AE1131" i="2"/>
  <c r="AE1130" i="2" s="1"/>
  <c r="AE445" i="2"/>
  <c r="F147" i="7"/>
  <c r="AE188" i="2"/>
  <c r="F124" i="7"/>
  <c r="AE175" i="2"/>
  <c r="AE815" i="2"/>
  <c r="AE726" i="2"/>
  <c r="AE725" i="2" s="1"/>
  <c r="AE21" i="2"/>
  <c r="AE50" i="2"/>
  <c r="AE358" i="2"/>
  <c r="AE1157" i="2"/>
  <c r="AE735" i="2"/>
  <c r="F17" i="7"/>
  <c r="F931" i="7"/>
  <c r="AE894" i="2"/>
  <c r="F163" i="7"/>
  <c r="F162" i="7" s="1"/>
  <c r="D23" i="10" s="1"/>
  <c r="F59" i="7"/>
  <c r="AE125" i="2"/>
  <c r="AE130" i="2"/>
  <c r="E173" i="9"/>
  <c r="E172" i="9" s="1"/>
  <c r="E105" i="9"/>
  <c r="F550" i="7" l="1"/>
  <c r="E196" i="9"/>
  <c r="E171" i="9" s="1"/>
  <c r="F722" i="9"/>
  <c r="F784" i="9" s="1"/>
  <c r="E643" i="9"/>
  <c r="AD705" i="2"/>
  <c r="D454" i="9"/>
  <c r="D219" i="9"/>
  <c r="D218" i="9" s="1"/>
  <c r="D217" i="9" s="1"/>
  <c r="AE174" i="2"/>
  <c r="AE173" i="2" s="1"/>
  <c r="E247" i="9"/>
  <c r="F743" i="7"/>
  <c r="F722" i="7"/>
  <c r="F721" i="7" s="1"/>
  <c r="F720" i="7" s="1"/>
  <c r="D717" i="9"/>
  <c r="D716" i="9" s="1"/>
  <c r="D715" i="9" s="1"/>
  <c r="F56" i="10"/>
  <c r="E19" i="10"/>
  <c r="E104" i="9"/>
  <c r="E103" i="9" s="1"/>
  <c r="E83" i="9" s="1"/>
  <c r="D568" i="9"/>
  <c r="D567" i="9" s="1"/>
  <c r="AD19" i="2"/>
  <c r="E374" i="9"/>
  <c r="AE1096" i="2"/>
  <c r="F867" i="7"/>
  <c r="F665" i="7"/>
  <c r="F664" i="7" s="1"/>
  <c r="F663" i="7" s="1"/>
  <c r="F194" i="7"/>
  <c r="AE747" i="2"/>
  <c r="AE746" i="2" s="1"/>
  <c r="F953" i="7"/>
  <c r="D201" i="9"/>
  <c r="D197" i="9" s="1"/>
  <c r="D262" i="9"/>
  <c r="D537" i="9"/>
  <c r="D105" i="9"/>
  <c r="E614" i="9"/>
  <c r="D45" i="9"/>
  <c r="D22" i="9"/>
  <c r="D317" i="9"/>
  <c r="D156" i="9"/>
  <c r="D87" i="9"/>
  <c r="D419" i="9"/>
  <c r="D560" i="9"/>
  <c r="D631" i="9"/>
  <c r="D249" i="9"/>
  <c r="D703" i="9"/>
  <c r="D310" i="9"/>
  <c r="D482" i="9"/>
  <c r="D607" i="9"/>
  <c r="D606" i="9" s="1"/>
  <c r="D331" i="9"/>
  <c r="D330" i="9" s="1"/>
  <c r="D133" i="9"/>
  <c r="D28" i="9"/>
  <c r="D270" i="9"/>
  <c r="D742" i="9"/>
  <c r="D410" i="9"/>
  <c r="D730" i="9"/>
  <c r="D304" i="9"/>
  <c r="D184" i="9"/>
  <c r="D395" i="9"/>
  <c r="E579" i="9"/>
  <c r="F815" i="7"/>
  <c r="F811" i="7" s="1"/>
  <c r="E23" i="10"/>
  <c r="D611" i="9"/>
  <c r="D610" i="9" s="1"/>
  <c r="E60" i="10"/>
  <c r="D294" i="9"/>
  <c r="D293" i="9" s="1"/>
  <c r="E22" i="10"/>
  <c r="G911" i="7"/>
  <c r="F58" i="7"/>
  <c r="F57" i="7" s="1"/>
  <c r="AE20" i="2"/>
  <c r="AE827" i="2"/>
  <c r="AE409" i="2"/>
  <c r="F778" i="7"/>
  <c r="AE282" i="2"/>
  <c r="AE281" i="2" s="1"/>
  <c r="F240" i="7"/>
  <c r="AE854" i="2"/>
  <c r="F768" i="7"/>
  <c r="F912" i="7"/>
  <c r="D57" i="10" s="1"/>
  <c r="AE1066" i="2"/>
  <c r="AE261" i="2"/>
  <c r="AE260" i="2" s="1"/>
  <c r="AE777" i="2"/>
  <c r="AE776" i="2" s="1"/>
  <c r="AE159" i="2"/>
  <c r="F16" i="7"/>
  <c r="D18" i="10" s="1"/>
  <c r="AD1129" i="2"/>
  <c r="AD1112" i="2" s="1"/>
  <c r="AD901" i="2" s="1"/>
  <c r="AE49" i="2"/>
  <c r="F146" i="7"/>
  <c r="F855" i="7"/>
  <c r="F591" i="7"/>
  <c r="F245" i="7"/>
  <c r="AE912" i="2"/>
  <c r="AE330" i="2"/>
  <c r="F886" i="7"/>
  <c r="F906" i="7"/>
  <c r="AE1052" i="2"/>
  <c r="AE1044" i="2"/>
  <c r="F707" i="7"/>
  <c r="F706" i="7" s="1"/>
  <c r="AE66" i="2"/>
  <c r="AE97" i="2"/>
  <c r="AE86" i="2" s="1"/>
  <c r="AE698" i="2"/>
  <c r="F787" i="7"/>
  <c r="AE166" i="2"/>
  <c r="AE165" i="2" s="1"/>
  <c r="AE637" i="2"/>
  <c r="F32" i="7"/>
  <c r="F607" i="7"/>
  <c r="AE599" i="2"/>
  <c r="F827" i="7"/>
  <c r="F275" i="7"/>
  <c r="F291" i="7"/>
  <c r="F290" i="7" s="1"/>
  <c r="F289" i="7" s="1"/>
  <c r="F288" i="7" s="1"/>
  <c r="F287" i="7" s="1"/>
  <c r="F793" i="7"/>
  <c r="F375" i="7"/>
  <c r="F455" i="7"/>
  <c r="AE508" i="2"/>
  <c r="AD395" i="2"/>
  <c r="AD384" i="2" s="1"/>
  <c r="AE243" i="2"/>
  <c r="F70" i="7"/>
  <c r="F496" i="7"/>
  <c r="F495" i="7" s="1"/>
  <c r="AD480" i="2"/>
  <c r="AD443" i="2" s="1"/>
  <c r="AE734" i="2"/>
  <c r="AE733" i="2" s="1"/>
  <c r="F123" i="7"/>
  <c r="AE187" i="2"/>
  <c r="AE186" i="2" s="1"/>
  <c r="AE564" i="2"/>
  <c r="AE557" i="2" s="1"/>
  <c r="F613" i="7"/>
  <c r="F619" i="7"/>
  <c r="AE249" i="2"/>
  <c r="AE369" i="2"/>
  <c r="AE363" i="2" s="1"/>
  <c r="AE1179" i="2"/>
  <c r="AE920" i="2"/>
  <c r="F449" i="7"/>
  <c r="AE1036" i="2"/>
  <c r="AE1017" i="2" s="1"/>
  <c r="AE967" i="2" s="1"/>
  <c r="AE846" i="2"/>
  <c r="F360" i="7"/>
  <c r="F151" i="7"/>
  <c r="AE949" i="2"/>
  <c r="AE357" i="2"/>
  <c r="AE814" i="2"/>
  <c r="F572" i="7"/>
  <c r="AE523" i="2"/>
  <c r="F634" i="7"/>
  <c r="F210" i="7"/>
  <c r="AE893" i="2"/>
  <c r="AE892" i="2" s="1"/>
  <c r="F930" i="7"/>
  <c r="AE1156" i="2"/>
  <c r="AE1149" i="2" s="1"/>
  <c r="F37" i="7"/>
  <c r="F79" i="7"/>
  <c r="AE395" i="2"/>
  <c r="AE384" i="2" s="1"/>
  <c r="AE1189" i="2"/>
  <c r="AE1188" i="2" s="1"/>
  <c r="AE500" i="2"/>
  <c r="G245" i="7"/>
  <c r="F96" i="7"/>
  <c r="F599" i="7"/>
  <c r="F938" i="7"/>
  <c r="F937" i="7" s="1"/>
  <c r="AE885" i="2"/>
  <c r="F961" i="7"/>
  <c r="AE28" i="2"/>
  <c r="AE1060" i="2"/>
  <c r="AE1113" i="2"/>
  <c r="AE707" i="2"/>
  <c r="F368" i="7"/>
  <c r="AE795" i="2"/>
  <c r="F282" i="7"/>
  <c r="AE429" i="2"/>
  <c r="AE427" i="2" s="1"/>
  <c r="F850" i="7"/>
  <c r="AE680" i="2"/>
  <c r="AE646" i="2" s="1"/>
  <c r="AE212" i="2"/>
  <c r="AE293" i="2"/>
  <c r="F109" i="7"/>
  <c r="F397" i="7"/>
  <c r="AE419" i="2"/>
  <c r="F179" i="7"/>
  <c r="AE40" i="2"/>
  <c r="G810" i="7"/>
  <c r="AE124" i="2"/>
  <c r="AB764" i="2"/>
  <c r="D207" i="7"/>
  <c r="D206" i="7" s="1"/>
  <c r="D204" i="7"/>
  <c r="D203" i="7" s="1"/>
  <c r="F810" i="7" l="1"/>
  <c r="F809" i="7" s="1"/>
  <c r="E610" i="9"/>
  <c r="E593" i="9" s="1"/>
  <c r="E583" i="9" s="1"/>
  <c r="AE745" i="2"/>
  <c r="D593" i="9"/>
  <c r="F952" i="7"/>
  <c r="F951" i="7" s="1"/>
  <c r="D60" i="10" s="1"/>
  <c r="AE185" i="2"/>
  <c r="AE408" i="2"/>
  <c r="D248" i="9"/>
  <c r="F38" i="10"/>
  <c r="F46" i="10"/>
  <c r="AE884" i="2"/>
  <c r="AE79" i="2"/>
  <c r="AD383" i="2"/>
  <c r="D86" i="9"/>
  <c r="D481" i="9"/>
  <c r="D394" i="9"/>
  <c r="D32" i="9"/>
  <c r="D188" i="9"/>
  <c r="D630" i="9"/>
  <c r="D559" i="9"/>
  <c r="D316" i="9"/>
  <c r="D212" i="9"/>
  <c r="D723" i="9"/>
  <c r="D415" i="9"/>
  <c r="D21" i="9"/>
  <c r="D27" i="9"/>
  <c r="D702" i="9"/>
  <c r="D155" i="9"/>
  <c r="D54" i="9"/>
  <c r="E578" i="9"/>
  <c r="D196" i="9"/>
  <c r="D409" i="9"/>
  <c r="D309" i="9"/>
  <c r="D689" i="9"/>
  <c r="D137" i="9"/>
  <c r="D44" i="9"/>
  <c r="D678" i="9"/>
  <c r="E55" i="10"/>
  <c r="E54" i="10" s="1"/>
  <c r="F239" i="7"/>
  <c r="E62" i="10"/>
  <c r="E50" i="10"/>
  <c r="E49" i="10"/>
  <c r="E18" i="10"/>
  <c r="G239" i="7"/>
  <c r="G170" i="7" s="1"/>
  <c r="E27" i="10"/>
  <c r="E29" i="10"/>
  <c r="E28" i="10" s="1"/>
  <c r="AE316" i="2"/>
  <c r="F396" i="7"/>
  <c r="F598" i="7"/>
  <c r="AE499" i="2"/>
  <c r="AE813" i="2"/>
  <c r="F359" i="7"/>
  <c r="AE919" i="2"/>
  <c r="AE918" i="2" s="1"/>
  <c r="AE472" i="2"/>
  <c r="AE461" i="2" s="1"/>
  <c r="AE444" i="2" s="1"/>
  <c r="AE443" i="2" s="1"/>
  <c r="AE507" i="2"/>
  <c r="F178" i="7"/>
  <c r="F108" i="7"/>
  <c r="AE794" i="2"/>
  <c r="AE706" i="2"/>
  <c r="F78" i="7"/>
  <c r="F209" i="7"/>
  <c r="AE845" i="2"/>
  <c r="AE299" i="2"/>
  <c r="AE292" i="2" s="1"/>
  <c r="F69" i="7"/>
  <c r="F374" i="7"/>
  <c r="F826" i="7"/>
  <c r="F677" i="7"/>
  <c r="AE724" i="2"/>
  <c r="AE48" i="2"/>
  <c r="F281" i="7"/>
  <c r="F95" i="7"/>
  <c r="F920" i="7"/>
  <c r="F919" i="7" s="1"/>
  <c r="AE522" i="2"/>
  <c r="AE948" i="2"/>
  <c r="AE1178" i="2"/>
  <c r="AE350" i="2"/>
  <c r="AE598" i="2"/>
  <c r="F606" i="7"/>
  <c r="AE636" i="2"/>
  <c r="F590" i="7"/>
  <c r="F145" i="7"/>
  <c r="F144" i="7" s="1"/>
  <c r="AE158" i="2"/>
  <c r="F767" i="7"/>
  <c r="F777" i="7"/>
  <c r="AE428" i="2"/>
  <c r="F367" i="7"/>
  <c r="F960" i="7"/>
  <c r="F122" i="7"/>
  <c r="AD442" i="2"/>
  <c r="AE242" i="2"/>
  <c r="F792" i="7"/>
  <c r="F274" i="7"/>
  <c r="AE514" i="2"/>
  <c r="AE65" i="2"/>
  <c r="AE1187" i="2"/>
  <c r="AE1186" i="2" s="1"/>
  <c r="AE1129" i="2"/>
  <c r="AE1112" i="2" s="1"/>
  <c r="F905" i="7"/>
  <c r="F437" i="7"/>
  <c r="F436" i="7" s="1"/>
  <c r="F929" i="7"/>
  <c r="F633" i="7"/>
  <c r="F571" i="7"/>
  <c r="F448" i="7"/>
  <c r="F618" i="7"/>
  <c r="F454" i="7"/>
  <c r="F31" i="7"/>
  <c r="F23" i="7" s="1"/>
  <c r="AE690" i="2"/>
  <c r="AE1095" i="2"/>
  <c r="AE821" i="2"/>
  <c r="AE1043" i="2"/>
  <c r="F885" i="7"/>
  <c r="AE911" i="2"/>
  <c r="F877" i="7"/>
  <c r="F866" i="7" s="1"/>
  <c r="F849" i="7" s="1"/>
  <c r="AE218" i="2"/>
  <c r="D63" i="10"/>
  <c r="G809" i="7"/>
  <c r="G785" i="7" s="1"/>
  <c r="F549" i="7" l="1"/>
  <c r="F481" i="7" s="1"/>
  <c r="F447" i="7"/>
  <c r="AD18" i="2"/>
  <c r="AD1214" i="2" s="1"/>
  <c r="AE947" i="2"/>
  <c r="F848" i="7"/>
  <c r="AE506" i="2"/>
  <c r="G15" i="7"/>
  <c r="AE172" i="2"/>
  <c r="AE27" i="2"/>
  <c r="AE19" i="2" s="1"/>
  <c r="F766" i="7"/>
  <c r="D50" i="10" s="1"/>
  <c r="E42" i="10"/>
  <c r="AE383" i="2"/>
  <c r="D43" i="9"/>
  <c r="E34" i="10"/>
  <c r="F928" i="7"/>
  <c r="D59" i="10" s="1"/>
  <c r="AE241" i="2"/>
  <c r="E557" i="9"/>
  <c r="D154" i="9"/>
  <c r="D20" i="9"/>
  <c r="F418" i="7"/>
  <c r="F417" i="7" s="1"/>
  <c r="D36" i="10" s="1"/>
  <c r="D414" i="9"/>
  <c r="D629" i="9"/>
  <c r="D292" i="9"/>
  <c r="D480" i="9"/>
  <c r="D677" i="9"/>
  <c r="D701" i="9"/>
  <c r="D558" i="9"/>
  <c r="E63" i="10"/>
  <c r="E61" i="10" s="1"/>
  <c r="E26" i="10"/>
  <c r="E25" i="10" s="1"/>
  <c r="E35" i="10"/>
  <c r="E59" i="10"/>
  <c r="E33" i="10"/>
  <c r="E37" i="10"/>
  <c r="E41" i="10"/>
  <c r="E40" i="10"/>
  <c r="E21" i="10"/>
  <c r="E53" i="10"/>
  <c r="E52" i="10" s="1"/>
  <c r="D22" i="10"/>
  <c r="D19" i="10"/>
  <c r="F177" i="7"/>
  <c r="F786" i="7"/>
  <c r="F785" i="7" s="1"/>
  <c r="AE1148" i="2"/>
  <c r="AE723" i="2"/>
  <c r="AE732" i="2"/>
  <c r="AE731" i="2" s="1"/>
  <c r="AE844" i="2"/>
  <c r="AE820" i="2" s="1"/>
  <c r="F384" i="7"/>
  <c r="F383" i="7" s="1"/>
  <c r="AE556" i="2"/>
  <c r="AE555" i="2" s="1"/>
  <c r="AE1094" i="2"/>
  <c r="F612" i="7"/>
  <c r="F94" i="7"/>
  <c r="F77" i="7"/>
  <c r="F107" i="7"/>
  <c r="F100" i="7" s="1"/>
  <c r="AE157" i="2"/>
  <c r="AE521" i="2"/>
  <c r="F373" i="7"/>
  <c r="AE910" i="2"/>
  <c r="AE901" i="2" s="1"/>
  <c r="F358" i="7"/>
  <c r="AE259" i="2"/>
  <c r="D37" i="10"/>
  <c r="F904" i="7"/>
  <c r="D55" i="10" s="1"/>
  <c r="D54" i="10" s="1"/>
  <c r="F959" i="7"/>
  <c r="D62" i="10" s="1"/>
  <c r="D61" i="10" s="1"/>
  <c r="F742" i="7"/>
  <c r="F731" i="7" s="1"/>
  <c r="F632" i="7"/>
  <c r="F273" i="7"/>
  <c r="D26" i="10" s="1"/>
  <c r="F366" i="7"/>
  <c r="F280" i="7"/>
  <c r="D27" i="10" s="1"/>
  <c r="F662" i="7"/>
  <c r="F661" i="7" s="1"/>
  <c r="F676" i="7"/>
  <c r="F675" i="7" s="1"/>
  <c r="AE291" i="2"/>
  <c r="AE498" i="2"/>
  <c r="E722" i="9" l="1"/>
  <c r="E784" i="9" s="1"/>
  <c r="AE240" i="2"/>
  <c r="D643" i="9"/>
  <c r="D39" i="10"/>
  <c r="F170" i="7"/>
  <c r="D24" i="10" s="1"/>
  <c r="F56" i="7"/>
  <c r="E20" i="10"/>
  <c r="F583" i="7"/>
  <c r="D42" i="10" s="1"/>
  <c r="D25" i="10"/>
  <c r="D583" i="9"/>
  <c r="D291" i="9"/>
  <c r="D247" i="9" s="1"/>
  <c r="D557" i="9"/>
  <c r="E36" i="10"/>
  <c r="E32" i="10" s="1"/>
  <c r="E58" i="10"/>
  <c r="E56" i="10" s="1"/>
  <c r="E39" i="10"/>
  <c r="E38" i="10" s="1"/>
  <c r="D58" i="10"/>
  <c r="D56" i="10" s="1"/>
  <c r="F903" i="7"/>
  <c r="D21" i="10"/>
  <c r="AE722" i="2"/>
  <c r="F272" i="7"/>
  <c r="D40" i="10"/>
  <c r="F365" i="7"/>
  <c r="D34" i="10" s="1"/>
  <c r="F958" i="7"/>
  <c r="D41" i="10"/>
  <c r="D35" i="10"/>
  <c r="AE607" i="2"/>
  <c r="AE1147" i="2"/>
  <c r="D48" i="10"/>
  <c r="D47" i="10"/>
  <c r="D49" i="10"/>
  <c r="D29" i="10"/>
  <c r="D28" i="10" s="1"/>
  <c r="AE645" i="2"/>
  <c r="AE442" i="2"/>
  <c r="D51" i="10"/>
  <c r="G660" i="7"/>
  <c r="G996" i="7" s="1"/>
  <c r="AE18" i="2" l="1"/>
  <c r="F446" i="7"/>
  <c r="D20" i="10"/>
  <c r="D17" i="10" s="1"/>
  <c r="F15" i="7"/>
  <c r="F17" i="10"/>
  <c r="F66" i="10" s="1"/>
  <c r="D32" i="10"/>
  <c r="D46" i="10"/>
  <c r="D38" i="10"/>
  <c r="E24" i="10"/>
  <c r="E17" i="10" s="1"/>
  <c r="E51" i="10"/>
  <c r="E46" i="10" s="1"/>
  <c r="F357" i="7"/>
  <c r="F911" i="7"/>
  <c r="D372" i="9"/>
  <c r="F660" i="7"/>
  <c r="AE644" i="2"/>
  <c r="D53" i="10"/>
  <c r="D52" i="10" s="1"/>
  <c r="AE730" i="2"/>
  <c r="AE705" i="2" s="1"/>
  <c r="AE606" i="2"/>
  <c r="D370" i="9"/>
  <c r="D627" i="9"/>
  <c r="AE1214" i="2" l="1"/>
  <c r="E66" i="10"/>
  <c r="D66" i="10"/>
  <c r="D626" i="9"/>
  <c r="F847" i="7"/>
  <c r="F996" i="7" s="1"/>
  <c r="D369" i="9"/>
  <c r="D625" i="9" l="1"/>
  <c r="D624" i="9" s="1"/>
  <c r="D368" i="9"/>
  <c r="D555" i="9"/>
  <c r="D367" i="9" l="1"/>
  <c r="D344" i="9" s="1"/>
  <c r="D554" i="9"/>
  <c r="D623" i="9" l="1"/>
  <c r="D553" i="9"/>
  <c r="D177" i="9" l="1"/>
  <c r="B443" i="9" l="1"/>
  <c r="B442" i="9" s="1"/>
  <c r="B440" i="9"/>
  <c r="B439" i="9" s="1"/>
  <c r="D116" i="9" l="1"/>
  <c r="D101" i="9"/>
  <c r="D94" i="9"/>
  <c r="D551" i="9"/>
  <c r="D125" i="9"/>
  <c r="D93" i="9" l="1"/>
  <c r="D550" i="9"/>
  <c r="D124" i="9"/>
  <c r="D115" i="9"/>
  <c r="D104" i="9" s="1"/>
  <c r="D549" i="9" l="1"/>
  <c r="D175" i="9"/>
  <c r="D174" i="9" l="1"/>
  <c r="B125" i="9" l="1"/>
  <c r="D694" i="7"/>
  <c r="D81" i="9" l="1"/>
  <c r="D97" i="9"/>
  <c r="D79" i="9"/>
  <c r="D78" i="9" l="1"/>
  <c r="D77" i="9" l="1"/>
  <c r="B407" i="9"/>
  <c r="B406" i="9" s="1"/>
  <c r="B404" i="9"/>
  <c r="B403" i="9" s="1"/>
  <c r="D120" i="7"/>
  <c r="D119" i="7" s="1"/>
  <c r="D117" i="7"/>
  <c r="D116" i="7" s="1"/>
  <c r="D72" i="9" l="1"/>
  <c r="D26" i="9" s="1"/>
  <c r="D392" i="9"/>
  <c r="D389" i="9" s="1"/>
  <c r="D388" i="9" s="1"/>
  <c r="AB675" i="2"/>
  <c r="AB674" i="2" s="1"/>
  <c r="D390" i="9" l="1"/>
  <c r="D375" i="9" l="1"/>
  <c r="D374" i="9" s="1"/>
  <c r="G762" i="2" l="1"/>
  <c r="D182" i="9" l="1"/>
  <c r="D180" i="9" l="1"/>
  <c r="D179" i="9" l="1"/>
  <c r="D173" i="9" l="1"/>
  <c r="D172" i="9" s="1"/>
  <c r="D171" i="9" l="1"/>
  <c r="D99" i="9" l="1"/>
  <c r="D96" i="9" l="1"/>
  <c r="D85" i="9" l="1"/>
  <c r="D84" i="9" s="1"/>
  <c r="D244" i="9" l="1"/>
  <c r="D245" i="9"/>
  <c r="D243" i="9" l="1"/>
  <c r="D242" i="9" l="1"/>
  <c r="D241" i="9" l="1"/>
  <c r="D122" i="9" l="1"/>
  <c r="D120" i="9"/>
  <c r="D547" i="9"/>
  <c r="D119" i="9" l="1"/>
  <c r="D118" i="9" s="1"/>
  <c r="D546" i="9"/>
  <c r="D545" i="9" l="1"/>
  <c r="D103" i="9" l="1"/>
  <c r="D544" i="9"/>
  <c r="D479" i="9" s="1"/>
  <c r="D83" i="9" l="1"/>
  <c r="D722" i="9" s="1"/>
  <c r="D784" i="9" l="1"/>
  <c r="AB625" i="2"/>
  <c r="AB624" i="2" s="1"/>
  <c r="AB628" i="2"/>
  <c r="AB627" i="2" s="1"/>
  <c r="AB678" i="2"/>
  <c r="AB677"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C73" i="4"/>
  <c r="D73" i="4" s="1"/>
  <c r="D76" i="4"/>
  <c r="C77" i="4"/>
  <c r="D77" i="4" s="1"/>
  <c r="D78" i="4"/>
  <c r="C79" i="4"/>
  <c r="D79" i="4" s="1"/>
  <c r="D80" i="4"/>
  <c r="C81" i="4"/>
  <c r="D81" i="4" s="1"/>
  <c r="C82" i="4"/>
  <c r="D82" i="4" s="1"/>
  <c r="D83" i="4"/>
  <c r="C84" i="4"/>
  <c r="D84" i="4" s="1"/>
  <c r="C87" i="4"/>
  <c r="D89" i="4"/>
  <c r="D90" i="4"/>
  <c r="C92" i="4"/>
  <c r="D92" i="4" s="1"/>
  <c r="C95" i="4"/>
  <c r="D96" i="4"/>
  <c r="D99" i="4"/>
  <c r="D100" i="4"/>
  <c r="C102" i="4"/>
  <c r="D102" i="4" s="1"/>
  <c r="D103" i="4"/>
  <c r="C104" i="4"/>
  <c r="D104" i="4" s="1"/>
  <c r="D107" i="4"/>
  <c r="C108" i="4"/>
  <c r="C109" i="4"/>
  <c r="D109" i="4" s="1"/>
  <c r="C110" i="4"/>
  <c r="D110" i="4" s="1"/>
  <c r="C112" i="4"/>
  <c r="D112" i="4" s="1"/>
  <c r="C115" i="4"/>
  <c r="D115" i="4" s="1"/>
  <c r="C116" i="4"/>
  <c r="C117" i="4"/>
  <c r="D117" i="4" s="1"/>
  <c r="C118" i="4"/>
  <c r="D118" i="4" s="1"/>
  <c r="C129" i="4"/>
  <c r="C142" i="4"/>
  <c r="C143" i="4" s="1"/>
  <c r="G374" i="2"/>
  <c r="G373" i="2" s="1"/>
  <c r="G379" i="2"/>
  <c r="G378" i="2" s="1"/>
  <c r="G377" i="2" s="1"/>
  <c r="G382" i="2"/>
  <c r="G381" i="2" s="1"/>
  <c r="G380"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c r="H280" i="1" s="1"/>
  <c r="H284" i="1"/>
  <c r="H286" i="1"/>
  <c r="H290" i="1"/>
  <c r="H289" i="1" s="1"/>
  <c r="H288" i="1" s="1"/>
  <c r="H295" i="1"/>
  <c r="H294" i="1" s="1"/>
  <c r="H293" i="1" s="1"/>
  <c r="H292" i="1" s="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c r="H341" i="1" s="1"/>
  <c r="H340" i="1" s="1"/>
  <c r="H348" i="1"/>
  <c r="H347" i="1" s="1"/>
  <c r="H346" i="1" s="1"/>
  <c r="H345" i="1" s="1"/>
  <c r="H353" i="1"/>
  <c r="H352" i="1" s="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c r="H535" i="1" s="1"/>
  <c r="H534" i="1" s="1"/>
  <c r="H538" i="1"/>
  <c r="H541" i="1"/>
  <c r="H544" i="1"/>
  <c r="H543" i="1"/>
  <c r="H547" i="1"/>
  <c r="H546" i="1"/>
  <c r="H553" i="1"/>
  <c r="H555" i="1"/>
  <c r="H558" i="1"/>
  <c r="H557" i="1" s="1"/>
  <c r="H559" i="1"/>
  <c r="H562" i="1"/>
  <c r="H561" i="1"/>
  <c r="H565" i="1"/>
  <c r="H564" i="1"/>
  <c r="H568" i="1"/>
  <c r="H567" i="1"/>
  <c r="H571" i="1"/>
  <c r="H573" i="1"/>
  <c r="H576" i="1"/>
  <c r="H578" i="1"/>
  <c r="H575" i="1" s="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6"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69"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52" i="1"/>
  <c r="H954" i="1"/>
  <c r="H958" i="1"/>
  <c r="H960" i="1"/>
  <c r="H957" i="1" s="1"/>
  <c r="H956" i="1" s="1"/>
  <c r="H962" i="1"/>
  <c r="H965" i="1"/>
  <c r="H968" i="1"/>
  <c r="H967" i="1" s="1"/>
  <c r="H969" i="1"/>
  <c r="H974" i="1"/>
  <c r="H976" i="1"/>
  <c r="H978" i="1"/>
  <c r="H983" i="1"/>
  <c r="H985" i="1"/>
  <c r="H987" i="1"/>
  <c r="H991" i="1"/>
  <c r="H993" i="1"/>
  <c r="H995" i="1"/>
  <c r="H1000" i="1"/>
  <c r="H1002" i="1"/>
  <c r="H1004" i="1"/>
  <c r="H1009" i="1"/>
  <c r="H1011" i="1"/>
  <c r="H1008" i="1" s="1"/>
  <c r="H1007" i="1" s="1"/>
  <c r="H1006" i="1" s="1"/>
  <c r="I1006" i="1" s="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c r="H1072" i="1" s="1"/>
  <c r="H1071" i="1" s="1"/>
  <c r="H1079" i="1"/>
  <c r="H1078" i="1"/>
  <c r="H1077" i="1" s="1"/>
  <c r="H1076" i="1" s="1"/>
  <c r="H1084" i="1"/>
  <c r="H1083" i="1"/>
  <c r="H1082" i="1" s="1"/>
  <c r="H1081" i="1" s="1"/>
  <c r="H1090" i="1"/>
  <c r="H1089" i="1"/>
  <c r="H1088" i="1" s="1"/>
  <c r="H1087" i="1" s="1"/>
  <c r="H1092" i="1"/>
  <c r="H1097" i="1"/>
  <c r="H1096" i="1" s="1"/>
  <c r="H1099" i="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0" i="1" s="1"/>
  <c r="H1179" i="1" s="1"/>
  <c r="H1178" i="1" s="1"/>
  <c r="H1183" i="1"/>
  <c r="H1185" i="1"/>
  <c r="H1187" i="1"/>
  <c r="H1189" i="1"/>
  <c r="H1191" i="1"/>
  <c r="H1193" i="1"/>
  <c r="H1199" i="1"/>
  <c r="H1201" i="1"/>
  <c r="H1203" i="1"/>
  <c r="H1208" i="1"/>
  <c r="H1211" i="1"/>
  <c r="H1210" i="1" s="1"/>
  <c r="H1212" i="1"/>
  <c r="H1214" i="1"/>
  <c r="H1216" i="1"/>
  <c r="H1219" i="1"/>
  <c r="H1218" i="1" s="1"/>
  <c r="H1222" i="1"/>
  <c r="H1221" i="1" s="1"/>
  <c r="H1225" i="1"/>
  <c r="H1224" i="1" s="1"/>
  <c r="H1229" i="1"/>
  <c r="H1228" i="1" s="1"/>
  <c r="H1227" i="1" s="1"/>
  <c r="H1233" i="1"/>
  <c r="H1232" i="1" s="1"/>
  <c r="H1231" i="1" s="1"/>
  <c r="H1237" i="1"/>
  <c r="H1236" i="1" s="1"/>
  <c r="H1242" i="1"/>
  <c r="H1245" i="1"/>
  <c r="H1244" i="1" s="1"/>
  <c r="H1248" i="1"/>
  <c r="H1251" i="1"/>
  <c r="H1250" i="1" s="1"/>
  <c r="H1252" i="1"/>
  <c r="H1254" i="1"/>
  <c r="H1257" i="1"/>
  <c r="H1259" i="1"/>
  <c r="H1261" i="1"/>
  <c r="H1263" i="1"/>
  <c r="H1265" i="1"/>
  <c r="H1267" i="1"/>
  <c r="H1270" i="1"/>
  <c r="H1269" i="1" s="1"/>
  <c r="H1256" i="1" s="1"/>
  <c r="H1272" i="1"/>
  <c r="H1271" i="1" s="1"/>
  <c r="H1274" i="1"/>
  <c r="H1277" i="1"/>
  <c r="H1276" i="1" s="1"/>
  <c r="H1280" i="1"/>
  <c r="H1282" i="1"/>
  <c r="H1284" i="1"/>
  <c r="H1279" i="1" s="1"/>
  <c r="H1286" i="1"/>
  <c r="H1291" i="1"/>
  <c r="H1293" i="1"/>
  <c r="H1295" i="1"/>
  <c r="H1290" i="1" s="1"/>
  <c r="H1299" i="1"/>
  <c r="H1298" i="1"/>
  <c r="H1301" i="1"/>
  <c r="H1300" i="1" s="1"/>
  <c r="H1302" i="1"/>
  <c r="H1304" i="1"/>
  <c r="H1306" i="1"/>
  <c r="H1311" i="1"/>
  <c r="H1313" i="1"/>
  <c r="H1315" i="1"/>
  <c r="H1322" i="1"/>
  <c r="H1321" i="1" s="1"/>
  <c r="H1320" i="1" s="1"/>
  <c r="H1319"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c r="H1401" i="1"/>
  <c r="H1400" i="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66" i="1"/>
  <c r="H1468" i="1"/>
  <c r="H1470" i="1"/>
  <c r="H1474" i="1"/>
  <c r="H1476" i="1"/>
  <c r="H1478" i="1"/>
  <c r="H1481" i="1"/>
  <c r="H1480" i="1" s="1"/>
  <c r="H1485" i="1"/>
  <c r="H1487" i="1"/>
  <c r="H1489" i="1"/>
  <c r="H1491" i="1"/>
  <c r="H1495" i="1"/>
  <c r="H1494" i="1" s="1"/>
  <c r="H1499" i="1"/>
  <c r="H1498" i="1" s="1"/>
  <c r="H1502" i="1"/>
  <c r="H1504" i="1"/>
  <c r="H1506" i="1"/>
  <c r="H1508" i="1"/>
  <c r="H1515" i="1"/>
  <c r="H1514" i="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c r="H1674" i="1"/>
  <c r="H1676" i="1"/>
  <c r="H1678" i="1"/>
  <c r="H1680" i="1"/>
  <c r="H1682" i="1"/>
  <c r="H1684" i="1"/>
  <c r="H1686" i="1"/>
  <c r="H1688" i="1"/>
  <c r="H1690" i="1"/>
  <c r="H1692" i="1"/>
  <c r="H1695" i="1"/>
  <c r="H1694" i="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s="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D71" i="4"/>
  <c r="H1310" i="1"/>
  <c r="H1309" i="1" s="1"/>
  <c r="H1308" i="1" s="1"/>
  <c r="E116" i="4"/>
  <c r="D116" i="4"/>
  <c r="C114" i="4"/>
  <c r="E114" i="4" s="1"/>
  <c r="D87" i="4"/>
  <c r="D41" i="4"/>
  <c r="C31" i="4"/>
  <c r="D31" i="4" s="1"/>
  <c r="D108" i="4"/>
  <c r="C106" i="4"/>
  <c r="D106" i="4" s="1"/>
  <c r="H299" i="1"/>
  <c r="H298" i="1" s="1"/>
  <c r="H297" i="1" s="1"/>
  <c r="D95" i="4"/>
  <c r="H607" i="1"/>
  <c r="H606" i="1" s="1"/>
  <c r="H517" i="1"/>
  <c r="H516" i="1" s="1"/>
  <c r="H515" i="1" s="1"/>
  <c r="H514" i="1" s="1"/>
  <c r="H643" i="1"/>
  <c r="D114" i="4"/>
  <c r="H483" i="1"/>
  <c r="D63" i="4"/>
  <c r="C75" i="4"/>
  <c r="H1715" i="1"/>
  <c r="H990" i="1"/>
  <c r="H989" i="1" s="1"/>
  <c r="H982" i="1"/>
  <c r="H981" i="1" s="1"/>
  <c r="H800" i="1"/>
  <c r="H799" i="1" s="1"/>
  <c r="E118" i="4"/>
  <c r="E115" i="4"/>
  <c r="H1866" i="1"/>
  <c r="H1865" i="1" s="1"/>
  <c r="H570" i="1"/>
  <c r="H149" i="1"/>
  <c r="C94" i="4"/>
  <c r="E94" i="4" s="1"/>
  <c r="D94" i="4" l="1"/>
  <c r="H2302" i="1"/>
  <c r="H1501" i="1"/>
  <c r="H1457" i="1"/>
  <c r="H1456" i="1" s="1"/>
  <c r="H1247" i="1"/>
  <c r="H1246" i="1" s="1"/>
  <c r="H1198" i="1"/>
  <c r="H1197" i="1" s="1"/>
  <c r="H1196" i="1" s="1"/>
  <c r="H2247" i="1"/>
  <c r="H2172" i="1"/>
  <c r="H2109" i="1"/>
  <c r="H1927" i="1"/>
  <c r="H1926" i="1" s="1"/>
  <c r="H1879" i="1"/>
  <c r="H1484" i="1"/>
  <c r="H1483" i="1" s="1"/>
  <c r="H949" i="1"/>
  <c r="H948" i="1" s="1"/>
  <c r="H705" i="1"/>
  <c r="H704" i="1" s="1"/>
  <c r="H876" i="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999" i="1"/>
  <c r="H998" i="1" s="1"/>
  <c r="H997" i="1" s="1"/>
  <c r="I997" i="1" s="1"/>
  <c r="H2254" i="1"/>
  <c r="H2244" i="1" s="1"/>
  <c r="H2239" i="1" s="1"/>
  <c r="H2238" i="1" s="1"/>
  <c r="H2232" i="1" s="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14" i="1"/>
  <c r="H1698" i="1"/>
  <c r="H1560" i="1"/>
  <c r="H1559" i="1" s="1"/>
  <c r="H1017" i="1"/>
  <c r="H791" i="1"/>
  <c r="H552" i="1"/>
  <c r="H551" i="1" s="1"/>
  <c r="H20" i="1"/>
  <c r="H1451" i="1"/>
  <c r="H1450" i="1" s="1"/>
  <c r="H1361" i="1"/>
  <c r="H1241" i="1"/>
  <c r="H1240" i="1" s="1"/>
  <c r="H1207" i="1"/>
  <c r="H1206" i="1" s="1"/>
  <c r="H1205" i="1" s="1"/>
  <c r="H1058" i="1"/>
  <c r="H759" i="1"/>
  <c r="H618" i="1"/>
  <c r="H617" i="1" s="1"/>
  <c r="H27" i="1"/>
  <c r="G372" i="2"/>
  <c r="G371" i="2" s="1"/>
  <c r="G363" i="2" s="1"/>
  <c r="H1465" i="1"/>
  <c r="H1464" i="1" s="1"/>
  <c r="H1024" i="1"/>
  <c r="H1023" i="1" s="1"/>
  <c r="H633" i="1"/>
  <c r="H632" i="1" s="1"/>
  <c r="H378" i="1"/>
  <c r="H377" i="1" s="1"/>
  <c r="H372" i="1" s="1"/>
  <c r="H366" i="1" s="1"/>
  <c r="H35" i="1"/>
  <c r="H34" i="1" s="1"/>
  <c r="H2592" i="1"/>
  <c r="H2577" i="1"/>
  <c r="H2576" i="1" s="1"/>
  <c r="H2565" i="1" s="1"/>
  <c r="H2497" i="1"/>
  <c r="H2496" i="1" s="1"/>
  <c r="H2495" i="1" s="1"/>
  <c r="H2052" i="1"/>
  <c r="H1998" i="1"/>
  <c r="H1997" i="1" s="1"/>
  <c r="H1996" i="1" s="1"/>
  <c r="H1984" i="1"/>
  <c r="H1962" i="1"/>
  <c r="H1861" i="1"/>
  <c r="H1791" i="1"/>
  <c r="H1643" i="1"/>
  <c r="H1642" i="1" s="1"/>
  <c r="H1621" i="1" s="1"/>
  <c r="H1370" i="1"/>
  <c r="H1356" i="1"/>
  <c r="H1355" i="1" s="1"/>
  <c r="H1339" i="1" s="1"/>
  <c r="H1235" i="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1086" i="1" s="1"/>
  <c r="H743" i="1"/>
  <c r="H830" i="1"/>
  <c r="H829" i="1" s="1"/>
  <c r="H828" i="1" s="1"/>
  <c r="H823" i="1" s="1"/>
  <c r="H786" i="1"/>
  <c r="H332" i="1"/>
  <c r="H331" i="1" s="1"/>
  <c r="H330" i="1" s="1"/>
  <c r="H237" i="1"/>
  <c r="H229" i="1" s="1"/>
  <c r="H228" i="1" s="1"/>
  <c r="H217" i="1" s="1"/>
  <c r="E31" i="4"/>
  <c r="H1445" i="1" l="1"/>
  <c r="H1444" i="1" s="1"/>
  <c r="H1394" i="1" s="1"/>
  <c r="H1837" i="1"/>
  <c r="H1826" i="1" s="1"/>
  <c r="H2321" i="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H783" i="1" s="1"/>
  <c r="E86" i="4"/>
  <c r="D86" i="4"/>
  <c r="E61" i="4"/>
  <c r="D61" i="4"/>
  <c r="H1660" i="1"/>
  <c r="H1620" i="1" s="1"/>
  <c r="H1580" i="1" s="1"/>
  <c r="I1661" i="1"/>
  <c r="H943" i="1"/>
  <c r="H888" i="1" s="1"/>
  <c r="H1526" i="1"/>
  <c r="H2619" i="1" l="1"/>
  <c r="C122" i="4" s="1"/>
  <c r="D120" i="4"/>
  <c r="C123" i="4"/>
  <c r="E120" i="4"/>
</calcChain>
</file>

<file path=xl/comments1.xml><?xml version="1.0" encoding="utf-8"?>
<comments xmlns="http://schemas.openxmlformats.org/spreadsheetml/2006/main">
  <authors>
    <author>505_Chtm</author>
  </authors>
  <commentList>
    <comment ref="H46" authorId="0" shapeId="0">
      <text>
        <r>
          <rPr>
            <b/>
            <sz val="8"/>
            <color indexed="81"/>
            <rFont val="Tahoma"/>
            <family val="2"/>
            <charset val="204"/>
          </rPr>
          <t>505_Chtm:</t>
        </r>
        <r>
          <rPr>
            <sz val="8"/>
            <color indexed="81"/>
            <rFont val="Tahoma"/>
            <family val="2"/>
            <charset val="204"/>
          </rPr>
          <t xml:space="preserve">
строит</t>
        </r>
      </text>
    </comment>
    <comment ref="H84" authorId="0" shapeId="0">
      <text>
        <r>
          <rPr>
            <b/>
            <sz val="8"/>
            <color indexed="81"/>
            <rFont val="Tahoma"/>
            <family val="2"/>
            <charset val="204"/>
          </rPr>
          <t>505_Chtm:</t>
        </r>
        <r>
          <rPr>
            <sz val="8"/>
            <color indexed="81"/>
            <rFont val="Tahoma"/>
            <family val="2"/>
            <charset val="204"/>
          </rPr>
          <t xml:space="preserve">
жкх</t>
        </r>
      </text>
    </comment>
    <comment ref="H86" authorId="0" shapeId="0">
      <text>
        <r>
          <rPr>
            <b/>
            <sz val="8"/>
            <color indexed="81"/>
            <rFont val="Tahoma"/>
            <family val="2"/>
            <charset val="204"/>
          </rPr>
          <t>505_Chtm:</t>
        </r>
        <r>
          <rPr>
            <sz val="8"/>
            <color indexed="81"/>
            <rFont val="Tahoma"/>
            <family val="2"/>
            <charset val="204"/>
          </rPr>
          <t xml:space="preserve">
госупр</t>
        </r>
      </text>
    </comment>
    <comment ref="H91" authorId="0" shapeId="0">
      <text>
        <r>
          <rPr>
            <b/>
            <sz val="8"/>
            <color indexed="81"/>
            <rFont val="Tahoma"/>
            <family val="2"/>
            <charset val="204"/>
          </rPr>
          <t>505_Chtm:</t>
        </r>
        <r>
          <rPr>
            <sz val="8"/>
            <color indexed="81"/>
            <rFont val="Tahoma"/>
            <family val="2"/>
            <charset val="204"/>
          </rPr>
          <t xml:space="preserve">
строит</t>
        </r>
      </text>
    </comment>
    <comment ref="H147" authorId="0" shapeId="0">
      <text>
        <r>
          <rPr>
            <b/>
            <sz val="8"/>
            <color indexed="81"/>
            <rFont val="Tahoma"/>
            <family val="2"/>
            <charset val="204"/>
          </rPr>
          <t>505_Chtm:</t>
        </r>
        <r>
          <rPr>
            <sz val="8"/>
            <color indexed="81"/>
            <rFont val="Tahoma"/>
            <family val="2"/>
            <charset val="204"/>
          </rPr>
          <t xml:space="preserve">
телепнев</t>
        </r>
      </text>
    </comment>
    <comment ref="H153" authorId="0" shapeId="0">
      <text>
        <r>
          <rPr>
            <b/>
            <sz val="8"/>
            <color indexed="81"/>
            <rFont val="Tahoma"/>
            <family val="2"/>
            <charset val="204"/>
          </rPr>
          <t>505_Chtm:</t>
        </r>
        <r>
          <rPr>
            <sz val="8"/>
            <color indexed="81"/>
            <rFont val="Tahoma"/>
            <family val="2"/>
            <charset val="204"/>
          </rPr>
          <t xml:space="preserve">
телепнев</t>
        </r>
      </text>
    </comment>
    <comment ref="H339" authorId="0" shapeId="0">
      <text>
        <r>
          <rPr>
            <b/>
            <sz val="8"/>
            <color indexed="81"/>
            <rFont val="Tahoma"/>
            <family val="2"/>
            <charset val="204"/>
          </rPr>
          <t>505_Chtm:</t>
        </r>
        <r>
          <rPr>
            <sz val="8"/>
            <color indexed="81"/>
            <rFont val="Tahoma"/>
            <family val="2"/>
            <charset val="204"/>
          </rPr>
          <t xml:space="preserve">
масленкина</t>
        </r>
      </text>
    </comment>
    <comment ref="H359" authorId="0" shapeId="0">
      <text>
        <r>
          <rPr>
            <b/>
            <sz val="8"/>
            <color indexed="81"/>
            <rFont val="Tahoma"/>
            <family val="2"/>
            <charset val="204"/>
          </rPr>
          <t>505_Chtm:</t>
        </r>
        <r>
          <rPr>
            <sz val="8"/>
            <color indexed="81"/>
            <rFont val="Tahoma"/>
            <family val="2"/>
            <charset val="204"/>
          </rPr>
          <t xml:space="preserve">
телепнев</t>
        </r>
      </text>
    </comment>
    <comment ref="H360" authorId="0" shapeId="0">
      <text>
        <r>
          <rPr>
            <b/>
            <sz val="8"/>
            <color indexed="81"/>
            <rFont val="Tahoma"/>
            <family val="2"/>
            <charset val="204"/>
          </rPr>
          <t>505_Chtm:</t>
        </r>
        <r>
          <rPr>
            <sz val="8"/>
            <color indexed="81"/>
            <rFont val="Tahoma"/>
            <family val="2"/>
            <charset val="204"/>
          </rPr>
          <t xml:space="preserve">
Телепнев 994 230</t>
        </r>
      </text>
    </comment>
    <comment ref="H362" authorId="0" shapeId="0">
      <text>
        <r>
          <rPr>
            <b/>
            <sz val="8"/>
            <color indexed="81"/>
            <rFont val="Tahoma"/>
            <family val="2"/>
            <charset val="204"/>
          </rPr>
          <t>505_Chtm:</t>
        </r>
        <r>
          <rPr>
            <sz val="8"/>
            <color indexed="81"/>
            <rFont val="Tahoma"/>
            <family val="2"/>
            <charset val="204"/>
          </rPr>
          <t xml:space="preserve">
масленкина</t>
        </r>
      </text>
    </comment>
    <comment ref="H435" authorId="0" shapeId="0">
      <text>
        <r>
          <rPr>
            <b/>
            <sz val="8"/>
            <color indexed="81"/>
            <rFont val="Tahoma"/>
            <family val="2"/>
            <charset val="204"/>
          </rPr>
          <t>505_Chtm:</t>
        </r>
        <r>
          <rPr>
            <sz val="8"/>
            <color indexed="81"/>
            <rFont val="Tahoma"/>
            <family val="2"/>
            <charset val="204"/>
          </rPr>
          <t xml:space="preserve">
куненков</t>
        </r>
      </text>
    </comment>
    <comment ref="H465" authorId="0" shapeId="0">
      <text>
        <r>
          <rPr>
            <b/>
            <sz val="8"/>
            <color indexed="81"/>
            <rFont val="Tahoma"/>
            <family val="2"/>
            <charset val="204"/>
          </rPr>
          <t>505_Chtm:</t>
        </r>
        <r>
          <rPr>
            <sz val="8"/>
            <color indexed="81"/>
            <rFont val="Tahoma"/>
            <family val="2"/>
            <charset val="204"/>
          </rPr>
          <t xml:space="preserve">
Акимова</t>
        </r>
      </text>
    </comment>
    <comment ref="H473" authorId="0" shapeId="0">
      <text>
        <r>
          <rPr>
            <b/>
            <sz val="8"/>
            <color indexed="81"/>
            <rFont val="Tahoma"/>
            <family val="2"/>
            <charset val="204"/>
          </rPr>
          <t>505_Chtm:</t>
        </r>
        <r>
          <rPr>
            <sz val="8"/>
            <color indexed="81"/>
            <rFont val="Tahoma"/>
            <family val="2"/>
            <charset val="204"/>
          </rPr>
          <t xml:space="preserve">
бланки бухгал</t>
        </r>
      </text>
    </comment>
    <comment ref="H489" authorId="0" shapeId="0">
      <text>
        <r>
          <rPr>
            <b/>
            <sz val="8"/>
            <color indexed="81"/>
            <rFont val="Tahoma"/>
            <family val="2"/>
            <charset val="204"/>
          </rPr>
          <t>505_Chtm:</t>
        </r>
        <r>
          <rPr>
            <sz val="8"/>
            <color indexed="81"/>
            <rFont val="Tahoma"/>
            <family val="2"/>
            <charset val="204"/>
          </rPr>
          <t xml:space="preserve">
акимова</t>
        </r>
      </text>
    </comment>
    <comment ref="H492" authorId="0" shapeId="0">
      <text>
        <r>
          <rPr>
            <b/>
            <sz val="8"/>
            <color indexed="81"/>
            <rFont val="Tahoma"/>
            <family val="2"/>
            <charset val="204"/>
          </rPr>
          <t>505_Chtm:</t>
        </r>
        <r>
          <rPr>
            <sz val="8"/>
            <color indexed="81"/>
            <rFont val="Tahoma"/>
            <family val="2"/>
            <charset val="204"/>
          </rPr>
          <t xml:space="preserve">
юристы</t>
        </r>
      </text>
    </comment>
    <comment ref="H494" authorId="0" shapeId="0">
      <text>
        <r>
          <rPr>
            <b/>
            <sz val="8"/>
            <color indexed="81"/>
            <rFont val="Tahoma"/>
            <family val="2"/>
            <charset val="204"/>
          </rPr>
          <t>505_Chtm:</t>
        </r>
        <r>
          <rPr>
            <sz val="8"/>
            <color indexed="81"/>
            <rFont val="Tahoma"/>
            <family val="2"/>
            <charset val="204"/>
          </rPr>
          <t xml:space="preserve">
госдолг</t>
        </r>
      </text>
    </comment>
    <comment ref="H620" authorId="0" shapeId="0">
      <text>
        <r>
          <rPr>
            <b/>
            <sz val="8"/>
            <color indexed="81"/>
            <rFont val="Tahoma"/>
            <family val="2"/>
            <charset val="204"/>
          </rPr>
          <t>505_Chtm:</t>
        </r>
        <r>
          <rPr>
            <sz val="8"/>
            <color indexed="81"/>
            <rFont val="Tahoma"/>
            <family val="2"/>
            <charset val="204"/>
          </rPr>
          <t xml:space="preserve">
телепнев</t>
        </r>
      </text>
    </comment>
    <comment ref="H622" authorId="0" shapeId="0">
      <text>
        <r>
          <rPr>
            <b/>
            <sz val="8"/>
            <color indexed="81"/>
            <rFont val="Tahoma"/>
            <family val="2"/>
            <charset val="204"/>
          </rPr>
          <t>505_Chtm:</t>
        </r>
        <r>
          <rPr>
            <sz val="8"/>
            <color indexed="81"/>
            <rFont val="Tahoma"/>
            <family val="2"/>
            <charset val="204"/>
          </rPr>
          <t xml:space="preserve">
телепнев</t>
        </r>
      </text>
    </comment>
    <comment ref="H771" authorId="0" shapeId="0">
      <text>
        <r>
          <rPr>
            <b/>
            <sz val="8"/>
            <color indexed="81"/>
            <rFont val="Tahoma"/>
            <family val="2"/>
            <charset val="204"/>
          </rPr>
          <t>505_Chtm:</t>
        </r>
        <r>
          <rPr>
            <sz val="8"/>
            <color indexed="81"/>
            <rFont val="Tahoma"/>
            <family val="2"/>
            <charset val="204"/>
          </rPr>
          <t xml:space="preserve">
телепнев</t>
        </r>
      </text>
    </comment>
    <comment ref="H776" authorId="0" shapeId="0">
      <text>
        <r>
          <rPr>
            <b/>
            <sz val="8"/>
            <color indexed="81"/>
            <rFont val="Tahoma"/>
            <family val="2"/>
            <charset val="204"/>
          </rPr>
          <t>505_Chtm:</t>
        </r>
        <r>
          <rPr>
            <sz val="8"/>
            <color indexed="81"/>
            <rFont val="Tahoma"/>
            <family val="2"/>
            <charset val="204"/>
          </rPr>
          <t xml:space="preserve">
жкх</t>
        </r>
      </text>
    </comment>
    <comment ref="H804" authorId="0" shapeId="0">
      <text>
        <r>
          <rPr>
            <b/>
            <sz val="8"/>
            <color indexed="81"/>
            <rFont val="Tahoma"/>
            <family val="2"/>
            <charset val="204"/>
          </rPr>
          <t>505_Chtm:</t>
        </r>
        <r>
          <rPr>
            <sz val="8"/>
            <color indexed="81"/>
            <rFont val="Tahoma"/>
            <family val="2"/>
            <charset val="204"/>
          </rPr>
          <t xml:space="preserve">
акимова</t>
        </r>
      </text>
    </comment>
    <comment ref="H806" authorId="0" shapeId="0">
      <text>
        <r>
          <rPr>
            <b/>
            <sz val="8"/>
            <color indexed="81"/>
            <rFont val="Tahoma"/>
            <family val="2"/>
            <charset val="204"/>
          </rPr>
          <t>505_Chtm:</t>
        </r>
        <r>
          <rPr>
            <sz val="8"/>
            <color indexed="81"/>
            <rFont val="Tahoma"/>
            <family val="2"/>
            <charset val="204"/>
          </rPr>
          <t xml:space="preserve">
акимова</t>
        </r>
      </text>
    </comment>
    <comment ref="H810" authorId="0" shapeId="0">
      <text>
        <r>
          <rPr>
            <b/>
            <sz val="8"/>
            <color indexed="81"/>
            <rFont val="Tahoma"/>
            <family val="2"/>
            <charset val="204"/>
          </rPr>
          <t>505_Chtm:</t>
        </r>
        <r>
          <rPr>
            <sz val="8"/>
            <color indexed="81"/>
            <rFont val="Tahoma"/>
            <family val="2"/>
            <charset val="204"/>
          </rPr>
          <t xml:space="preserve">
акимова</t>
        </r>
      </text>
    </comment>
    <comment ref="H836" authorId="0" shapeId="0">
      <text>
        <r>
          <rPr>
            <b/>
            <sz val="8"/>
            <color indexed="81"/>
            <rFont val="Tahoma"/>
            <family val="2"/>
            <charset val="204"/>
          </rPr>
          <t>505_Chtm:</t>
        </r>
        <r>
          <rPr>
            <sz val="8"/>
            <color indexed="81"/>
            <rFont val="Tahoma"/>
            <family val="2"/>
            <charset val="204"/>
          </rPr>
          <t xml:space="preserve">
акимова</t>
        </r>
      </text>
    </comment>
    <comment ref="H908" authorId="0" shapeId="0">
      <text>
        <r>
          <rPr>
            <b/>
            <sz val="8"/>
            <color indexed="81"/>
            <rFont val="Tahoma"/>
            <family val="2"/>
            <charset val="204"/>
          </rPr>
          <t>505_Chtm:</t>
        </r>
        <r>
          <rPr>
            <sz val="8"/>
            <color indexed="81"/>
            <rFont val="Tahoma"/>
            <family val="2"/>
            <charset val="204"/>
          </rPr>
          <t xml:space="preserve">
телепнев</t>
        </r>
      </text>
    </comment>
    <comment ref="H1416" authorId="0" shapeId="0">
      <text>
        <r>
          <rPr>
            <b/>
            <sz val="8"/>
            <color indexed="81"/>
            <rFont val="Tahoma"/>
            <family val="2"/>
            <charset val="204"/>
          </rPr>
          <t>505_Chtm:</t>
        </r>
        <r>
          <rPr>
            <sz val="8"/>
            <color indexed="81"/>
            <rFont val="Tahoma"/>
            <family val="2"/>
            <charset val="204"/>
          </rPr>
          <t xml:space="preserve">
телепнев</t>
        </r>
      </text>
    </comment>
    <comment ref="H1519" authorId="0" shapeId="0">
      <text>
        <r>
          <rPr>
            <b/>
            <sz val="8"/>
            <color indexed="81"/>
            <rFont val="Tahoma"/>
            <family val="2"/>
            <charset val="204"/>
          </rPr>
          <t>505_Chtm:</t>
        </r>
        <r>
          <rPr>
            <sz val="8"/>
            <color indexed="81"/>
            <rFont val="Tahoma"/>
            <family val="2"/>
            <charset val="204"/>
          </rPr>
          <t xml:space="preserve">
Лебедева</t>
        </r>
      </text>
    </comment>
    <comment ref="H1801" authorId="0" shapeId="0">
      <text>
        <r>
          <rPr>
            <b/>
            <sz val="8"/>
            <color indexed="81"/>
            <rFont val="Tahoma"/>
            <family val="2"/>
            <charset val="204"/>
          </rPr>
          <t>505_Chtm:</t>
        </r>
        <r>
          <rPr>
            <sz val="8"/>
            <color indexed="81"/>
            <rFont val="Tahoma"/>
            <family val="2"/>
            <charset val="204"/>
          </rPr>
          <t xml:space="preserve">
здрав</t>
        </r>
      </text>
    </comment>
    <comment ref="H1864" authorId="0" shapeId="0">
      <text>
        <r>
          <rPr>
            <b/>
            <sz val="8"/>
            <color indexed="81"/>
            <rFont val="Tahoma"/>
            <family val="2"/>
            <charset val="204"/>
          </rPr>
          <t>505_Chtm:</t>
        </r>
        <r>
          <rPr>
            <sz val="8"/>
            <color indexed="81"/>
            <rFont val="Tahoma"/>
            <family val="2"/>
            <charset val="204"/>
          </rPr>
          <t xml:space="preserve">
госупр</t>
        </r>
      </text>
    </comment>
    <comment ref="H2099" authorId="0" shapeId="0">
      <text>
        <r>
          <rPr>
            <b/>
            <sz val="8"/>
            <color indexed="81"/>
            <rFont val="Tahoma"/>
            <family val="2"/>
            <charset val="204"/>
          </rPr>
          <t>505_Chtm:</t>
        </r>
        <r>
          <rPr>
            <sz val="8"/>
            <color indexed="81"/>
            <rFont val="Tahoma"/>
            <family val="2"/>
            <charset val="204"/>
          </rPr>
          <t xml:space="preserve">
госупр</t>
        </r>
      </text>
    </comment>
    <comment ref="H2534" authorId="0" shape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shapeId="0">
      <text>
        <r>
          <rPr>
            <b/>
            <sz val="8"/>
            <color indexed="81"/>
            <rFont val="Tahoma"/>
            <family val="2"/>
            <charset val="204"/>
          </rPr>
          <t>505_Chtm:</t>
        </r>
        <r>
          <rPr>
            <sz val="8"/>
            <color indexed="81"/>
            <rFont val="Tahoma"/>
            <family val="2"/>
            <charset val="204"/>
          </rPr>
          <t xml:space="preserve">
госупр</t>
        </r>
      </text>
    </comment>
    <comment ref="C7" authorId="0" shapeId="0">
      <text>
        <r>
          <rPr>
            <b/>
            <sz val="8"/>
            <color indexed="81"/>
            <rFont val="Tahoma"/>
            <family val="2"/>
            <charset val="204"/>
          </rPr>
          <t>505_Chtm:</t>
        </r>
        <r>
          <rPr>
            <sz val="8"/>
            <color indexed="81"/>
            <rFont val="Tahoma"/>
            <family val="2"/>
            <charset val="204"/>
          </rPr>
          <t xml:space="preserve">
8 479 страх
797 591 госупр</t>
        </r>
      </text>
    </comment>
    <comment ref="C8" authorId="0" shapeId="0">
      <text>
        <r>
          <rPr>
            <b/>
            <sz val="8"/>
            <color indexed="81"/>
            <rFont val="Tahoma"/>
            <family val="2"/>
            <charset val="204"/>
          </rPr>
          <t>505_Chtm:</t>
        </r>
        <r>
          <rPr>
            <sz val="8"/>
            <color indexed="81"/>
            <rFont val="Tahoma"/>
            <family val="2"/>
            <charset val="204"/>
          </rPr>
          <t xml:space="preserve">
госупр</t>
        </r>
      </text>
    </comment>
    <comment ref="C9" authorId="0" shapeId="0">
      <text>
        <r>
          <rPr>
            <b/>
            <sz val="8"/>
            <color indexed="81"/>
            <rFont val="Tahoma"/>
            <family val="2"/>
            <charset val="204"/>
          </rPr>
          <t>505_Chtm:</t>
        </r>
        <r>
          <rPr>
            <sz val="8"/>
            <color indexed="81"/>
            <rFont val="Tahoma"/>
            <family val="2"/>
            <charset val="204"/>
          </rPr>
          <t xml:space="preserve">
госупр</t>
        </r>
      </text>
    </comment>
    <comment ref="C10" authorId="0" shape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shapeId="0">
      <text>
        <r>
          <rPr>
            <b/>
            <sz val="8"/>
            <color indexed="81"/>
            <rFont val="Tahoma"/>
            <family val="2"/>
            <charset val="204"/>
          </rPr>
          <t>505_Chtm:</t>
        </r>
        <r>
          <rPr>
            <sz val="8"/>
            <color indexed="81"/>
            <rFont val="Tahoma"/>
            <family val="2"/>
            <charset val="204"/>
          </rPr>
          <t xml:space="preserve">
госупр</t>
        </r>
      </text>
    </comment>
    <comment ref="C12" authorId="0" shapeId="0">
      <text>
        <r>
          <rPr>
            <b/>
            <sz val="8"/>
            <color indexed="81"/>
            <rFont val="Tahoma"/>
            <family val="2"/>
            <charset val="204"/>
          </rPr>
          <t>505_Chtm:</t>
        </r>
        <r>
          <rPr>
            <sz val="8"/>
            <color indexed="81"/>
            <rFont val="Tahoma"/>
            <family val="2"/>
            <charset val="204"/>
          </rPr>
          <t xml:space="preserve">
соотечеств
5 800 культ</t>
        </r>
      </text>
    </comment>
    <comment ref="C18" authorId="0" shape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shape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shapeId="0">
      <text>
        <r>
          <rPr>
            <b/>
            <sz val="8"/>
            <color indexed="81"/>
            <rFont val="Tahoma"/>
            <family val="2"/>
            <charset val="204"/>
          </rPr>
          <t>505_Chtm:</t>
        </r>
        <r>
          <rPr>
            <sz val="8"/>
            <color indexed="81"/>
            <rFont val="Tahoma"/>
            <family val="2"/>
            <charset val="204"/>
          </rPr>
          <t xml:space="preserve">
спецотд</t>
        </r>
      </text>
    </comment>
    <comment ref="C40" authorId="0" shapeId="0">
      <text>
        <r>
          <rPr>
            <b/>
            <sz val="8"/>
            <color indexed="81"/>
            <rFont val="Tahoma"/>
            <family val="2"/>
            <charset val="204"/>
          </rPr>
          <t>505_Chtm:</t>
        </r>
        <r>
          <rPr>
            <sz val="8"/>
            <color indexed="81"/>
            <rFont val="Tahoma"/>
            <family val="2"/>
            <charset val="204"/>
          </rPr>
          <t xml:space="preserve">
996 190 спецотд</t>
        </r>
      </text>
    </comment>
    <comment ref="C41" authorId="0" shape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shape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shapeId="0">
      <text>
        <r>
          <rPr>
            <b/>
            <sz val="8"/>
            <color indexed="81"/>
            <rFont val="Tahoma"/>
            <family val="2"/>
            <charset val="204"/>
          </rPr>
          <t>505_Chtm:</t>
        </r>
        <r>
          <rPr>
            <sz val="8"/>
            <color indexed="81"/>
            <rFont val="Tahoma"/>
            <family val="2"/>
            <charset val="204"/>
          </rPr>
          <t xml:space="preserve">
госупр
153 синицына</t>
        </r>
      </text>
    </comment>
    <comment ref="C52" authorId="0" shape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shapeId="0">
      <text>
        <r>
          <rPr>
            <b/>
            <sz val="8"/>
            <color indexed="81"/>
            <rFont val="Tahoma"/>
            <family val="2"/>
            <charset val="204"/>
          </rPr>
          <t>505_Chtm:</t>
        </r>
        <r>
          <rPr>
            <sz val="8"/>
            <color indexed="81"/>
            <rFont val="Tahoma"/>
            <family val="2"/>
            <charset val="204"/>
          </rPr>
          <t xml:space="preserve">
36 721 эколог</t>
        </r>
      </text>
    </comment>
    <comment ref="C55" authorId="0" shape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shapeId="0">
      <text>
        <r>
          <rPr>
            <b/>
            <sz val="8"/>
            <color indexed="81"/>
            <rFont val="Tahoma"/>
            <family val="2"/>
            <charset val="204"/>
          </rPr>
          <t>505_Chtm:</t>
        </r>
        <r>
          <rPr>
            <sz val="8"/>
            <color indexed="81"/>
            <rFont val="Tahoma"/>
            <family val="2"/>
            <charset val="204"/>
          </rPr>
          <t xml:space="preserve">
35 016 518 дороги</t>
        </r>
      </text>
    </comment>
    <comment ref="C57" authorId="0" shape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shape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shape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shape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shape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shape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shapeId="0">
      <text>
        <r>
          <rPr>
            <b/>
            <sz val="8"/>
            <color indexed="81"/>
            <rFont val="Tahoma"/>
            <family val="2"/>
            <charset val="204"/>
          </rPr>
          <t>505_Chtm:</t>
        </r>
        <r>
          <rPr>
            <sz val="8"/>
            <color indexed="81"/>
            <rFont val="Tahoma"/>
            <family val="2"/>
            <charset val="204"/>
          </rPr>
          <t xml:space="preserve">
образ</t>
        </r>
      </text>
    </comment>
    <comment ref="C79" authorId="0" shape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shapeId="0">
      <text>
        <r>
          <rPr>
            <b/>
            <sz val="8"/>
            <color indexed="81"/>
            <rFont val="Tahoma"/>
            <family val="2"/>
            <charset val="204"/>
          </rPr>
          <t>505_Chtm:</t>
        </r>
        <r>
          <rPr>
            <sz val="8"/>
            <color indexed="81"/>
            <rFont val="Tahoma"/>
            <family val="2"/>
            <charset val="204"/>
          </rPr>
          <t xml:space="preserve">
образ</t>
        </r>
      </text>
    </comment>
    <comment ref="C81" authorId="0" shape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shape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shape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shape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shape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shape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shapeId="0">
      <text>
        <r>
          <rPr>
            <b/>
            <sz val="8"/>
            <color indexed="81"/>
            <rFont val="Tahoma"/>
            <family val="2"/>
            <charset val="204"/>
          </rPr>
          <t>505_Chtm:</t>
        </r>
        <r>
          <rPr>
            <sz val="8"/>
            <color indexed="81"/>
            <rFont val="Tahoma"/>
            <family val="2"/>
            <charset val="204"/>
          </rPr>
          <t xml:space="preserve">
662 232 здрав</t>
        </r>
      </text>
    </comment>
    <comment ref="C99" authorId="0" shapeId="0">
      <text>
        <r>
          <rPr>
            <b/>
            <sz val="8"/>
            <color indexed="81"/>
            <rFont val="Tahoma"/>
            <family val="2"/>
            <charset val="204"/>
          </rPr>
          <t>505_Chtm:</t>
        </r>
        <r>
          <rPr>
            <sz val="8"/>
            <color indexed="81"/>
            <rFont val="Tahoma"/>
            <family val="2"/>
            <charset val="204"/>
          </rPr>
          <t xml:space="preserve">
 здрав</t>
        </r>
      </text>
    </comment>
    <comment ref="C100" authorId="0" shapeId="0">
      <text>
        <r>
          <rPr>
            <b/>
            <sz val="8"/>
            <color indexed="81"/>
            <rFont val="Tahoma"/>
            <family val="2"/>
            <charset val="204"/>
          </rPr>
          <t>505_Chtm:</t>
        </r>
        <r>
          <rPr>
            <sz val="8"/>
            <color indexed="81"/>
            <rFont val="Tahoma"/>
            <family val="2"/>
            <charset val="204"/>
          </rPr>
          <t xml:space="preserve">
здрав</t>
        </r>
      </text>
    </comment>
    <comment ref="C102" authorId="0" shape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shape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shapeId="0">
      <text>
        <r>
          <rPr>
            <b/>
            <sz val="8"/>
            <color indexed="81"/>
            <rFont val="Tahoma"/>
            <family val="2"/>
            <charset val="204"/>
          </rPr>
          <t>505_Chtm:</t>
        </r>
        <r>
          <rPr>
            <sz val="8"/>
            <color indexed="81"/>
            <rFont val="Tahoma"/>
            <family val="2"/>
            <charset val="204"/>
          </rPr>
          <t xml:space="preserve">
госупр</t>
        </r>
      </text>
    </comment>
    <comment ref="C108" authorId="0" shape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shape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shape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shape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shape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shape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<sst xmlns="http://schemas.openxmlformats.org/spreadsheetml/2006/main" count="23219" uniqueCount="2489">
  <si>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</si>
  <si>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</si>
  <si>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</si>
  <si>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</si>
  <si>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</si>
  <si>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</si>
  <si>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</si>
  <si>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</si>
  <si>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</si>
  <si>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</si>
  <si>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</si>
  <si>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</si>
  <si>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</si>
  <si>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</si>
  <si>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</si>
  <si>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</si>
  <si>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</si>
  <si>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</si>
  <si>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</si>
  <si>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</si>
  <si>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</si>
  <si>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</si>
  <si>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</si>
  <si>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</si>
  <si>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</si>
  <si>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</si>
  <si>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</si>
  <si>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</si>
  <si>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</si>
  <si>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</si>
  <si>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</si>
  <si>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</si>
  <si>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</si>
  <si>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</si>
  <si>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</si>
  <si>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</si>
  <si>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</si>
  <si>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</si>
  <si>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</si>
  <si>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</si>
  <si>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</si>
  <si>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</si>
  <si>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</si>
  <si>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</si>
  <si>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</si>
  <si>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</si>
  <si>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</si>
  <si>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</si>
  <si>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</si>
  <si>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</si>
  <si>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</si>
  <si>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</si>
  <si>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</si>
  <si>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</si>
  <si>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</si>
  <si>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</si>
  <si>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</si>
  <si>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</si>
  <si>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</si>
  <si>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</si>
  <si>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</si>
  <si>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</si>
  <si>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</si>
  <si>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</si>
  <si>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</si>
  <si>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</si>
  <si>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</si>
  <si>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</si>
  <si>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</si>
  <si>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</si>
  <si>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</si>
  <si>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</si>
  <si>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</si>
  <si>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</si>
  <si>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</si>
  <si>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</si>
  <si>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</si>
  <si>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</si>
  <si>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</si>
  <si>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</si>
  <si>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</si>
  <si>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</si>
  <si>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</si>
  <si>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</si>
  <si>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</si>
  <si>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</si>
  <si>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</si>
  <si>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</si>
  <si>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</si>
  <si>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</si>
  <si>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</si>
  <si>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</si>
  <si>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</si>
  <si>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</si>
  <si>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</si>
  <si>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</si>
  <si>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</si>
  <si>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</si>
  <si>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</si>
  <si>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</si>
  <si>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</si>
  <si>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</si>
  <si>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</si>
  <si>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</si>
  <si>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</si>
  <si>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</si>
  <si>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</si>
  <si>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</si>
  <si>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</si>
  <si>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</si>
  <si>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</si>
  <si>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</si>
  <si>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</si>
  <si>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</si>
  <si>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</si>
  <si>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</si>
  <si>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</si>
  <si>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</si>
  <si>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</si>
  <si>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</si>
  <si>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</si>
  <si>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</si>
  <si>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</si>
  <si>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</si>
  <si>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</si>
  <si>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</si>
  <si>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</si>
  <si>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</si>
  <si>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</si>
  <si>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</si>
  <si>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</si>
  <si>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</si>
  <si>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</si>
  <si>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</si>
  <si>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</si>
  <si>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</si>
  <si>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</si>
  <si>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</si>
  <si>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</si>
  <si>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</si>
  <si>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</si>
  <si>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</si>
  <si>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</si>
  <si>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</si>
  <si>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</si>
  <si>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</si>
  <si>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</si>
  <si>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</si>
  <si>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</si>
  <si>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</si>
  <si>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</si>
  <si>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</si>
  <si>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</si>
  <si>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</si>
  <si>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</si>
  <si>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</si>
  <si>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</si>
  <si>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</si>
  <si>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</si>
  <si>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</si>
  <si>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</si>
  <si>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</si>
  <si>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</si>
  <si>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</si>
  <si>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</si>
  <si>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</si>
  <si>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</si>
  <si>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</si>
  <si>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</si>
  <si>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</si>
  <si>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</si>
  <si>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</si>
  <si>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</si>
  <si>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</si>
  <si>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</si>
  <si>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</si>
  <si>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</si>
  <si>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</si>
  <si>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</si>
  <si>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</si>
  <si>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</si>
  <si>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</si>
  <si>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</si>
  <si>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</si>
  <si>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</si>
  <si>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</si>
  <si>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</si>
  <si>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</si>
  <si>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</si>
  <si>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</si>
  <si>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</si>
  <si>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</si>
  <si>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</si>
  <si>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</si>
  <si>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</si>
  <si>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</si>
  <si>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</si>
  <si>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</si>
  <si>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</si>
  <si>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</si>
  <si>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</si>
  <si>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</si>
  <si>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</si>
  <si>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</si>
  <si>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</si>
  <si>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</si>
  <si>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</si>
  <si>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</si>
  <si>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</si>
  <si>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</si>
  <si>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</si>
  <si>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</si>
  <si>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</si>
  <si>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</si>
  <si>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</si>
  <si>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</si>
  <si>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</si>
  <si>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</si>
  <si>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</si>
  <si>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</si>
  <si>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</si>
  <si>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</si>
  <si>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</si>
  <si>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</si>
  <si>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</si>
  <si>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</si>
  <si>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</si>
  <si>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</si>
  <si>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</si>
  <si>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</si>
  <si>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</si>
  <si>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</si>
  <si>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</si>
  <si>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</si>
  <si>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</si>
  <si>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</si>
  <si>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</si>
  <si>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</si>
  <si>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</si>
  <si>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</si>
  <si>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</si>
  <si>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</si>
  <si>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</si>
  <si>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</si>
  <si>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</si>
  <si>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</si>
  <si>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</si>
  <si>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</si>
  <si>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</si>
  <si>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</si>
  <si>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</si>
  <si>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</si>
  <si>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</si>
  <si>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</si>
  <si>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</si>
  <si>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</si>
  <si>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</si>
  <si>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</si>
  <si>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</si>
  <si>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</si>
  <si>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</si>
  <si>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</si>
  <si>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</si>
  <si>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</si>
  <si>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</si>
  <si>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</si>
  <si>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</si>
  <si>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</si>
  <si>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</si>
  <si>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</si>
  <si>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</si>
  <si>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</si>
  <si>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</si>
  <si>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</si>
  <si>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</si>
  <si>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</si>
  <si>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</si>
  <si>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</si>
  <si>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</si>
  <si>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</si>
  <si>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</si>
  <si>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</si>
  <si>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</si>
  <si>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</si>
  <si>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</si>
  <si>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</si>
  <si>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</si>
  <si>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</si>
  <si>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</si>
  <si>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</si>
  <si>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</si>
  <si>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</si>
  <si>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</si>
  <si>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</si>
  <si>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</si>
  <si>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</si>
  <si>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</si>
  <si>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</si>
  <si>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</si>
  <si>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</si>
  <si>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</si>
  <si>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</si>
  <si>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</si>
  <si>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</si>
  <si>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</si>
  <si>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</si>
  <si>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</si>
  <si>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</si>
  <si>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</si>
  <si>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</si>
  <si>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</si>
  <si>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</si>
  <si>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</si>
  <si>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</si>
  <si>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</si>
  <si>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</si>
  <si>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</si>
  <si>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</si>
  <si>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</si>
  <si>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</si>
  <si>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</si>
  <si>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</si>
  <si>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</si>
  <si>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</si>
  <si>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</si>
  <si>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</si>
  <si>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</si>
  <si>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</si>
  <si>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</si>
  <si>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</si>
  <si>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</si>
  <si>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</si>
  <si>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</si>
  <si>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</si>
  <si>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</si>
  <si>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</si>
  <si>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</si>
  <si>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</si>
  <si>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</si>
  <si>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</si>
  <si>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</si>
  <si>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</si>
  <si>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</si>
  <si>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</si>
  <si>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</si>
  <si>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</si>
  <si>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</si>
  <si>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</si>
  <si>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</si>
  <si>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</si>
  <si>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</si>
  <si>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</si>
  <si>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</si>
  <si>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</si>
  <si>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</si>
  <si>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</si>
  <si>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</si>
  <si>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</si>
  <si>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</si>
  <si>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</si>
  <si>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</si>
  <si>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</si>
  <si>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</si>
  <si>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</si>
  <si>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</si>
  <si>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</si>
  <si>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</si>
  <si>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</si>
  <si>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</si>
  <si>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</si>
  <si>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</si>
  <si>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</si>
  <si>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</si>
  <si>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</si>
  <si>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</si>
  <si>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</si>
  <si>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</si>
  <si>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</si>
  <si>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</si>
  <si>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</si>
  <si>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</si>
  <si>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</si>
  <si>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</si>
  <si>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</si>
  <si>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</si>
  <si>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</si>
  <si>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</si>
  <si>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</si>
  <si>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</si>
  <si>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</si>
  <si>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</si>
  <si>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</si>
  <si>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</si>
  <si>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</si>
  <si>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</si>
  <si>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</si>
  <si>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</si>
  <si>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</si>
  <si>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</si>
  <si>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</si>
  <si>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</si>
  <si>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</si>
  <si>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</si>
  <si>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</si>
  <si>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</si>
  <si>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</si>
  <si>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</si>
  <si>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</si>
  <si>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</si>
  <si>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</si>
  <si>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</si>
  <si>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</si>
  <si>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</si>
  <si>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</si>
  <si>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</si>
  <si>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</si>
  <si>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</si>
  <si>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</si>
  <si>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</si>
  <si>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</si>
  <si>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</si>
  <si>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</si>
  <si>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</si>
  <si>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</si>
  <si>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</si>
  <si>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</si>
  <si>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</si>
  <si>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</si>
  <si>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</si>
  <si>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</si>
  <si>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</si>
  <si>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</si>
  <si>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</si>
  <si>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</si>
  <si>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</si>
  <si>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</si>
  <si>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</si>
  <si>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</si>
  <si>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</si>
  <si>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</si>
  <si>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</si>
  <si>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</si>
  <si>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</si>
  <si>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</si>
  <si>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</si>
  <si>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</si>
  <si>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</si>
  <si>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</si>
  <si>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</si>
  <si>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</si>
  <si>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</si>
  <si>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</si>
  <si>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</si>
  <si>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</si>
  <si>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</si>
  <si>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</si>
  <si>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</si>
  <si>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</si>
  <si>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</si>
  <si>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</si>
  <si>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</si>
  <si>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</si>
  <si>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</si>
  <si>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</si>
  <si>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</si>
  <si>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</si>
  <si>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</si>
  <si>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</si>
  <si>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</si>
  <si>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</si>
  <si>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</si>
  <si>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</si>
  <si>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</si>
  <si>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</si>
  <si>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</si>
  <si>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</si>
  <si>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</si>
  <si>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</si>
  <si>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</si>
  <si>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</si>
  <si>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</si>
  <si>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</si>
  <si>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</si>
  <si>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</si>
  <si>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</si>
  <si>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</si>
  <si>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</si>
  <si>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</si>
  <si>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</si>
  <si>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</si>
  <si>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</si>
  <si>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</si>
  <si>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</si>
  <si>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</si>
  <si>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</si>
  <si>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</si>
  <si>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</si>
  <si>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</si>
  <si>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</si>
  <si>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</si>
  <si>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</si>
  <si>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</si>
  <si>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</si>
  <si>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</si>
  <si>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</si>
  <si>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</si>
  <si>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</si>
  <si>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</si>
  <si>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</si>
  <si>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</si>
  <si>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</si>
  <si>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</si>
  <si>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</si>
  <si>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</si>
  <si>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</si>
  <si>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</si>
  <si>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</si>
  <si>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</si>
  <si>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</si>
  <si>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</si>
  <si>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</si>
  <si>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</si>
  <si>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</si>
  <si>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</si>
  <si>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</si>
  <si>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</si>
  <si>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</si>
  <si>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</si>
  <si>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</si>
  <si>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</si>
  <si>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</si>
  <si>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</si>
  <si>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</si>
  <si>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</si>
  <si>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</si>
  <si>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</si>
  <si>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</si>
  <si>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</si>
  <si>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</si>
  <si>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</si>
  <si>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</si>
  <si>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</si>
  <si>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</si>
  <si>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</si>
  <si>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</si>
  <si>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</si>
  <si>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</si>
  <si>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</si>
  <si>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</si>
  <si>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</si>
  <si>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</si>
  <si>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</si>
  <si>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</si>
  <si>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</si>
  <si>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</si>
  <si>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</si>
  <si>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</si>
  <si>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</si>
  <si>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</si>
  <si>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</si>
  <si>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</si>
  <si>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</si>
  <si>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</si>
  <si>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</si>
  <si>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</si>
  <si>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</si>
  <si>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</si>
  <si>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</si>
  <si>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</si>
  <si>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</si>
  <si>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</si>
  <si>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</si>
  <si>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</si>
  <si>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</si>
  <si>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</si>
  <si>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</si>
  <si>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</si>
  <si>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</si>
  <si>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</si>
  <si>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</si>
  <si>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</si>
  <si>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</si>
  <si>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</si>
  <si>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</si>
  <si>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</si>
  <si>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</si>
  <si>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</si>
  <si>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</si>
  <si>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</si>
  <si>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</si>
  <si>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</si>
  <si>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</si>
  <si>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</si>
  <si>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</si>
  <si>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</si>
  <si>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</si>
  <si>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</si>
  <si>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</si>
  <si>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</si>
  <si>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</si>
  <si>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</si>
  <si>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</si>
  <si>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</si>
  <si>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</si>
  <si>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</si>
  <si>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</si>
  <si>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</si>
  <si>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</si>
  <si>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</si>
  <si>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</si>
  <si>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</si>
  <si>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</si>
  <si>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</si>
  <si>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</si>
  <si>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</si>
  <si>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</si>
  <si>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</si>
  <si>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</si>
  <si>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</si>
  <si>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</si>
  <si>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</si>
  <si>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</si>
  <si>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</si>
  <si>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</si>
  <si>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</si>
  <si>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</si>
  <si>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</si>
  <si>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</si>
  <si>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</si>
  <si>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</si>
  <si>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</si>
  <si>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</si>
  <si>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</si>
  <si>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</si>
  <si>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</si>
  <si>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</si>
  <si>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</si>
  <si>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</si>
  <si>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</si>
  <si>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</si>
  <si>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</si>
  <si>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</si>
  <si>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</si>
  <si>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</si>
  <si>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</si>
  <si>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</si>
  <si>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</si>
  <si>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</si>
  <si>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</si>
  <si>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</si>
  <si>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</si>
  <si>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</si>
  <si>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</si>
  <si>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</si>
  <si>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</si>
  <si>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</si>
  <si>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</si>
  <si>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</si>
  <si>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</si>
  <si>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</si>
  <si>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</si>
  <si>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</si>
  <si>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</si>
  <si>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</si>
  <si>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</si>
  <si>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</si>
  <si>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</si>
  <si>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</si>
  <si>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</si>
  <si>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</si>
  <si>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</si>
  <si>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</si>
  <si>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</si>
  <si>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</si>
  <si>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</si>
  <si>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</si>
  <si>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</si>
  <si>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</si>
  <si>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</si>
  <si>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</si>
  <si>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</si>
  <si>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</si>
  <si>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</si>
  <si>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</si>
  <si>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</si>
  <si>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</si>
  <si>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</si>
  <si>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</si>
  <si>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</si>
  <si>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</si>
  <si>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</si>
  <si>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</si>
  <si>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</si>
  <si>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</si>
  <si>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</si>
  <si>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</si>
  <si>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</si>
  <si>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</si>
  <si>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</si>
  <si>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</si>
  <si>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</si>
  <si>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</si>
  <si>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</si>
  <si>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</si>
  <si>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</si>
  <si>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</si>
  <si>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</si>
  <si>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</si>
  <si>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</si>
  <si>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</si>
  <si>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</si>
  <si>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</si>
  <si>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</si>
  <si>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</si>
  <si>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</si>
  <si>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</si>
  <si>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</si>
  <si>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</si>
  <si>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</si>
  <si>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</si>
  <si>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</si>
  <si>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</si>
  <si>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</si>
  <si>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</si>
  <si>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</si>
  <si>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</si>
  <si>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</si>
  <si>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</si>
  <si>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</si>
  <si>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</si>
  <si>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</si>
  <si>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</si>
  <si>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</si>
  <si>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</si>
  <si>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</si>
  <si>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</si>
  <si>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</si>
  <si>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</si>
  <si>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</si>
  <si>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</si>
  <si>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</si>
  <si>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</si>
  <si>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</si>
  <si>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</si>
  <si>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</si>
  <si>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</si>
  <si>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</si>
  <si>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</si>
  <si>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</si>
  <si>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</si>
  <si>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</si>
  <si>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</si>
  <si>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</si>
  <si>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</si>
  <si>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</si>
  <si>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</si>
  <si>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</si>
  <si>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</si>
  <si>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</si>
  <si>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</si>
  <si>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</si>
  <si>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</si>
  <si>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</si>
  <si>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</si>
  <si>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</si>
  <si>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</si>
  <si>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</si>
  <si>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</si>
  <si>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</si>
  <si>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</si>
  <si>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</si>
  <si>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</si>
  <si>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</si>
  <si>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</si>
  <si>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</si>
  <si>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</si>
  <si>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</si>
  <si>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</si>
  <si>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</si>
  <si>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</si>
  <si>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</si>
  <si>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</si>
  <si>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</si>
  <si>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</si>
  <si>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</si>
  <si>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</si>
  <si>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</si>
  <si>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</si>
  <si>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</si>
  <si>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</si>
  <si>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</si>
  <si>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</si>
  <si>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</si>
  <si>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</si>
  <si>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</si>
  <si>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</si>
  <si>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</si>
  <si>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</si>
  <si>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</si>
  <si>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</si>
  <si>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</si>
  <si>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</si>
  <si>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</si>
  <si>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</si>
  <si>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</si>
  <si>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</si>
  <si>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</si>
  <si>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</si>
  <si>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</si>
  <si>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</si>
  <si>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</si>
  <si>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</si>
  <si>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</si>
  <si>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</si>
  <si>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</si>
  <si>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</si>
  <si>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</si>
  <si>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</si>
  <si>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</si>
  <si>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</si>
  <si>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</si>
  <si>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</si>
  <si>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</si>
  <si>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</si>
  <si>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</si>
  <si>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</si>
  <si>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</si>
  <si>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</si>
  <si>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</si>
  <si>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</si>
  <si>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</si>
  <si>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</si>
  <si>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</si>
  <si>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</si>
  <si>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</si>
  <si>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</si>
  <si>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</si>
  <si>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</si>
  <si>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</si>
  <si>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</si>
  <si>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</si>
  <si>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</si>
  <si>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</si>
  <si>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</si>
  <si>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</si>
  <si>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</si>
  <si>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</si>
  <si>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</si>
  <si>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</si>
  <si>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</si>
  <si>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</si>
  <si>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</si>
  <si>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</si>
  <si>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</si>
  <si>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</si>
  <si>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</si>
  <si>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</si>
  <si>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</si>
  <si>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</si>
  <si>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</si>
  <si>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</si>
  <si>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</si>
  <si>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</si>
  <si>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</si>
  <si>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</si>
  <si>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</si>
  <si>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</si>
  <si>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</si>
  <si>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</si>
  <si>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</si>
  <si>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</si>
  <si>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</si>
  <si>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</si>
  <si>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</si>
  <si>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</si>
  <si>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</si>
  <si>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</si>
  <si>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</si>
  <si>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</si>
  <si>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</si>
  <si>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</si>
  <si>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</si>
  <si>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</si>
  <si>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</si>
  <si>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</si>
  <si>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</si>
  <si>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</si>
  <si>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</si>
  <si>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</si>
  <si>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</si>
  <si>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</si>
  <si>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</si>
  <si>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</si>
  <si>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</si>
  <si>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</si>
  <si>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</si>
  <si>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</si>
  <si>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</si>
  <si>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</si>
  <si>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</si>
  <si>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</si>
  <si>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</si>
  <si>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</si>
  <si>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</si>
  <si>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</si>
  <si>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</si>
  <si>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</si>
  <si>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</si>
  <si>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</si>
  <si>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</si>
  <si>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</si>
  <si>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</si>
  <si>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</si>
  <si>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</si>
  <si>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</si>
  <si>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</si>
  <si>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</si>
  <si>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</si>
  <si>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</si>
  <si>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</si>
  <si>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</si>
  <si>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</si>
  <si>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</si>
  <si>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</si>
  <si>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</si>
  <si>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</si>
  <si>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</si>
  <si>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</si>
  <si>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</si>
  <si>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</si>
  <si>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</si>
  <si>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</si>
  <si>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</si>
  <si>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</si>
  <si>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</si>
  <si>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</si>
  <si>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</si>
  <si>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</si>
  <si>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</si>
  <si>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</si>
  <si>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</si>
  <si>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</si>
  <si>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</si>
  <si>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</si>
  <si>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</si>
  <si>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</si>
  <si>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</si>
  <si>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</si>
  <si>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</si>
  <si>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</si>
  <si>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</si>
  <si>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</si>
  <si>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</si>
  <si>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</si>
  <si>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</si>
  <si>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</si>
  <si>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</si>
  <si>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</si>
  <si>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</si>
  <si>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</si>
  <si>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</si>
  <si>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</si>
  <si>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</si>
  <si>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</si>
  <si>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</si>
  <si>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</si>
  <si>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</si>
  <si>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</si>
  <si>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</si>
  <si>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</si>
  <si>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</si>
  <si>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</si>
  <si>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</si>
  <si>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</si>
  <si>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</si>
  <si>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</si>
  <si>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</si>
  <si>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</si>
  <si>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</si>
  <si>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</si>
  <si>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</si>
  <si>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</si>
  <si>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</si>
  <si>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</si>
  <si>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</si>
  <si>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</si>
  <si>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</si>
  <si>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</si>
  <si>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</si>
  <si>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</si>
  <si>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</si>
  <si>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</si>
  <si>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</si>
  <si>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</si>
  <si>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</si>
  <si>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</si>
  <si>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</si>
  <si>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</si>
  <si>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</si>
  <si>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</si>
  <si>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</si>
  <si>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</si>
  <si>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</si>
  <si>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</si>
  <si>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</si>
  <si>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</si>
  <si>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</si>
  <si>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</si>
  <si>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</si>
  <si>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</si>
  <si>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</si>
  <si>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</si>
  <si>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</si>
  <si>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</si>
  <si>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</si>
  <si>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</si>
  <si>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</si>
  <si>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</si>
  <si>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</si>
  <si>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</si>
  <si>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</si>
  <si>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</si>
  <si>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</si>
  <si>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</si>
  <si>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</si>
  <si>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</si>
  <si>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</si>
  <si>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</si>
  <si>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</si>
  <si>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</si>
  <si>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</si>
  <si>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</si>
  <si>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</si>
  <si>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</si>
  <si>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</si>
  <si>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</si>
  <si>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</si>
  <si>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</si>
  <si>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</si>
  <si>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</si>
  <si>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</si>
  <si>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</si>
  <si>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</si>
  <si>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</si>
  <si>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</si>
  <si>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</si>
  <si>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</si>
  <si>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</si>
  <si>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</si>
  <si>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</si>
  <si>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</si>
  <si>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</si>
  <si>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</si>
  <si>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</si>
  <si>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</si>
  <si>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</si>
  <si>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</si>
  <si>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</si>
  <si>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</si>
  <si>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</si>
  <si>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</si>
  <si>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</si>
  <si>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</si>
  <si>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</si>
  <si>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</si>
  <si>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</si>
  <si>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</si>
  <si>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</si>
  <si>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</si>
  <si>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</si>
  <si>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</si>
  <si>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</si>
  <si>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</si>
  <si>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</si>
  <si>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</si>
  <si>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</si>
  <si>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</si>
  <si>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</si>
  <si>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</si>
  <si>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</si>
  <si>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</si>
  <si>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</si>
  <si>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</si>
  <si>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</si>
  <si>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</si>
  <si>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</si>
  <si>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</si>
  <si>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</si>
  <si>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</si>
  <si>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</si>
  <si>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</si>
  <si>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</si>
  <si>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</si>
  <si>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</si>
  <si>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</si>
  <si>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</si>
  <si>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</si>
  <si>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</si>
  <si>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</si>
  <si>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</si>
  <si>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</si>
  <si>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</si>
  <si>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</si>
  <si>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</si>
  <si>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</si>
  <si>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</si>
  <si>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</si>
  <si>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</si>
  <si>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</si>
  <si>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</si>
  <si>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</si>
  <si>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</si>
  <si>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</si>
  <si>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</si>
  <si>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</si>
  <si>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</si>
  <si>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</si>
  <si>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</si>
  <si>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</si>
  <si>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</si>
  <si>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</si>
  <si>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</si>
  <si>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</si>
  <si>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</si>
  <si>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</si>
  <si>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</si>
  <si>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</si>
  <si>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</si>
  <si>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</si>
  <si>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</si>
  <si>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</si>
  <si>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</si>
  <si>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</si>
  <si>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</si>
  <si>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</si>
  <si>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</si>
  <si>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</si>
  <si>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</si>
  <si>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</si>
  <si>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</si>
  <si>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</si>
  <si>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</si>
  <si>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</si>
  <si>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</si>
  <si>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</si>
  <si>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</si>
  <si>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</si>
  <si>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</si>
  <si>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</si>
  <si>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</si>
  <si>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</si>
  <si>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</si>
  <si>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</si>
  <si>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</si>
  <si>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</si>
  <si>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</si>
  <si>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</si>
  <si>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</si>
  <si>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</si>
  <si>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</si>
  <si>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</si>
  <si>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</si>
  <si>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</si>
  <si>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</si>
  <si>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</si>
  <si>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</si>
  <si>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</si>
  <si>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</si>
  <si>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</si>
  <si>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</si>
  <si>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</si>
  <si>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</si>
  <si>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</si>
  <si>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</si>
  <si>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</si>
  <si>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</si>
  <si>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</si>
  <si>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</si>
  <si>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</si>
  <si>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</si>
  <si>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</si>
  <si>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</si>
  <si>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</si>
  <si>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</si>
  <si>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</si>
  <si>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</si>
  <si>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</si>
  <si>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</si>
  <si>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</si>
  <si>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</si>
  <si>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</si>
  <si>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</si>
  <si>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</si>
  <si>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</si>
  <si>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</si>
  <si>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</si>
  <si>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</si>
  <si>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</si>
  <si>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</si>
  <si>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</si>
  <si>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</si>
  <si>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</si>
  <si>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</si>
  <si>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</si>
  <si>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</si>
  <si>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</si>
  <si>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</si>
  <si>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</si>
  <si>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</si>
  <si>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</si>
  <si>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</si>
  <si>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</si>
  <si>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</si>
  <si>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</si>
  <si>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</si>
  <si>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</si>
  <si>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</si>
  <si>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</si>
  <si>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</si>
  <si>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 xml:space="preserve">В С Е Г О   Р А С Х О Д О В </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</si>
  <si>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</si>
  <si>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</si>
  <si>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</si>
  <si>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</si>
  <si>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</si>
  <si>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</si>
  <si>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</si>
  <si>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</si>
  <si>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</si>
  <si>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</si>
  <si>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</si>
  <si>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</si>
  <si>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</si>
  <si>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</si>
  <si>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</si>
  <si>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</si>
  <si>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</si>
  <si>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</si>
  <si>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</si>
  <si>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</si>
  <si>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</si>
  <si>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</si>
  <si>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</si>
  <si>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</si>
  <si>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</si>
  <si>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</si>
  <si>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</si>
  <si>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</si>
  <si>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</si>
  <si>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</si>
  <si>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</si>
  <si>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</si>
  <si>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</si>
  <si>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</si>
  <si>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</si>
  <si>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</si>
  <si>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</si>
  <si>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</si>
  <si>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</si>
  <si>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</si>
  <si>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</si>
  <si>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</si>
  <si>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</si>
  <si>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</si>
  <si>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</si>
  <si>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</si>
  <si>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</si>
  <si>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</si>
  <si>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</si>
  <si>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</si>
  <si>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</si>
  <si>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</si>
  <si>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</si>
  <si>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</si>
  <si>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</si>
  <si>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</si>
  <si>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</si>
  <si>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</si>
  <si>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</si>
  <si>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</si>
  <si>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</si>
  <si>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</si>
  <si>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</si>
  <si>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</si>
  <si>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</si>
  <si>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</si>
  <si>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</si>
  <si>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</si>
  <si>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</si>
  <si>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</si>
  <si>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</si>
  <si>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</si>
  <si>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</si>
  <si>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</si>
  <si>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</si>
  <si>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</si>
  <si>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</si>
  <si>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</si>
  <si>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</si>
  <si>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</si>
  <si>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</si>
  <si>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</si>
  <si>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</si>
  <si>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</si>
  <si>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</si>
  <si>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</si>
  <si>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</si>
  <si>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</si>
  <si>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</si>
  <si>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</si>
  <si>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</si>
  <si>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</si>
  <si>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</si>
  <si>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</si>
  <si>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</si>
  <si>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</si>
  <si>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</si>
  <si>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</si>
  <si>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</si>
  <si>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</si>
  <si>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</si>
  <si>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</si>
  <si>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</si>
  <si>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</si>
  <si>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</si>
  <si>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</si>
  <si>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</si>
  <si>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</si>
  <si>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</si>
  <si>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</si>
  <si>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</si>
  <si>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</si>
  <si>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</si>
  <si>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</si>
  <si>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</si>
  <si>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</si>
  <si>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</si>
  <si>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</si>
  <si>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</si>
  <si>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</si>
  <si>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</si>
  <si>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</si>
  <si>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</si>
  <si>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</si>
  <si>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</si>
  <si>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</si>
  <si>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</si>
  <si>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</si>
  <si>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</si>
  <si>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</si>
  <si>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</si>
  <si>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</si>
  <si>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</si>
  <si>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</si>
  <si>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</si>
  <si>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</si>
  <si>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</si>
  <si>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</si>
  <si>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</si>
  <si>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</si>
  <si>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</si>
  <si>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</si>
  <si>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</si>
  <si>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</si>
  <si>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</si>
  <si>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</si>
  <si>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</si>
  <si>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</si>
  <si>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</si>
  <si>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</si>
  <si>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</si>
  <si>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</si>
  <si>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</si>
  <si>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</si>
  <si>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</si>
  <si>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</si>
  <si>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</si>
  <si>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</si>
  <si>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</si>
  <si>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</si>
  <si>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</si>
  <si>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</si>
  <si>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</si>
  <si>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</si>
  <si>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</si>
  <si>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</si>
  <si>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</si>
  <si>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</si>
  <si>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</si>
  <si>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</si>
  <si>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</si>
  <si>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</si>
  <si>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</si>
  <si>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</si>
  <si>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</si>
  <si>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</si>
  <si>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</si>
  <si>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</si>
  <si>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</si>
  <si>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</si>
  <si>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</si>
  <si>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</si>
  <si>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</si>
  <si>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</si>
  <si>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</si>
  <si>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</si>
  <si>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</si>
  <si>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</si>
  <si>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</si>
  <si>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</si>
  <si>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</si>
  <si>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</si>
  <si>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</si>
  <si>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</si>
  <si>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</si>
  <si>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</si>
  <si>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</si>
  <si>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</si>
  <si>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</si>
  <si>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</si>
  <si>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</si>
  <si>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</si>
  <si>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</si>
  <si>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</si>
  <si>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</si>
  <si>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</si>
  <si>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</si>
  <si>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</si>
  <si>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</si>
  <si>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</si>
  <si>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</si>
  <si>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</si>
  <si>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</si>
  <si>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</si>
  <si>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</si>
  <si>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</si>
  <si>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</si>
  <si>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</si>
  <si>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</si>
  <si>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</si>
  <si>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</si>
  <si>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</si>
  <si>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</si>
  <si>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</si>
  <si>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</si>
  <si>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</si>
  <si>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</si>
  <si>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</si>
  <si>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</si>
  <si>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</si>
  <si>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</si>
  <si>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</si>
  <si>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</si>
  <si>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</si>
  <si>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</si>
  <si>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</si>
  <si>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</si>
  <si>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</si>
  <si>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</si>
  <si>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</si>
  <si>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</si>
  <si>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</si>
  <si>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</si>
  <si>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</si>
  <si>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</si>
  <si>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</si>
  <si>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</si>
  <si>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</si>
  <si>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</si>
  <si>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</si>
  <si>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</si>
  <si>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</si>
  <si>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</si>
  <si>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</si>
  <si>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</si>
  <si>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</si>
  <si>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</si>
  <si>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</si>
  <si>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</si>
  <si>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</si>
  <si>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</si>
  <si>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</si>
  <si>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</si>
  <si>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</si>
  <si>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</si>
  <si>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</si>
  <si>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</si>
  <si>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</si>
  <si>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</si>
  <si>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</si>
  <si>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</si>
  <si>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</si>
  <si>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</si>
  <si>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</si>
  <si>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</si>
  <si>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</si>
  <si>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</si>
  <si>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</si>
  <si>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</si>
  <si>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</si>
  <si>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</si>
  <si>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</si>
  <si>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</si>
  <si>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</si>
  <si>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</si>
  <si>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</si>
  <si>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</si>
  <si>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</si>
  <si>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</si>
  <si>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</si>
  <si>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</si>
  <si>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</si>
  <si>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</si>
  <si>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</si>
  <si>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</si>
  <si>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</si>
  <si>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</si>
  <si>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</si>
  <si>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</si>
  <si>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</si>
  <si>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</si>
  <si>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</si>
  <si>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</si>
  <si>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</si>
  <si>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</si>
  <si>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</si>
  <si>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</si>
  <si>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</si>
  <si>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</si>
  <si>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</si>
  <si>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</si>
  <si>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</si>
  <si>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</si>
  <si>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</si>
  <si>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</si>
  <si>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</si>
  <si>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</si>
  <si>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</si>
  <si>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</si>
  <si>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</si>
  <si>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</si>
  <si>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</si>
  <si>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</si>
  <si>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</si>
  <si>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</si>
  <si>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</si>
  <si>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</si>
  <si>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</si>
  <si>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</si>
  <si>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</si>
  <si>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</si>
  <si>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</si>
  <si>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</si>
  <si>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</si>
  <si>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</si>
  <si>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</si>
  <si>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</si>
  <si>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</si>
  <si>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</si>
  <si>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</si>
  <si>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</si>
  <si>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</si>
  <si>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</si>
  <si>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</si>
  <si>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</si>
  <si>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</si>
  <si>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</si>
  <si>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</si>
  <si>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</si>
  <si>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</si>
  <si>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</si>
  <si>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</si>
  <si>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</si>
  <si>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</si>
  <si>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</si>
  <si>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</si>
  <si>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</si>
  <si>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</si>
  <si>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</si>
  <si>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</si>
  <si>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</si>
  <si>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</si>
  <si>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</si>
  <si>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</si>
  <si>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</si>
  <si>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</si>
  <si>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</si>
  <si>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</si>
  <si>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</si>
  <si>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</si>
  <si>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</si>
  <si>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</si>
  <si>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</si>
  <si>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</si>
  <si>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</si>
  <si>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</si>
  <si>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</si>
  <si>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</si>
  <si>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</si>
  <si>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</si>
  <si>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</si>
  <si>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</si>
  <si>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</si>
  <si>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</si>
  <si>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</si>
  <si>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</si>
  <si>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</si>
  <si>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</si>
  <si>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</si>
  <si>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</si>
  <si>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</si>
  <si>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</si>
  <si>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</si>
  <si>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</si>
  <si>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</si>
  <si>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</si>
  <si>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</si>
  <si>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</si>
  <si>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</si>
  <si>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</si>
  <si>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</si>
  <si>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</si>
  <si>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</si>
  <si>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</si>
  <si>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</si>
  <si>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</si>
  <si>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</si>
  <si>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</si>
  <si>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</si>
  <si>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</si>
  <si>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</si>
  <si>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</si>
  <si>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</si>
  <si>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</si>
  <si>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</si>
  <si>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</si>
  <si>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</si>
  <si>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</si>
  <si>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</si>
  <si>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</si>
  <si>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</si>
  <si>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</si>
  <si>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</si>
  <si>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</si>
  <si>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</si>
  <si>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</si>
  <si>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</si>
  <si>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</si>
  <si>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</si>
  <si>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</si>
  <si>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</si>
  <si>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</si>
  <si>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</si>
  <si>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</si>
  <si>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</si>
  <si>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</si>
  <si>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</si>
  <si>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</si>
  <si>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</si>
  <si>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</si>
  <si>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</si>
  <si>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</si>
  <si>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</si>
  <si>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</si>
  <si>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</si>
  <si>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</si>
  <si>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</si>
  <si>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</si>
  <si>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</si>
  <si>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</si>
  <si>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</si>
  <si>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</si>
  <si>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</si>
  <si>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</si>
  <si>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</si>
  <si>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</si>
  <si>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</si>
  <si>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</si>
  <si>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</si>
  <si>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</si>
  <si>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</si>
  <si>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</si>
  <si>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</si>
  <si>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</si>
  <si>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</si>
  <si>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</si>
  <si>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</si>
  <si>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</si>
  <si>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</si>
  <si>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</si>
  <si>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</si>
  <si>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</si>
  <si>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</si>
  <si>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</si>
  <si>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</si>
  <si>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</si>
  <si>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</si>
  <si>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</si>
  <si>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</si>
  <si>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</si>
  <si>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</si>
  <si>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</si>
  <si>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</si>
  <si>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</si>
  <si>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</si>
  <si>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</si>
  <si>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</si>
  <si>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</si>
  <si>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</si>
  <si>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</si>
  <si>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</si>
  <si>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</si>
  <si>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</si>
  <si>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</si>
  <si>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</si>
  <si>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</si>
  <si>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</si>
  <si>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</si>
  <si>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</si>
  <si>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</si>
  <si>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</si>
  <si>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</si>
  <si>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</si>
  <si>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</si>
  <si>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</si>
  <si>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</si>
  <si>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</si>
  <si>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</si>
  <si>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</si>
  <si>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</si>
  <si>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</si>
  <si>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</si>
  <si>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</si>
  <si>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</si>
  <si>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</si>
  <si>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</si>
  <si>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</si>
  <si>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</si>
  <si>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</si>
  <si>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</si>
  <si>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</si>
  <si>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</si>
  <si>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</si>
  <si>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</si>
  <si>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</si>
  <si>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</si>
  <si>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</si>
  <si>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</si>
  <si>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</si>
  <si>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</si>
  <si>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</si>
  <si>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</si>
  <si>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</si>
  <si>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</si>
  <si>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</si>
  <si>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</si>
  <si>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</si>
  <si>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</si>
  <si>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</si>
  <si>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</si>
  <si>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</si>
  <si>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</si>
  <si>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</si>
  <si>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</si>
  <si>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</si>
  <si>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</si>
  <si>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</si>
  <si>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</si>
  <si>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</si>
  <si>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</si>
  <si>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</si>
  <si>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</si>
  <si>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</si>
  <si>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</si>
  <si>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</si>
  <si>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</si>
  <si>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</si>
  <si>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</si>
  <si>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</si>
  <si>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</si>
  <si>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</si>
  <si>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</si>
  <si>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</si>
  <si>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</si>
  <si>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</si>
  <si>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</si>
  <si>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</si>
  <si>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</si>
  <si>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</si>
  <si>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</si>
  <si>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</si>
  <si>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</si>
  <si>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</si>
  <si>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</si>
  <si>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</si>
  <si>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</si>
  <si>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</si>
  <si>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</si>
  <si>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</si>
  <si>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</si>
  <si>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</si>
  <si>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</si>
  <si>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</si>
  <si>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</si>
  <si>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</si>
  <si>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</si>
  <si>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</si>
  <si>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</si>
  <si>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</si>
  <si>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</si>
  <si>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</si>
  <si>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</si>
  <si>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</si>
  <si>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</si>
  <si>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</si>
  <si>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</si>
  <si>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</si>
  <si>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</si>
  <si>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</si>
  <si>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</si>
  <si>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</si>
  <si>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</si>
  <si>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</si>
  <si>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</si>
  <si>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</si>
  <si>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</si>
  <si>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</si>
  <si>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</si>
  <si>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</si>
  <si>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</si>
  <si>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</si>
  <si>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</si>
  <si>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</si>
  <si>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</si>
  <si>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</si>
  <si>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</si>
  <si>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</si>
  <si>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</si>
  <si>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</si>
  <si>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</si>
  <si>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</si>
  <si>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</si>
  <si>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</si>
  <si>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</si>
  <si>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</si>
  <si>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</si>
  <si>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</si>
  <si>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</si>
  <si>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</si>
  <si>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</si>
  <si>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</si>
  <si>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</si>
  <si>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</si>
  <si>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</si>
  <si>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</si>
  <si>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</si>
  <si>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</si>
  <si>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</si>
  <si>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</si>
  <si>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</si>
  <si>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</si>
  <si>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</si>
  <si>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</si>
  <si>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</si>
  <si>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</si>
  <si>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</si>
  <si>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</si>
  <si>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</si>
  <si>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</si>
  <si>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</si>
  <si>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</si>
  <si>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</si>
  <si>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</si>
  <si>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</si>
  <si>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</si>
  <si>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</si>
  <si>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</si>
  <si>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</si>
  <si>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</si>
  <si>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</si>
  <si>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</si>
  <si>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</si>
  <si>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</si>
  <si>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</si>
  <si>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</si>
  <si>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</si>
  <si>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</si>
  <si>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</si>
  <si>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</si>
  <si>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</si>
  <si>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</si>
  <si>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</si>
  <si>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</si>
  <si>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</si>
  <si>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</si>
  <si>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</si>
  <si>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</si>
  <si>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</si>
  <si>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</si>
  <si>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</si>
  <si>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</si>
  <si>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</si>
  <si>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</si>
  <si>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</si>
  <si>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</si>
  <si>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</si>
  <si>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</si>
  <si>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</si>
  <si>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</si>
  <si>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</si>
  <si>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</si>
  <si>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</si>
  <si>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</si>
  <si>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</si>
  <si>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</si>
  <si>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</si>
  <si>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</si>
  <si>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</si>
  <si>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</si>
  <si>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</si>
  <si>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</si>
  <si>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</si>
  <si>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</si>
  <si>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</si>
  <si>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</si>
  <si>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</si>
  <si>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</si>
  <si>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</si>
  <si>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</si>
  <si>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</si>
  <si>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</si>
  <si>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</si>
  <si>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</si>
  <si>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</si>
  <si>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</si>
  <si>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</si>
  <si>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</si>
  <si>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</si>
  <si>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</si>
  <si>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</si>
  <si>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</si>
  <si>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</si>
  <si>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</si>
  <si>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</si>
  <si>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</si>
  <si>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</si>
  <si>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</si>
  <si>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</si>
  <si>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</si>
  <si>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</si>
  <si>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</si>
  <si>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</si>
  <si>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</si>
  <si>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</si>
  <si>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</si>
  <si>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</si>
  <si>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</si>
  <si>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</si>
  <si>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</si>
  <si>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</si>
  <si>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</si>
  <si>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</si>
  <si>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</si>
  <si>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</si>
  <si>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</si>
  <si>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</si>
  <si>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</si>
  <si>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</si>
  <si>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</si>
  <si>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</si>
  <si>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</si>
  <si>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</si>
  <si>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</si>
  <si>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</si>
  <si>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</si>
  <si>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</si>
  <si>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</si>
  <si>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</si>
  <si>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</si>
  <si>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</si>
  <si>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</si>
  <si>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</si>
  <si>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</si>
  <si>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</si>
  <si>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</si>
  <si>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</si>
  <si>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</si>
  <si>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</si>
  <si>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</si>
  <si>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</si>
  <si>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</si>
  <si>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</si>
  <si>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</si>
  <si>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</si>
  <si>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</si>
  <si>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</si>
  <si>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</si>
  <si>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</si>
  <si>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</si>
  <si>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</si>
  <si>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</si>
  <si>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</si>
  <si>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</si>
  <si>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</si>
  <si>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</si>
  <si>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</si>
  <si>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</si>
  <si>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</si>
  <si>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</si>
  <si>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</si>
  <si>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</si>
  <si>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</si>
  <si>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</si>
  <si>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</si>
  <si>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</si>
  <si>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</si>
  <si>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</si>
  <si>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</si>
  <si>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</si>
  <si>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</si>
  <si>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</si>
  <si>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</si>
  <si>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</si>
  <si>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</si>
  <si>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</si>
  <si>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</si>
  <si>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</si>
  <si>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</si>
  <si>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</si>
  <si>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</si>
  <si>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</si>
  <si>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</si>
  <si>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</si>
  <si>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</si>
  <si>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</si>
  <si>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</si>
  <si>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</si>
  <si>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</si>
  <si>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</si>
  <si>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</si>
  <si>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</si>
  <si>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</si>
  <si>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</si>
  <si>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</si>
  <si>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</si>
  <si>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</si>
  <si>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</si>
  <si>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</si>
  <si>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</si>
  <si>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</si>
  <si>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</si>
  <si>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</si>
  <si>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</si>
  <si>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</si>
  <si>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</si>
  <si>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</si>
  <si>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</si>
  <si>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</si>
  <si>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</si>
  <si>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</si>
  <si>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</si>
  <si>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</si>
  <si>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</si>
  <si>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</si>
  <si>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</si>
  <si>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</si>
  <si>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</si>
  <si>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</si>
  <si>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</si>
  <si>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</si>
  <si>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</si>
  <si>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</si>
  <si>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</si>
  <si>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</si>
  <si>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</si>
  <si>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</si>
  <si>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</si>
  <si>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</si>
  <si>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</si>
  <si>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</si>
  <si>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</si>
  <si>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</si>
  <si>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</si>
  <si>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</si>
  <si>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</si>
  <si>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</si>
  <si>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</si>
  <si>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</si>
  <si>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</si>
  <si>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</si>
  <si>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</si>
  <si>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</si>
  <si>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</si>
  <si>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</si>
  <si>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</si>
  <si>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</si>
  <si>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</si>
  <si>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</si>
  <si>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</si>
  <si>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</si>
  <si>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</si>
  <si>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</si>
  <si>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</si>
  <si>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</si>
  <si>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</si>
  <si>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</si>
  <si>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</si>
  <si>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</si>
  <si>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</si>
  <si>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</si>
  <si>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</si>
  <si>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</si>
  <si>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</si>
  <si>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</si>
  <si>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</si>
  <si>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</si>
  <si>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</si>
  <si>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</si>
  <si>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</si>
  <si>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</si>
  <si>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</si>
  <si>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</si>
  <si>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</si>
  <si>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</si>
  <si>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</si>
  <si>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</si>
  <si>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</si>
  <si>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</si>
  <si>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</si>
  <si>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</si>
  <si>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</si>
  <si>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</si>
  <si>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</si>
  <si>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</si>
  <si>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</si>
  <si>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</si>
  <si>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</si>
  <si>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</si>
  <si>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</si>
  <si>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</si>
  <si>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</si>
  <si>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</si>
  <si>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</si>
  <si>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</si>
  <si>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</si>
  <si>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</si>
  <si>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</si>
  <si>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</si>
  <si>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</si>
  <si>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</si>
  <si>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</si>
  <si>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</si>
  <si>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</si>
  <si>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</si>
  <si>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</si>
  <si>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</si>
  <si>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</si>
  <si>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</si>
  <si>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</si>
  <si>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</si>
  <si>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</si>
  <si>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</si>
  <si>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</si>
  <si>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</si>
  <si>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</si>
  <si>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</si>
  <si>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</si>
  <si>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</si>
  <si>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</si>
  <si>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</si>
  <si>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</si>
  <si>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</si>
  <si>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</si>
  <si>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</si>
  <si>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</si>
  <si>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</si>
  <si>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</si>
  <si>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</si>
  <si>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</si>
  <si>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</si>
  <si>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</si>
  <si>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</si>
  <si>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</si>
  <si>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</si>
  <si>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</si>
  <si>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</si>
  <si>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</si>
  <si>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</si>
  <si>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</si>
  <si>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</si>
  <si>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</si>
  <si>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</si>
  <si>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</si>
  <si>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</si>
  <si>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</si>
  <si>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</si>
  <si>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</si>
  <si>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</si>
  <si>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</si>
  <si>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</si>
  <si>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</si>
  <si>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</si>
  <si>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</si>
  <si>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</si>
  <si>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</si>
  <si>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</si>
  <si>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</si>
  <si>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</si>
  <si>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</si>
  <si>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</si>
  <si>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</si>
  <si>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</si>
  <si>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</si>
  <si>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</si>
  <si>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</si>
  <si>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</si>
  <si>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</si>
  <si>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</si>
  <si>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</si>
  <si>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</si>
  <si>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</si>
  <si>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</si>
  <si>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</si>
  <si>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</si>
  <si>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</si>
  <si>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</si>
  <si>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</si>
  <si>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</si>
  <si>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</si>
  <si>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</si>
  <si>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</si>
  <si>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</si>
  <si>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</si>
  <si>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</si>
  <si>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</si>
  <si>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</si>
  <si>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</si>
  <si>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</si>
  <si>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</si>
  <si>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</si>
  <si>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</si>
  <si>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</si>
  <si>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</si>
  <si>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</si>
  <si>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 xml:space="preserve">Итого по муниципальным программам: </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</si>
  <si>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</si>
  <si>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</si>
  <si>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</si>
  <si>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</si>
  <si>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</si>
  <si>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</si>
  <si>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</si>
  <si>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</si>
  <si>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</si>
  <si>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</si>
  <si>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</si>
  <si>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</si>
  <si>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</si>
  <si>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</si>
  <si>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</si>
  <si>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</si>
  <si>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</si>
  <si>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</si>
  <si>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</si>
  <si>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</si>
  <si>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</si>
  <si>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</si>
  <si>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</si>
  <si>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</si>
  <si>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</si>
  <si>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</si>
  <si>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</si>
  <si>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</si>
  <si>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</si>
  <si>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</si>
  <si>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</si>
  <si>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</si>
  <si>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</si>
  <si>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</si>
  <si>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</si>
  <si>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</si>
  <si>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</si>
  <si>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</si>
  <si>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</si>
  <si>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</si>
  <si>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</si>
  <si>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</si>
  <si>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</si>
  <si>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</si>
  <si>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</si>
  <si>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</si>
  <si>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</si>
  <si>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</si>
  <si>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</si>
  <si>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</si>
  <si>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</si>
  <si>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</si>
  <si>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</si>
  <si>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</si>
  <si>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</si>
  <si>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</si>
  <si>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</si>
  <si>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</si>
  <si>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</si>
  <si>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</si>
  <si>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</si>
  <si>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</si>
  <si>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</si>
  <si>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</si>
  <si>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</si>
  <si>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</si>
  <si>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</si>
  <si>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</si>
  <si>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</si>
  <si>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Приложение 5</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</si>
  <si>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</si>
  <si>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</si>
  <si>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</si>
  <si>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</si>
  <si>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</si>
  <si>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</si>
  <si>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</si>
  <si>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</si>
  <si>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</si>
  <si>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</si>
  <si>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</si>
  <si>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</si>
  <si>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</si>
  <si>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</si>
  <si>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Распределение бюджетных ассигнований по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 год и на плановый период 2022 и 2023 годов</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</si>
  <si>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</si>
  <si>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</si>
  <si>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</si>
  <si>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</si>
  <si>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</si>
  <si>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</si>
  <si>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</si>
  <si>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</si>
  <si>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</si>
  <si>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</si>
  <si>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</si>
  <si>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</si>
  <si>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</si>
  <si>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</si>
  <si>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</si>
  <si>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</si>
  <si>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</si>
  <si>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</si>
  <si>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</si>
  <si>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</si>
  <si>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</si>
  <si>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</si>
  <si>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</si>
  <si>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</si>
  <si>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</si>
  <si>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</si>
  <si>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</si>
  <si>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</si>
  <si>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</si>
  <si>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</si>
  <si>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</si>
  <si>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</si>
  <si>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</si>
  <si>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</si>
  <si>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</si>
  <si>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</si>
  <si>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</si>
  <si>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</si>
  <si>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</si>
  <si>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</si>
  <si>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</si>
  <si>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</si>
  <si>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</si>
  <si>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</si>
  <si>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</si>
  <si>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</si>
  <si>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</si>
  <si>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</si>
  <si>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</si>
  <si>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</si>
  <si>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</si>
  <si>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</si>
  <si>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</si>
  <si>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</si>
  <si>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</si>
  <si>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</si>
  <si>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</si>
  <si>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</si>
  <si>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</si>
  <si>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6</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</si>
  <si>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</si>
  <si>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</si>
  <si>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</si>
  <si>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</si>
  <si>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</si>
  <si>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</si>
  <si>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</si>
  <si>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</si>
  <si>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</si>
  <si>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</si>
  <si>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</si>
  <si>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</si>
  <si>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</si>
  <si>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</si>
  <si>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</si>
  <si>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</si>
  <si>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</si>
  <si>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</si>
  <si>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17 1 01 00000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</si>
  <si>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</si>
  <si>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</si>
  <si>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</si>
  <si>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</si>
  <si>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"Спортивная  школа "Ориент" Лыткарино")</t>
  </si>
  <si>
    <t>Обеспечение организаций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</si>
  <si>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"Укрепление материально-технической базы государственных и муниципальных учреждений культуры,образовательных организаций в сфере культуры  Московской области"</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</si>
  <si>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t>
  </si>
  <si>
    <t>Ремонт дворовых территорий</t>
  </si>
  <si>
    <t>17 1 F2 S2740</t>
  </si>
  <si>
    <t>17 1 01 01340</t>
  </si>
  <si>
    <t xml:space="preserve">Благоустройство дворовых территорий </t>
  </si>
  <si>
    <t>Основное мероприятие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t>
  </si>
  <si>
    <t>15 1 03 00000</t>
  </si>
  <si>
    <t>15 1 03 S0860</t>
  </si>
  <si>
    <t>Комплексное благоустройство территорий муниципальных образований Московской области за счет средств местного бюджета</t>
  </si>
  <si>
    <t>17 1 01 71350</t>
  </si>
  <si>
    <t>Основное мероприятие "Строительство, реконструкция (модернизация) , капитальный ремонт, приобретение, монтаж и ввод в эксплуатацию объектов очистки сточных вод на территории муниципальных образований Московской области"</t>
  </si>
  <si>
    <t>Строительство и реконструкция объектов очистки сточных вод за счет средств местного бюджета</t>
  </si>
  <si>
    <t>10 2 01 00000</t>
  </si>
  <si>
    <t>10 2 01 74020</t>
  </si>
  <si>
    <t>Устройство и капитальный ремонт систем наружного освещения в рамках реализации проекта «Светлый город»</t>
  </si>
  <si>
    <t>300</t>
  </si>
  <si>
    <t>320</t>
  </si>
  <si>
    <t>Создание и ремонт пешеходных коммуникаций</t>
  </si>
  <si>
    <t>17 1 01 S1870</t>
  </si>
  <si>
    <t>Капитальный ремонт, текущий ремонт ,обустройство и техническое переоснащение, благоустройство территорий объектов спорта</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</si>
  <si>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а также услуг почтовой связи»</t>
  </si>
  <si>
    <t>17 1 01 S2890</t>
  </si>
  <si>
    <t>Ямочный ремонт асфальтового покрытия дворовых территорий</t>
  </si>
  <si>
    <t>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услуг,а также их техническая поддержка</t>
  </si>
  <si>
    <t>17 1 01 S1350</t>
  </si>
  <si>
    <t>Комплексное благоустройство территорий муниципальных образований Московской области</t>
  </si>
  <si>
    <t>15 2 E4 S2930</t>
  </si>
  <si>
    <t>Установка,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</si>
  <si>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</si>
  <si>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</si>
  <si>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</si>
  <si>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</si>
  <si>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</si>
  <si>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</si>
  <si>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</si>
  <si>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</si>
  <si>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</si>
  <si>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</si>
  <si>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</si>
  <si>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</si>
  <si>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</si>
  <si>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</si>
  <si>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</si>
  <si>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</si>
  <si>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</si>
  <si>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</si>
  <si>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</si>
  <si>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</si>
  <si>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13 3 07 S305В</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</si>
  <si>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</si>
  <si>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</si>
  <si>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</si>
  <si>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</si>
  <si>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микрорайон,квартал 1,дом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</si>
  <si>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адресу:5-й микрорайон, квартал 1, дом 3)</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</si>
  <si>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5-й микрорайон, квартал 1,                     дом 3)</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</si>
  <si>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 "Ориент" Лыткарино")</t>
  </si>
  <si>
    <t>Капитальный ремонт, приобретение, монтаж и ввод в эксплуатацию объектов коммунальной инфраструктуры за счет средств местного бюджета(капитальный ремонт сетей теплоснабжения)</t>
  </si>
  <si>
    <t>10 3 02 70321</t>
  </si>
  <si>
    <t>Государственная поддержка отрасли культуры за счет средств резервного фонда Правительства Российской Федерации (модернизация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t>
  </si>
  <si>
    <t>02 3 01 L519F</t>
  </si>
  <si>
    <t>17 3 01 70970</t>
  </si>
  <si>
    <t xml:space="preserve">Установка камер видеонаблюдения в подъездах многоквартирных домов за счет средств местного бюджета </t>
  </si>
  <si>
    <t>Создание и ремонт пешеходных коммуникаций за счет средств местного бюджета</t>
  </si>
  <si>
    <t>17 1 01 71870</t>
  </si>
  <si>
    <t>Благоустройство общественных территорий</t>
  </si>
  <si>
    <t>17 1 01 01330</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</si>
  <si>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 на территории муниципальных образований Московской области"</t>
  </si>
  <si>
    <t>04 3 05 00410</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</si>
  <si>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</si>
  <si>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Капитальный ремонт, приобретение, монтаж и ввод в эксплуатацию объектов коммунальной инфраструктуры за счет средств местного бюджета</t>
  </si>
  <si>
    <t>10 3 02 70320</t>
  </si>
  <si>
    <t>Капитальный ремонт, приобретение, монтаж и ввод в эксплуатацию объектов коммунальной инфраструктуры за счет средств местного бюджета (капитальный ремонт сетей теплоснабжения)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</si>
</sst>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_р_."/>
  </numFmts>
  <fonts count="98"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b/>
      <sz val="13.5"/>
      <name val="Times New Roman Cyr"/>
      <family val="1"/>
      <charset val="204"/>
    </font>
    <font>
      <sz val="13.5"/>
      <name val="Arial Cyr"/>
      <charset val="204"/>
    </font>
    <font>
      <sz val="12"/>
      <color rgb="FF000000"/>
      <name val="Times New Roman"/>
      <family val="1"/>
      <charset val="204"/>
    </font>
    <font>
      <sz val="10"/>
      <color rgb="FF0070C0"/>
      <name val="Arial Cyr"/>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rgb="FFDDDDDD"/>
      </bottom>
      <diagonal/>
    </border>
  </borders>
  <cellStyleXfs count="5">
    <xf numFmtId="0" fontId="0" fillId="0" borderId="0"/>
    <xf numFmtId="0" fontId="2" fillId="0" borderId="0"/>
    <xf numFmtId="0" fontId="81" fillId="0" borderId="0"/>
    <xf numFmtId="0" fontId="2" fillId="0" borderId="0"/>
    <xf numFmtId="0" fontId="2" fillId="0" borderId="0"/>
  </cellStyleXfs>
  <cellXfs count="886">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3"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7"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20"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164" fontId="60" fillId="4" borderId="9" xfId="0" applyNumberFormat="1" applyFont="1" applyFill="1" applyBorder="1" applyAlignment="1">
      <alignment horizontal="right"/>
    </xf>
    <xf numFmtId="0" fontId="60" fillId="4" borderId="9" xfId="0" applyFont="1" applyFill="1" applyBorder="1" applyAlignment="1">
      <alignment wrapText="1"/>
    </xf>
    <xf numFmtId="0" fontId="60" fillId="4" borderId="0" xfId="0" applyFont="1" applyFill="1" applyBorder="1" applyAlignment="1">
      <alignment horizontal="right"/>
    </xf>
    <xf numFmtId="165" fontId="60" fillId="4" borderId="0" xfId="0" applyNumberFormat="1" applyFont="1" applyFill="1" applyBorder="1" applyAlignment="1">
      <alignment horizontal="right"/>
    </xf>
    <xf numFmtId="164" fontId="63" fillId="4" borderId="9" xfId="0" applyNumberFormat="1" applyFont="1" applyFill="1" applyBorder="1" applyAlignment="1">
      <alignment horizontal="right"/>
    </xf>
    <xf numFmtId="165" fontId="60" fillId="4" borderId="9" xfId="0" applyNumberFormat="1" applyFont="1" applyFill="1" applyBorder="1" applyAlignment="1">
      <alignment horizontal="right"/>
    </xf>
    <xf numFmtId="164" fontId="60" fillId="4" borderId="16" xfId="0" applyNumberFormat="1" applyFont="1" applyFill="1" applyBorder="1" applyAlignment="1">
      <alignment horizontal="right"/>
    </xf>
    <xf numFmtId="164" fontId="70" fillId="4" borderId="24"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60" fillId="4" borderId="18" xfId="0" applyFont="1" applyFill="1" applyBorder="1" applyAlignment="1">
      <alignment horizontal="right"/>
    </xf>
    <xf numFmtId="165" fontId="60" fillId="4" borderId="12" xfId="0" applyNumberFormat="1" applyFont="1" applyFill="1" applyBorder="1" applyAlignment="1">
      <alignment horizontal="right"/>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164" fontId="60" fillId="4" borderId="11" xfId="0" applyNumberFormat="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164" fontId="63" fillId="4" borderId="11" xfId="0" applyNumberFormat="1" applyFont="1" applyFill="1" applyBorder="1" applyAlignment="1">
      <alignment horizontal="right"/>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9"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5"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6" xfId="0" applyNumberFormat="1" applyFont="1" applyFill="1" applyBorder="1" applyAlignment="1">
      <alignment horizontal="right"/>
    </xf>
    <xf numFmtId="164" fontId="71" fillId="4" borderId="26"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63" fillId="4" borderId="8" xfId="0" applyNumberFormat="1" applyFont="1" applyFill="1" applyBorder="1" applyAlignment="1">
      <alignment horizontal="right"/>
    </xf>
    <xf numFmtId="164" fontId="70" fillId="4" borderId="9" xfId="0" applyNumberFormat="1" applyFont="1" applyFill="1" applyBorder="1" applyAlignment="1"/>
    <xf numFmtId="165" fontId="70" fillId="4" borderId="9" xfId="0" applyNumberFormat="1" applyFont="1" applyFill="1" applyBorder="1" applyAlignment="1"/>
    <xf numFmtId="0" fontId="3" fillId="4" borderId="20" xfId="0" applyFont="1" applyFill="1" applyBorder="1" applyAlignment="1">
      <alignment horizontal="center"/>
    </xf>
    <xf numFmtId="0" fontId="3" fillId="4" borderId="29" xfId="0" quotePrefix="1" applyFont="1" applyFill="1" applyBorder="1" applyAlignment="1">
      <alignment horizontal="right"/>
    </xf>
    <xf numFmtId="49" fontId="60" fillId="4" borderId="29" xfId="0" applyNumberFormat="1" applyFont="1" applyFill="1" applyBorder="1" applyAlignment="1" applyProtection="1">
      <alignment horizontal="center" wrapText="1"/>
      <protection locked="0" hidden="1"/>
    </xf>
    <xf numFmtId="0" fontId="3" fillId="4" borderId="20" xfId="0" applyFont="1" applyFill="1" applyBorder="1" applyAlignment="1">
      <alignment horizontal="right"/>
    </xf>
    <xf numFmtId="0" fontId="60" fillId="4" borderId="10" xfId="0" applyFont="1" applyFill="1" applyBorder="1" applyAlignment="1">
      <alignment horizontal="center" vertical="top"/>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2" xfId="0" applyNumberFormat="1" applyFont="1" applyFill="1" applyBorder="1" applyAlignment="1">
      <alignment horizontal="right"/>
    </xf>
    <xf numFmtId="0" fontId="60" fillId="4" borderId="0" xfId="0" applyFont="1" applyFill="1" applyBorder="1" applyAlignment="1">
      <alignment horizontal="center"/>
    </xf>
    <xf numFmtId="0" fontId="60" fillId="4" borderId="13"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0" fillId="4" borderId="18"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0" fillId="4" borderId="0" xfId="0"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3" xfId="0" applyFont="1" applyFill="1" applyBorder="1" applyAlignment="1">
      <alignment horizontal="center" vertical="center"/>
    </xf>
    <xf numFmtId="0" fontId="93" fillId="4" borderId="27" xfId="0" applyFont="1" applyFill="1" applyBorder="1" applyAlignment="1">
      <alignment horizontal="center" vertical="center"/>
    </xf>
    <xf numFmtId="0" fontId="93" fillId="4" borderId="28" xfId="0" applyFont="1" applyFill="1" applyBorder="1" applyAlignment="1">
      <alignment horizontal="center" vertical="center"/>
    </xf>
    <xf numFmtId="165" fontId="92" fillId="4" borderId="13" xfId="0" applyNumberFormat="1" applyFont="1" applyFill="1" applyBorder="1" applyAlignment="1">
      <alignment horizontal="center" vertical="center" wrapText="1"/>
    </xf>
    <xf numFmtId="164" fontId="92" fillId="4" borderId="13" xfId="0" applyNumberFormat="1" applyFont="1" applyFill="1" applyBorder="1" applyAlignment="1">
      <alignment horizontal="center" vertical="center" wrapText="1"/>
    </xf>
    <xf numFmtId="0" fontId="0" fillId="4" borderId="0" xfId="0" applyFill="1" applyAlignment="1">
      <alignment vertical="center"/>
    </xf>
    <xf numFmtId="0" fontId="60" fillId="4" borderId="15" xfId="0" applyFont="1" applyFill="1" applyBorder="1" applyAlignment="1">
      <alignment horizontal="left" vertical="center" wrapText="1"/>
    </xf>
    <xf numFmtId="0" fontId="63" fillId="4" borderId="21" xfId="0" applyFont="1" applyFill="1" applyBorder="1" applyAlignment="1">
      <alignment horizontal="center" vertical="center"/>
    </xf>
    <xf numFmtId="0" fontId="60" fillId="4" borderId="21" xfId="0" applyFont="1" applyFill="1" applyBorder="1" applyAlignment="1">
      <alignment horizontal="center" vertical="center"/>
    </xf>
    <xf numFmtId="49" fontId="60"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protection locked="0" hidden="1"/>
    </xf>
    <xf numFmtId="0" fontId="60" fillId="4" borderId="15" xfId="0" applyFont="1" applyFill="1" applyBorder="1" applyAlignment="1">
      <alignment horizontal="left" wrapText="1"/>
    </xf>
    <xf numFmtId="49"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wrapText="1"/>
      <protection locked="0" hidden="1"/>
    </xf>
    <xf numFmtId="0" fontId="60" fillId="4" borderId="15" xfId="0" applyFont="1" applyFill="1" applyBorder="1" applyAlignment="1" applyProtection="1">
      <alignment vertical="center" wrapText="1"/>
      <protection locked="0" hidden="1"/>
    </xf>
    <xf numFmtId="0" fontId="60" fillId="4" borderId="15" xfId="0" applyFont="1" applyFill="1" applyBorder="1" applyAlignment="1">
      <alignment wrapText="1"/>
    </xf>
    <xf numFmtId="49" fontId="60" fillId="4" borderId="15" xfId="0" applyNumberFormat="1" applyFont="1" applyFill="1" applyBorder="1" applyAlignment="1" applyProtection="1">
      <alignment horizontal="left" vertical="center" wrapText="1"/>
      <protection locked="0" hidden="1"/>
    </xf>
    <xf numFmtId="0" fontId="60" fillId="4" borderId="15" xfId="0" applyNumberFormat="1" applyFont="1" applyFill="1" applyBorder="1" applyAlignment="1" applyProtection="1">
      <alignment horizontal="left" vertical="center" wrapText="1"/>
      <protection locked="0" hidden="1"/>
    </xf>
    <xf numFmtId="0" fontId="60" fillId="4" borderId="15" xfId="0" applyFont="1" applyFill="1" applyBorder="1" applyAlignment="1" applyProtection="1">
      <alignment horizontal="left" vertical="center" wrapText="1"/>
      <protection locked="0" hidden="1"/>
    </xf>
    <xf numFmtId="0" fontId="60" fillId="4" borderId="18" xfId="0" applyFont="1" applyFill="1" applyBorder="1" applyAlignment="1">
      <alignment wrapText="1"/>
    </xf>
    <xf numFmtId="0" fontId="60" fillId="4" borderId="15" xfId="0" applyNumberFormat="1" applyFont="1" applyFill="1" applyBorder="1" applyAlignment="1" applyProtection="1">
      <alignment wrapText="1"/>
      <protection locked="0" hidden="1"/>
    </xf>
    <xf numFmtId="0" fontId="60" fillId="4" borderId="15" xfId="0" applyFont="1" applyFill="1" applyBorder="1" applyAlignment="1" applyProtection="1">
      <alignment horizontal="left" wrapText="1"/>
      <protection locked="0" hidden="1"/>
    </xf>
    <xf numFmtId="0" fontId="60" fillId="4" borderId="15" xfId="0" applyNumberFormat="1" applyFont="1" applyFill="1" applyBorder="1" applyAlignment="1">
      <alignment horizontal="left" wrapText="1"/>
    </xf>
    <xf numFmtId="0" fontId="60" fillId="4" borderId="15" xfId="0" applyNumberFormat="1" applyFont="1" applyFill="1" applyBorder="1" applyAlignment="1" applyProtection="1">
      <alignment horizontal="left" wrapText="1"/>
      <protection locked="0" hidden="1"/>
    </xf>
    <xf numFmtId="0" fontId="57" fillId="4" borderId="15"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1" xfId="0" applyFont="1" applyFill="1" applyBorder="1" applyAlignment="1">
      <alignment horizontal="center" vertical="center"/>
    </xf>
    <xf numFmtId="0" fontId="9" fillId="4" borderId="32" xfId="0" applyFont="1" applyFill="1" applyBorder="1" applyAlignment="1">
      <alignment horizontal="right"/>
    </xf>
    <xf numFmtId="0" fontId="9" fillId="4" borderId="32"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5" xfId="0" applyFont="1" applyBorder="1" applyAlignment="1">
      <alignment horizontal="left" wrapText="1"/>
    </xf>
    <xf numFmtId="0" fontId="57" fillId="3" borderId="17"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5" xfId="0" applyFont="1" applyFill="1" applyBorder="1" applyAlignment="1">
      <alignment horizontal="left" wrapText="1"/>
    </xf>
    <xf numFmtId="0" fontId="57" fillId="3" borderId="1" xfId="0" applyFont="1" applyFill="1" applyBorder="1" applyAlignment="1">
      <alignment horizontal="center"/>
    </xf>
    <xf numFmtId="49" fontId="60" fillId="4" borderId="15"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5" xfId="0" applyFont="1" applyFill="1" applyBorder="1" applyAlignment="1">
      <alignment horizontal="left" wrapText="1"/>
    </xf>
    <xf numFmtId="165" fontId="63" fillId="4" borderId="10" xfId="0" applyNumberFormat="1" applyFont="1" applyFill="1" applyBorder="1" applyAlignment="1">
      <alignment horizontal="center" vertical="center" wrapText="1"/>
    </xf>
    <xf numFmtId="0" fontId="60" fillId="4" borderId="21" xfId="0" applyFont="1" applyFill="1" applyBorder="1" applyAlignment="1">
      <alignment horizontal="center"/>
    </xf>
    <xf numFmtId="0" fontId="63" fillId="4" borderId="33" xfId="0" applyFont="1" applyFill="1" applyBorder="1" applyAlignment="1">
      <alignment horizontal="left" wrapText="1"/>
    </xf>
    <xf numFmtId="0" fontId="63" fillId="4" borderId="15" xfId="0" applyFont="1" applyFill="1" applyBorder="1" applyAlignment="1">
      <alignment horizontal="left" wrapText="1"/>
    </xf>
    <xf numFmtId="0" fontId="60" fillId="4" borderId="15" xfId="0" applyNumberFormat="1" applyFont="1" applyFill="1" applyBorder="1" applyAlignment="1" applyProtection="1">
      <alignment wrapText="1"/>
    </xf>
    <xf numFmtId="0" fontId="60" fillId="4" borderId="25" xfId="0" applyFont="1" applyFill="1" applyBorder="1" applyAlignment="1">
      <alignment horizontal="left" wrapText="1"/>
    </xf>
    <xf numFmtId="49" fontId="60" fillId="0" borderId="6" xfId="0" applyNumberFormat="1" applyFont="1" applyBorder="1" applyAlignment="1">
      <alignment wrapText="1"/>
    </xf>
    <xf numFmtId="0" fontId="60" fillId="4" borderId="15" xfId="0" applyFont="1" applyFill="1" applyBorder="1" applyAlignment="1"/>
    <xf numFmtId="49" fontId="60" fillId="4" borderId="25" xfId="0" applyNumberFormat="1" applyFont="1" applyFill="1" applyBorder="1" applyAlignment="1" applyProtection="1">
      <alignment horizontal="left" wrapText="1"/>
      <protection locked="0" hidden="1"/>
    </xf>
    <xf numFmtId="0" fontId="60" fillId="4" borderId="14" xfId="2" applyFont="1" applyFill="1" applyBorder="1" applyAlignment="1" applyProtection="1">
      <alignment horizontal="left" wrapText="1"/>
      <protection locked="0" hidden="1"/>
    </xf>
    <xf numFmtId="0" fontId="60" fillId="0" borderId="18" xfId="0" applyFont="1" applyBorder="1"/>
    <xf numFmtId="0" fontId="60" fillId="4" borderId="25" xfId="0" applyNumberFormat="1"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3" fillId="4" borderId="21" xfId="0" applyFont="1" applyFill="1" applyBorder="1" applyAlignment="1">
      <alignment horizontal="left" wrapText="1"/>
    </xf>
    <xf numFmtId="0" fontId="4" fillId="4" borderId="22" xfId="0" applyFont="1" applyFill="1" applyBorder="1" applyAlignment="1">
      <alignment horizontal="center" vertical="center"/>
    </xf>
    <xf numFmtId="0" fontId="3" fillId="4" borderId="19" xfId="0" applyFont="1" applyFill="1" applyBorder="1" applyAlignment="1">
      <alignment horizontal="center"/>
    </xf>
    <xf numFmtId="0" fontId="3" fillId="4" borderId="22" xfId="0" applyFont="1" applyFill="1" applyBorder="1" applyAlignment="1">
      <alignment horizontal="center"/>
    </xf>
    <xf numFmtId="0" fontId="68" fillId="4" borderId="34" xfId="0" quotePrefix="1" applyFont="1" applyFill="1" applyBorder="1" applyAlignment="1">
      <alignment horizontal="right"/>
    </xf>
    <xf numFmtId="0" fontId="9" fillId="4" borderId="35" xfId="0" applyFont="1" applyFill="1" applyBorder="1" applyAlignment="1">
      <alignment horizontal="right"/>
    </xf>
    <xf numFmtId="0" fontId="68" fillId="4" borderId="17" xfId="0" quotePrefix="1" applyFont="1" applyFill="1" applyBorder="1" applyAlignment="1">
      <alignment horizontal="right"/>
    </xf>
    <xf numFmtId="0" fontId="4" fillId="4" borderId="23" xfId="0" applyFont="1" applyFill="1" applyBorder="1" applyAlignment="1">
      <alignment horizontal="right"/>
    </xf>
    <xf numFmtId="0" fontId="3" fillId="4" borderId="23" xfId="0" applyFont="1" applyFill="1" applyBorder="1" applyAlignment="1">
      <alignment horizontal="right"/>
    </xf>
    <xf numFmtId="0" fontId="60" fillId="4" borderId="17" xfId="0" quotePrefix="1" applyFont="1" applyFill="1" applyBorder="1" applyAlignment="1">
      <alignment horizontal="right"/>
    </xf>
    <xf numFmtId="0" fontId="57" fillId="4" borderId="17" xfId="0" quotePrefix="1" applyFont="1" applyFill="1" applyBorder="1" applyAlignment="1">
      <alignment horizontal="right" wrapText="1"/>
    </xf>
    <xf numFmtId="49" fontId="3" fillId="4" borderId="23" xfId="0" applyNumberFormat="1" applyFont="1" applyFill="1" applyBorder="1" applyAlignment="1">
      <alignment horizontal="right"/>
    </xf>
    <xf numFmtId="0" fontId="0" fillId="4" borderId="23" xfId="0" applyFont="1" applyFill="1" applyBorder="1" applyAlignment="1"/>
    <xf numFmtId="0" fontId="3" fillId="4" borderId="23" xfId="0" quotePrefix="1" applyFont="1" applyFill="1" applyBorder="1" applyAlignment="1">
      <alignment horizontal="right" wrapText="1"/>
    </xf>
    <xf numFmtId="0" fontId="5" fillId="4" borderId="23" xfId="0" applyFont="1" applyFill="1" applyBorder="1" applyAlignment="1">
      <alignment horizontal="right"/>
    </xf>
    <xf numFmtId="0" fontId="57" fillId="4" borderId="23" xfId="0" applyFont="1" applyFill="1" applyBorder="1" applyAlignment="1">
      <alignment horizontal="right"/>
    </xf>
    <xf numFmtId="49" fontId="3" fillId="4" borderId="23" xfId="0" applyNumberFormat="1" applyFont="1" applyFill="1" applyBorder="1" applyAlignment="1">
      <alignment horizontal="right" wrapText="1"/>
    </xf>
    <xf numFmtId="0" fontId="77" fillId="4" borderId="23" xfId="0" applyFont="1" applyFill="1" applyBorder="1" applyAlignment="1">
      <alignment horizontal="right"/>
    </xf>
    <xf numFmtId="0" fontId="60" fillId="4" borderId="23" xfId="0" quotePrefix="1" applyFont="1" applyFill="1" applyBorder="1" applyAlignment="1">
      <alignment horizontal="right"/>
    </xf>
    <xf numFmtId="0" fontId="5" fillId="4" borderId="23" xfId="0" applyFont="1" applyFill="1" applyBorder="1" applyAlignment="1"/>
    <xf numFmtId="0" fontId="4" fillId="4" borderId="23" xfId="0" quotePrefix="1" applyFont="1" applyFill="1" applyBorder="1" applyAlignment="1">
      <alignment horizontal="right"/>
    </xf>
    <xf numFmtId="0" fontId="57" fillId="4" borderId="23" xfId="0" quotePrefix="1" applyFont="1" applyFill="1" applyBorder="1" applyAlignment="1">
      <alignment horizontal="right"/>
    </xf>
    <xf numFmtId="49" fontId="3" fillId="3" borderId="23" xfId="0" applyNumberFormat="1" applyFont="1" applyFill="1" applyBorder="1" applyAlignment="1">
      <alignment horizontal="right"/>
    </xf>
    <xf numFmtId="49" fontId="60" fillId="4" borderId="17" xfId="0" applyNumberFormat="1" applyFont="1" applyFill="1" applyBorder="1" applyAlignment="1" applyProtection="1">
      <alignment horizontal="right" wrapText="1"/>
      <protection locked="0" hidden="1"/>
    </xf>
    <xf numFmtId="49" fontId="63" fillId="4" borderId="17" xfId="0" applyNumberFormat="1" applyFont="1" applyFill="1" applyBorder="1" applyAlignment="1" applyProtection="1">
      <alignment horizontal="right" wrapText="1"/>
      <protection locked="0" hidden="1"/>
    </xf>
    <xf numFmtId="0" fontId="3" fillId="4" borderId="23" xfId="0" applyFont="1" applyFill="1" applyBorder="1" applyAlignment="1"/>
    <xf numFmtId="0" fontId="64" fillId="4" borderId="23" xfId="0" applyFont="1" applyFill="1" applyBorder="1" applyAlignment="1">
      <alignment horizontal="right"/>
    </xf>
    <xf numFmtId="0" fontId="3" fillId="4" borderId="23" xfId="0" quotePrefix="1" applyFont="1" applyFill="1" applyBorder="1" applyAlignment="1"/>
    <xf numFmtId="0" fontId="0" fillId="4" borderId="23" xfId="0" applyFont="1" applyFill="1" applyBorder="1" applyAlignment="1">
      <alignment horizontal="right"/>
    </xf>
    <xf numFmtId="0" fontId="60" fillId="4" borderId="23" xfId="0" applyFont="1" applyFill="1" applyBorder="1" applyAlignment="1">
      <alignment horizontal="right"/>
    </xf>
    <xf numFmtId="0" fontId="57" fillId="4" borderId="17" xfId="0" applyFont="1" applyFill="1" applyBorder="1" applyAlignment="1">
      <alignment horizontal="right"/>
    </xf>
    <xf numFmtId="0" fontId="57" fillId="4" borderId="36" xfId="0" applyFont="1" applyFill="1" applyBorder="1" applyAlignment="1">
      <alignment horizontal="right"/>
    </xf>
    <xf numFmtId="0" fontId="3" fillId="4" borderId="37" xfId="0" quotePrefix="1" applyFont="1" applyFill="1" applyBorder="1" applyAlignment="1">
      <alignment horizontal="right"/>
    </xf>
    <xf numFmtId="0" fontId="3" fillId="4" borderId="19" xfId="0" applyFont="1" applyFill="1" applyBorder="1" applyAlignment="1">
      <alignment horizontal="right"/>
    </xf>
    <xf numFmtId="164" fontId="70" fillId="3" borderId="9" xfId="0" applyNumberFormat="1" applyFont="1" applyFill="1" applyBorder="1" applyAlignment="1">
      <alignment horizontal="right"/>
    </xf>
    <xf numFmtId="49" fontId="60" fillId="0" borderId="18" xfId="0" applyNumberFormat="1" applyFont="1" applyBorder="1" applyAlignment="1">
      <alignment wrapText="1"/>
    </xf>
    <xf numFmtId="0" fontId="60" fillId="4" borderId="18" xfId="0" applyFont="1" applyFill="1" applyBorder="1" applyAlignment="1"/>
    <xf numFmtId="49" fontId="60" fillId="4" borderId="14" xfId="0" applyNumberFormat="1" applyFont="1" applyFill="1" applyBorder="1" applyAlignment="1" applyProtection="1">
      <alignment wrapText="1"/>
      <protection locked="0" hidden="1"/>
    </xf>
    <xf numFmtId="0" fontId="60" fillId="4" borderId="30" xfId="0" applyFont="1" applyFill="1" applyBorder="1" applyAlignment="1">
      <alignment wrapText="1"/>
    </xf>
    <xf numFmtId="0" fontId="63" fillId="4" borderId="15" xfId="0" applyFont="1" applyFill="1" applyBorder="1" applyAlignment="1">
      <alignment wrapText="1"/>
    </xf>
    <xf numFmtId="0" fontId="60" fillId="5" borderId="15" xfId="0" applyFont="1" applyFill="1" applyBorder="1" applyAlignment="1">
      <alignment wrapText="1"/>
    </xf>
    <xf numFmtId="0" fontId="60" fillId="4" borderId="15" xfId="2" applyFont="1" applyFill="1" applyBorder="1" applyAlignment="1" applyProtection="1">
      <alignment wrapText="1"/>
      <protection locked="0" hidden="1"/>
    </xf>
    <xf numFmtId="0" fontId="60" fillId="4" borderId="25" xfId="0" applyFont="1" applyFill="1" applyBorder="1" applyAlignment="1">
      <alignment wrapText="1"/>
    </xf>
    <xf numFmtId="0" fontId="60" fillId="4" borderId="15" xfId="0" applyNumberFormat="1" applyFont="1" applyFill="1" applyBorder="1" applyAlignment="1">
      <alignment wrapText="1"/>
    </xf>
    <xf numFmtId="0" fontId="63" fillId="4" borderId="21" xfId="0" applyFont="1" applyFill="1" applyBorder="1" applyAlignment="1">
      <alignment wrapText="1"/>
    </xf>
    <xf numFmtId="0" fontId="3" fillId="4" borderId="17" xfId="0" quotePrefix="1" applyFont="1" applyFill="1" applyBorder="1" applyAlignment="1">
      <alignment horizontal="right"/>
    </xf>
    <xf numFmtId="0" fontId="3" fillId="4" borderId="17" xfId="0" quotePrefix="1" applyFont="1" applyFill="1" applyBorder="1" applyAlignment="1">
      <alignment horizontal="right" wrapText="1"/>
    </xf>
    <xf numFmtId="0" fontId="4" fillId="4" borderId="17" xfId="0" quotePrefix="1" applyFont="1" applyFill="1" applyBorder="1" applyAlignment="1">
      <alignment horizontal="right"/>
    </xf>
    <xf numFmtId="49" fontId="3" fillId="4" borderId="17" xfId="0" applyNumberFormat="1" applyFont="1" applyFill="1" applyBorder="1" applyAlignment="1">
      <alignment horizontal="right"/>
    </xf>
    <xf numFmtId="0" fontId="3" fillId="3" borderId="17" xfId="0" quotePrefix="1" applyFont="1" applyFill="1" applyBorder="1" applyAlignment="1">
      <alignment horizontal="right"/>
    </xf>
    <xf numFmtId="0" fontId="3" fillId="4" borderId="17" xfId="0" applyFont="1" applyFill="1" applyBorder="1" applyAlignment="1">
      <alignment horizontal="right"/>
    </xf>
    <xf numFmtId="0" fontId="57" fillId="4" borderId="36"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5" xfId="0" applyFont="1" applyFill="1" applyBorder="1" applyAlignment="1">
      <alignment wrapText="1"/>
    </xf>
    <xf numFmtId="0" fontId="57" fillId="0" borderId="17"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3" xfId="0" applyFont="1" applyFill="1" applyBorder="1" applyAlignment="1">
      <alignment horizontal="right"/>
    </xf>
    <xf numFmtId="0" fontId="60" fillId="0" borderId="15"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3" xfId="0" quotePrefix="1" applyFont="1" applyFill="1" applyBorder="1" applyAlignment="1">
      <alignment horizontal="right"/>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7"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61" fillId="4" borderId="0" xfId="0" applyFont="1" applyFill="1" applyAlignment="1"/>
    <xf numFmtId="0" fontId="61" fillId="4" borderId="0" xfId="0" applyFont="1" applyFill="1" applyAlignment="1">
      <alignment horizontal="right"/>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65" fontId="63" fillId="4" borderId="26" xfId="0" applyNumberFormat="1" applyFont="1" applyFill="1" applyBorder="1" applyAlignment="1">
      <alignment horizontal="center" vertical="center" wrapText="1"/>
    </xf>
    <xf numFmtId="0" fontId="67" fillId="4" borderId="0" xfId="0" applyFont="1" applyFill="1" applyAlignment="1">
      <alignment horizontal="center"/>
    </xf>
    <xf numFmtId="0" fontId="63" fillId="4" borderId="14" xfId="0" applyFont="1" applyFill="1" applyBorder="1" applyAlignment="1">
      <alignment wrapText="1"/>
    </xf>
    <xf numFmtId="0" fontId="9" fillId="4" borderId="19" xfId="0" applyFont="1" applyFill="1" applyBorder="1" applyAlignment="1">
      <alignment horizontal="center"/>
    </xf>
    <xf numFmtId="0" fontId="9" fillId="4" borderId="20" xfId="0" applyFont="1" applyFill="1" applyBorder="1" applyAlignment="1">
      <alignment horizontal="center"/>
    </xf>
    <xf numFmtId="0" fontId="9" fillId="4" borderId="22" xfId="0" applyFont="1" applyFill="1" applyBorder="1" applyAlignment="1">
      <alignment horizontal="center"/>
    </xf>
    <xf numFmtId="164" fontId="61" fillId="4" borderId="0" xfId="0" applyNumberFormat="1" applyFont="1" applyFill="1" applyBorder="1" applyAlignment="1">
      <alignment horizontal="right"/>
    </xf>
    <xf numFmtId="0" fontId="68" fillId="4" borderId="17"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3" xfId="0" quotePrefix="1" applyFont="1" applyFill="1" applyBorder="1" applyAlignment="1">
      <alignment horizontal="center" vertical="center"/>
    </xf>
    <xf numFmtId="0" fontId="77" fillId="3" borderId="17" xfId="0" quotePrefix="1" applyFont="1" applyFill="1" applyBorder="1" applyAlignment="1">
      <alignment horizontal="center" vertical="center"/>
    </xf>
    <xf numFmtId="0" fontId="77" fillId="3" borderId="23" xfId="0" quotePrefix="1" applyFont="1" applyFill="1" applyBorder="1" applyAlignment="1">
      <alignment horizontal="center" vertical="center"/>
    </xf>
    <xf numFmtId="0" fontId="64" fillId="3" borderId="17" xfId="0" quotePrefix="1" applyFont="1" applyFill="1" applyBorder="1" applyAlignment="1">
      <alignment horizontal="center" vertical="center"/>
    </xf>
    <xf numFmtId="0" fontId="83" fillId="4" borderId="17" xfId="0" quotePrefix="1" applyFont="1" applyFill="1" applyBorder="1" applyAlignment="1">
      <alignment horizontal="center" vertical="center"/>
    </xf>
    <xf numFmtId="0" fontId="83" fillId="4" borderId="23" xfId="0" quotePrefix="1" applyFont="1" applyFill="1" applyBorder="1" applyAlignment="1">
      <alignment horizontal="center" vertical="center"/>
    </xf>
    <xf numFmtId="0" fontId="77" fillId="4" borderId="17" xfId="0" quotePrefix="1" applyFont="1" applyFill="1" applyBorder="1" applyAlignment="1">
      <alignment horizontal="center" vertical="center"/>
    </xf>
    <xf numFmtId="0" fontId="77" fillId="4" borderId="23" xfId="0" quotePrefix="1" applyFont="1" applyFill="1" applyBorder="1" applyAlignment="1">
      <alignment horizontal="center" vertical="center"/>
    </xf>
    <xf numFmtId="0" fontId="64" fillId="4" borderId="17" xfId="0" quotePrefix="1" applyFont="1" applyFill="1" applyBorder="1" applyAlignment="1">
      <alignment horizontal="center"/>
    </xf>
    <xf numFmtId="0" fontId="77" fillId="4" borderId="23" xfId="0" quotePrefix="1" applyFont="1" applyFill="1" applyBorder="1" applyAlignment="1">
      <alignment horizontal="center"/>
    </xf>
    <xf numFmtId="0" fontId="64" fillId="3" borderId="23" xfId="0" applyFont="1" applyFill="1" applyBorder="1" applyAlignment="1">
      <alignment horizontal="center" vertical="center"/>
    </xf>
    <xf numFmtId="0" fontId="77" fillId="3" borderId="17" xfId="0" applyFont="1" applyFill="1" applyBorder="1" applyAlignment="1">
      <alignment horizontal="center" vertical="center"/>
    </xf>
    <xf numFmtId="0" fontId="76" fillId="3" borderId="17" xfId="0" quotePrefix="1" applyFont="1" applyFill="1" applyBorder="1" applyAlignment="1">
      <alignment horizontal="center" vertical="center"/>
    </xf>
    <xf numFmtId="0" fontId="83" fillId="3" borderId="17"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3" xfId="0" applyNumberFormat="1" applyFont="1" applyFill="1" applyBorder="1" applyAlignment="1" applyProtection="1">
      <alignment horizontal="center" wrapText="1"/>
      <protection locked="0" hidden="1"/>
    </xf>
    <xf numFmtId="0" fontId="61" fillId="4" borderId="0" xfId="0" applyFont="1" applyFill="1" applyAlignment="1"/>
    <xf numFmtId="164" fontId="78" fillId="3" borderId="16"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63" fillId="0" borderId="10" xfId="0" applyFont="1" applyBorder="1" applyAlignment="1">
      <alignment horizontal="center" vertical="center"/>
    </xf>
    <xf numFmtId="0" fontId="76" fillId="3" borderId="38" xfId="0" applyFont="1" applyFill="1" applyBorder="1" applyAlignment="1">
      <alignment horizontal="center" vertical="center" wrapText="1"/>
    </xf>
    <xf numFmtId="0" fontId="64" fillId="3" borderId="39"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9" xfId="0" applyFont="1" applyFill="1" applyBorder="1" applyAlignment="1">
      <alignment horizontal="center" vertical="center"/>
    </xf>
    <xf numFmtId="0" fontId="63" fillId="3" borderId="22"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6" xfId="0" applyFont="1" applyFill="1" applyBorder="1" applyAlignment="1">
      <alignment horizontal="left" vertical="center" wrapText="1"/>
    </xf>
    <xf numFmtId="0" fontId="83" fillId="3" borderId="36" xfId="0" quotePrefix="1" applyFont="1" applyFill="1" applyBorder="1" applyAlignment="1">
      <alignment horizontal="center" vertical="center"/>
    </xf>
    <xf numFmtId="0" fontId="77" fillId="3" borderId="37"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9" xfId="0" applyFont="1" applyFill="1" applyBorder="1" applyAlignment="1">
      <alignment horizontal="center" vertical="center"/>
    </xf>
    <xf numFmtId="0" fontId="77" fillId="3" borderId="22"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6"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3" fontId="63" fillId="0" borderId="10" xfId="0" applyNumberFormat="1" applyFont="1" applyBorder="1" applyAlignment="1">
      <alignment horizontal="center" vertical="center"/>
    </xf>
    <xf numFmtId="0" fontId="96" fillId="0" borderId="0" xfId="0" applyFont="1"/>
    <xf numFmtId="0" fontId="3" fillId="4" borderId="24" xfId="0" quotePrefix="1" applyFont="1" applyFill="1" applyBorder="1" applyAlignment="1">
      <alignment horizontal="right"/>
    </xf>
    <xf numFmtId="49" fontId="3" fillId="4" borderId="24" xfId="0" applyNumberFormat="1" applyFont="1" applyFill="1" applyBorder="1" applyAlignment="1">
      <alignment horizontal="right"/>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69"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5" xfId="0" applyFont="1" applyBorder="1" applyAlignment="1">
      <alignment horizontal="left" vertical="center" wrapText="1"/>
    </xf>
    <xf numFmtId="164" fontId="63" fillId="4" borderId="10" xfId="0" applyNumberFormat="1" applyFont="1" applyFill="1" applyBorder="1" applyAlignment="1">
      <alignment horizontal="right" wrapText="1"/>
    </xf>
    <xf numFmtId="164" fontId="71" fillId="4" borderId="40" xfId="0" applyNumberFormat="1" applyFont="1" applyFill="1" applyBorder="1" applyAlignment="1">
      <alignment horizontal="right"/>
    </xf>
    <xf numFmtId="164" fontId="71" fillId="4" borderId="24" xfId="0" applyNumberFormat="1" applyFont="1" applyFill="1" applyBorder="1" applyAlignment="1">
      <alignment horizontal="right"/>
    </xf>
    <xf numFmtId="164" fontId="70" fillId="4" borderId="24" xfId="0" applyNumberFormat="1" applyFont="1" applyFill="1" applyBorder="1" applyAlignment="1"/>
    <xf numFmtId="164" fontId="70" fillId="3" borderId="24" xfId="0" applyNumberFormat="1" applyFont="1" applyFill="1" applyBorder="1" applyAlignment="1">
      <alignment horizontal="right"/>
    </xf>
    <xf numFmtId="165" fontId="70" fillId="4" borderId="24" xfId="0" applyNumberFormat="1" applyFont="1" applyFill="1" applyBorder="1" applyAlignment="1"/>
    <xf numFmtId="164" fontId="70" fillId="0" borderId="24" xfId="0" applyNumberFormat="1" applyFont="1" applyFill="1" applyBorder="1" applyAlignment="1">
      <alignment horizontal="right"/>
    </xf>
    <xf numFmtId="164" fontId="71" fillId="4" borderId="41" xfId="0" applyNumberFormat="1" applyFont="1" applyFill="1" applyBorder="1" applyAlignment="1">
      <alignment horizontal="right"/>
    </xf>
    <xf numFmtId="164" fontId="90" fillId="4" borderId="24" xfId="0" applyNumberFormat="1" applyFont="1" applyFill="1" applyBorder="1" applyAlignment="1">
      <alignment horizontal="right"/>
    </xf>
    <xf numFmtId="164" fontId="90" fillId="4" borderId="24" xfId="0" quotePrefix="1" applyNumberFormat="1" applyFont="1" applyFill="1" applyBorder="1" applyAlignment="1">
      <alignment horizontal="right"/>
    </xf>
    <xf numFmtId="164" fontId="3" fillId="4" borderId="24" xfId="0" quotePrefix="1" applyNumberFormat="1" applyFont="1" applyFill="1" applyBorder="1" applyAlignment="1">
      <alignment horizontal="right"/>
    </xf>
    <xf numFmtId="164" fontId="70" fillId="4" borderId="42" xfId="0" applyNumberFormat="1" applyFont="1" applyFill="1" applyBorder="1" applyAlignment="1">
      <alignment horizontal="right"/>
    </xf>
    <xf numFmtId="0" fontId="68" fillId="4" borderId="34" xfId="0" applyFont="1" applyFill="1" applyBorder="1" applyAlignment="1">
      <alignment horizontal="right" wrapText="1"/>
    </xf>
    <xf numFmtId="0" fontId="4" fillId="4" borderId="32" xfId="0" quotePrefix="1" applyFont="1" applyFill="1" applyBorder="1" applyAlignment="1">
      <alignment horizontal="right"/>
    </xf>
    <xf numFmtId="0" fontId="4" fillId="4" borderId="32" xfId="0" applyFont="1" applyFill="1" applyBorder="1" applyAlignment="1">
      <alignment horizontal="center"/>
    </xf>
    <xf numFmtId="0" fontId="4" fillId="4" borderId="35" xfId="0" applyFont="1" applyFill="1" applyBorder="1" applyAlignment="1">
      <alignment horizontal="right"/>
    </xf>
    <xf numFmtId="0" fontId="96" fillId="0" borderId="1" xfId="0" applyFont="1" applyBorder="1" applyAlignment="1">
      <alignment horizontal="center"/>
    </xf>
    <xf numFmtId="0" fontId="4" fillId="4" borderId="8" xfId="0" quotePrefix="1" applyFont="1" applyFill="1" applyBorder="1" applyAlignment="1">
      <alignment horizontal="right"/>
    </xf>
    <xf numFmtId="0" fontId="3" fillId="4" borderId="9" xfId="0" quotePrefix="1" applyFont="1" applyFill="1" applyBorder="1" applyAlignment="1">
      <alignment horizontal="right"/>
    </xf>
    <xf numFmtId="0" fontId="4" fillId="4" borderId="9" xfId="0" applyFont="1" applyFill="1" applyBorder="1" applyAlignment="1">
      <alignment horizontal="right"/>
    </xf>
    <xf numFmtId="0" fontId="3" fillId="4" borderId="9" xfId="0" applyFont="1" applyFill="1" applyBorder="1" applyAlignment="1">
      <alignment horizontal="right"/>
    </xf>
    <xf numFmtId="0" fontId="5" fillId="4" borderId="9" xfId="0" applyFont="1" applyFill="1" applyBorder="1"/>
    <xf numFmtId="0" fontId="3" fillId="4" borderId="9" xfId="0" applyFont="1" applyFill="1" applyBorder="1"/>
    <xf numFmtId="0" fontId="0" fillId="4" borderId="9" xfId="0" applyFont="1" applyFill="1" applyBorder="1"/>
    <xf numFmtId="0" fontId="0" fillId="4" borderId="9" xfId="0" applyFont="1" applyFill="1" applyBorder="1" applyAlignment="1">
      <alignment horizontal="right"/>
    </xf>
    <xf numFmtId="0" fontId="60" fillId="4" borderId="9" xfId="0" applyFont="1" applyFill="1" applyBorder="1" applyAlignment="1">
      <alignment horizontal="right"/>
    </xf>
    <xf numFmtId="0" fontId="63" fillId="4" borderId="9" xfId="0" applyFont="1" applyFill="1" applyBorder="1" applyAlignment="1">
      <alignment horizontal="right"/>
    </xf>
    <xf numFmtId="49" fontId="60" fillId="4" borderId="9" xfId="0" applyNumberFormat="1" applyFont="1" applyFill="1" applyBorder="1" applyAlignment="1">
      <alignment horizontal="right"/>
    </xf>
    <xf numFmtId="0" fontId="4" fillId="4" borderId="9" xfId="0" quotePrefix="1" applyFont="1" applyFill="1" applyBorder="1" applyAlignment="1">
      <alignment horizontal="right"/>
    </xf>
    <xf numFmtId="0" fontId="3" fillId="4" borderId="9" xfId="0" quotePrefix="1" applyFont="1" applyFill="1" applyBorder="1" applyAlignment="1">
      <alignment horizontal="right" wrapText="1"/>
    </xf>
    <xf numFmtId="0" fontId="57" fillId="4" borderId="9" xfId="0" applyFont="1" applyFill="1" applyBorder="1" applyAlignment="1">
      <alignment horizontal="right"/>
    </xf>
    <xf numFmtId="0" fontId="64" fillId="4" borderId="9" xfId="0" applyFont="1" applyFill="1" applyBorder="1" applyAlignment="1">
      <alignment horizontal="right"/>
    </xf>
    <xf numFmtId="49" fontId="3" fillId="4" borderId="9" xfId="0" applyNumberFormat="1" applyFont="1" applyFill="1" applyBorder="1" applyAlignment="1">
      <alignment horizontal="right"/>
    </xf>
    <xf numFmtId="49" fontId="3" fillId="4" borderId="9" xfId="0" applyNumberFormat="1" applyFont="1" applyFill="1" applyBorder="1" applyAlignment="1">
      <alignment horizontal="right" wrapText="1"/>
    </xf>
    <xf numFmtId="0" fontId="60" fillId="4" borderId="9" xfId="0" quotePrefix="1" applyFont="1" applyFill="1" applyBorder="1" applyAlignment="1">
      <alignment horizontal="right"/>
    </xf>
    <xf numFmtId="49" fontId="3" fillId="3" borderId="9" xfId="0" applyNumberFormat="1" applyFont="1" applyFill="1" applyBorder="1" applyAlignment="1">
      <alignment horizontal="right"/>
    </xf>
    <xf numFmtId="0" fontId="57" fillId="4" borderId="9" xfId="0" quotePrefix="1" applyFont="1" applyFill="1" applyBorder="1" applyAlignment="1">
      <alignment horizontal="right"/>
    </xf>
    <xf numFmtId="0" fontId="3" fillId="4" borderId="16" xfId="0" quotePrefix="1" applyFont="1" applyFill="1" applyBorder="1" applyAlignment="1">
      <alignment horizontal="right"/>
    </xf>
    <xf numFmtId="0" fontId="3" fillId="4" borderId="9" xfId="0" quotePrefix="1" applyFont="1" applyFill="1" applyBorder="1" applyAlignment="1"/>
    <xf numFmtId="0" fontId="5" fillId="4" borderId="9" xfId="0" applyFont="1" applyFill="1" applyBorder="1" applyAlignment="1">
      <alignment horizontal="right"/>
    </xf>
    <xf numFmtId="0" fontId="0" fillId="4" borderId="12" xfId="0" applyFont="1" applyFill="1" applyBorder="1"/>
    <xf numFmtId="0" fontId="5" fillId="4" borderId="9" xfId="0" applyFont="1" applyFill="1" applyBorder="1" applyAlignment="1"/>
    <xf numFmtId="49" fontId="4" fillId="4" borderId="9" xfId="0" applyNumberFormat="1" applyFont="1" applyFill="1" applyBorder="1" applyAlignment="1">
      <alignment horizontal="right"/>
    </xf>
    <xf numFmtId="49" fontId="3" fillId="4" borderId="10" xfId="0" applyNumberFormat="1" applyFont="1" applyFill="1" applyBorder="1" applyAlignment="1">
      <alignment horizontal="right"/>
    </xf>
    <xf numFmtId="49" fontId="63" fillId="4" borderId="33" xfId="0" applyNumberFormat="1" applyFont="1" applyFill="1" applyBorder="1" applyAlignment="1" applyProtection="1">
      <alignment vertical="center" wrapText="1"/>
      <protection locked="0" hidden="1"/>
    </xf>
    <xf numFmtId="49" fontId="63" fillId="4" borderId="15" xfId="0" applyNumberFormat="1" applyFont="1" applyFill="1" applyBorder="1" applyAlignment="1" applyProtection="1">
      <alignment vertical="center" wrapText="1"/>
      <protection locked="0" hidden="1"/>
    </xf>
    <xf numFmtId="0" fontId="60" fillId="4" borderId="15" xfId="0" applyNumberFormat="1" applyFont="1" applyFill="1" applyBorder="1" applyAlignment="1" applyProtection="1">
      <alignment vertical="center" wrapText="1"/>
    </xf>
    <xf numFmtId="0" fontId="60" fillId="4" borderId="15" xfId="0" applyFont="1" applyFill="1" applyBorder="1"/>
    <xf numFmtId="0" fontId="96" fillId="4" borderId="15" xfId="0" applyFont="1" applyFill="1" applyBorder="1" applyAlignment="1">
      <alignment vertical="center" wrapText="1"/>
    </xf>
    <xf numFmtId="49" fontId="63" fillId="4" borderId="14" xfId="0" applyNumberFormat="1" applyFont="1" applyFill="1" applyBorder="1" applyAlignment="1" applyProtection="1">
      <alignment vertical="center" wrapText="1"/>
      <protection locked="0" hidden="1"/>
    </xf>
    <xf numFmtId="0" fontId="3" fillId="4" borderId="15" xfId="0" applyFont="1" applyFill="1" applyBorder="1" applyAlignment="1">
      <alignment vertical="center" wrapText="1"/>
    </xf>
    <xf numFmtId="49" fontId="63" fillId="4" borderId="15" xfId="0" applyNumberFormat="1" applyFont="1" applyFill="1" applyBorder="1" applyAlignment="1" applyProtection="1">
      <alignment horizontal="left" vertical="center" wrapText="1"/>
      <protection locked="0" hidden="1"/>
    </xf>
    <xf numFmtId="0" fontId="60" fillId="4" borderId="15" xfId="2" applyFont="1" applyFill="1" applyBorder="1" applyAlignment="1" applyProtection="1">
      <alignment horizontal="left" vertical="center" wrapText="1"/>
      <protection locked="0" hidden="1"/>
    </xf>
    <xf numFmtId="0" fontId="60" fillId="4" borderId="14" xfId="0" applyFont="1" applyFill="1" applyBorder="1" applyAlignment="1">
      <alignment horizontal="left" wrapText="1"/>
    </xf>
    <xf numFmtId="0" fontId="96" fillId="0" borderId="18" xfId="0" applyFont="1" applyBorder="1"/>
    <xf numFmtId="0" fontId="60" fillId="4" borderId="15" xfId="0" applyNumberFormat="1" applyFont="1" applyFill="1" applyBorder="1" applyAlignment="1">
      <alignment horizontal="left" vertical="center" wrapText="1"/>
    </xf>
    <xf numFmtId="49" fontId="63" fillId="4" borderId="15" xfId="0" applyNumberFormat="1" applyFont="1" applyFill="1" applyBorder="1" applyAlignment="1" applyProtection="1">
      <alignment horizontal="center" wrapText="1"/>
      <protection locked="0" hidden="1"/>
    </xf>
    <xf numFmtId="0" fontId="60" fillId="4" borderId="25" xfId="0" applyFont="1" applyFill="1" applyBorder="1" applyAlignment="1">
      <alignment horizontal="left" vertical="center" wrapText="1"/>
    </xf>
    <xf numFmtId="0" fontId="60" fillId="4" borderId="30" xfId="0" applyFont="1" applyFill="1" applyBorder="1" applyAlignment="1">
      <alignment horizontal="left" vertical="center" wrapText="1"/>
    </xf>
    <xf numFmtId="0" fontId="60" fillId="4" borderId="18" xfId="0" applyFont="1" applyFill="1" applyBorder="1"/>
    <xf numFmtId="0" fontId="57" fillId="4" borderId="15" xfId="0" applyFont="1" applyFill="1" applyBorder="1" applyAlignment="1">
      <alignment horizontal="left" vertical="center" wrapText="1"/>
    </xf>
    <xf numFmtId="0" fontId="57" fillId="4" borderId="15" xfId="0" applyNumberFormat="1" applyFont="1" applyFill="1" applyBorder="1" applyAlignment="1">
      <alignment vertical="center" wrapText="1"/>
    </xf>
    <xf numFmtId="0" fontId="57" fillId="4" borderId="15" xfId="0" applyFont="1" applyFill="1" applyBorder="1" applyAlignment="1">
      <alignment vertical="center" wrapText="1"/>
    </xf>
    <xf numFmtId="0" fontId="68" fillId="4" borderId="15" xfId="0" applyFont="1" applyFill="1" applyBorder="1" applyAlignment="1">
      <alignment vertical="center" wrapText="1"/>
    </xf>
    <xf numFmtId="0" fontId="60" fillId="4" borderId="18" xfId="0" applyFont="1" applyFill="1" applyBorder="1" applyAlignment="1">
      <alignment vertical="center"/>
    </xf>
    <xf numFmtId="0" fontId="63" fillId="4" borderId="15" xfId="0" applyFont="1" applyFill="1" applyBorder="1" applyAlignment="1">
      <alignment horizontal="left" vertical="center" wrapText="1"/>
    </xf>
    <xf numFmtId="0" fontId="63" fillId="4" borderId="21" xfId="0" applyFont="1" applyFill="1" applyBorder="1" applyAlignment="1">
      <alignment vertical="center"/>
    </xf>
    <xf numFmtId="0" fontId="4" fillId="4" borderId="8" xfId="0" applyFont="1" applyFill="1" applyBorder="1" applyAlignment="1">
      <alignment horizontal="center"/>
    </xf>
    <xf numFmtId="1" fontId="60"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0"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57" fillId="4" borderId="9" xfId="0" applyNumberFormat="1" applyFont="1" applyFill="1" applyBorder="1" applyAlignment="1">
      <alignment horizontal="center" wrapText="1"/>
    </xf>
    <xf numFmtId="49" fontId="63" fillId="4" borderId="9" xfId="0" applyNumberFormat="1" applyFont="1" applyFill="1" applyBorder="1" applyAlignment="1">
      <alignment horizontal="center" wrapText="1"/>
    </xf>
    <xf numFmtId="49" fontId="60" fillId="4" borderId="9" xfId="0" applyNumberFormat="1" applyFont="1" applyFill="1" applyBorder="1" applyAlignment="1">
      <alignment horizontal="center"/>
    </xf>
    <xf numFmtId="49" fontId="60" fillId="4" borderId="16" xfId="0" applyNumberFormat="1" applyFont="1" applyFill="1" applyBorder="1" applyAlignment="1" applyProtection="1">
      <alignment horizontal="center" wrapText="1"/>
      <protection locked="0" hidden="1"/>
    </xf>
    <xf numFmtId="0" fontId="96" fillId="0" borderId="9" xfId="0" applyFont="1" applyBorder="1" applyAlignment="1">
      <alignment horizontal="center"/>
    </xf>
    <xf numFmtId="0" fontId="57" fillId="4" borderId="9" xfId="0" applyFont="1" applyFill="1" applyBorder="1" applyAlignment="1">
      <alignment horizontal="center"/>
    </xf>
    <xf numFmtId="0" fontId="4" fillId="4" borderId="9" xfId="0" applyFont="1" applyFill="1" applyBorder="1" applyAlignment="1">
      <alignment horizontal="center"/>
    </xf>
    <xf numFmtId="49" fontId="57" fillId="4" borderId="10" xfId="0" applyNumberFormat="1" applyFont="1" applyFill="1" applyBorder="1" applyAlignment="1">
      <alignment horizontal="center" wrapText="1"/>
    </xf>
    <xf numFmtId="0" fontId="83" fillId="4" borderId="1" xfId="0" quotePrefix="1" applyFont="1" applyFill="1" applyBorder="1" applyAlignment="1">
      <alignment horizontal="center"/>
    </xf>
    <xf numFmtId="0" fontId="77" fillId="4" borderId="1" xfId="0" quotePrefix="1" applyFont="1" applyFill="1" applyBorder="1" applyAlignment="1">
      <alignment horizontal="center"/>
    </xf>
    <xf numFmtId="164" fontId="78" fillId="3" borderId="1" xfId="0" applyNumberFormat="1" applyFont="1" applyFill="1" applyBorder="1" applyAlignment="1">
      <alignment horizontal="right" vertical="center"/>
    </xf>
    <xf numFmtId="164" fontId="78" fillId="0" borderId="1" xfId="0" applyNumberFormat="1" applyFont="1" applyBorder="1" applyAlignment="1">
      <alignment vertical="center"/>
    </xf>
    <xf numFmtId="0" fontId="64" fillId="3" borderId="1" xfId="0" quotePrefix="1" applyFont="1" applyFill="1" applyBorder="1" applyAlignment="1">
      <alignment horizontal="center" vertical="center"/>
    </xf>
    <xf numFmtId="0" fontId="64" fillId="3" borderId="1" xfId="0" applyFont="1" applyFill="1" applyBorder="1" applyAlignment="1">
      <alignment horizontal="center" vertical="center"/>
    </xf>
    <xf numFmtId="164" fontId="66" fillId="3" borderId="1" xfId="0" applyNumberFormat="1" applyFont="1" applyFill="1" applyBorder="1" applyAlignment="1">
      <alignment horizontal="right" vertical="center"/>
    </xf>
    <xf numFmtId="0" fontId="78" fillId="4" borderId="1" xfId="0" applyFont="1" applyFill="1" applyBorder="1" applyAlignment="1">
      <alignment horizontal="left" vertical="top" wrapText="1"/>
    </xf>
    <xf numFmtId="0" fontId="64" fillId="3" borderId="1" xfId="0" applyFont="1" applyFill="1" applyBorder="1" applyAlignment="1">
      <alignment horizontal="left" vertical="center" wrapText="1"/>
    </xf>
    <xf numFmtId="164" fontId="60" fillId="4" borderId="1" xfId="0" applyNumberFormat="1" applyFont="1" applyFill="1" applyBorder="1" applyAlignment="1">
      <alignment horizontal="right"/>
    </xf>
    <xf numFmtId="0" fontId="60" fillId="0" borderId="1" xfId="0" applyFont="1" applyBorder="1" applyAlignment="1">
      <alignment horizontal="center"/>
    </xf>
    <xf numFmtId="0" fontId="60" fillId="4" borderId="6" xfId="0" applyFont="1" applyFill="1" applyBorder="1" applyAlignment="1">
      <alignment horizontal="left" vertical="center" wrapText="1"/>
    </xf>
    <xf numFmtId="164" fontId="72" fillId="4" borderId="0" xfId="0" applyNumberFormat="1" applyFont="1" applyFill="1"/>
    <xf numFmtId="164" fontId="97" fillId="4" borderId="0" xfId="0" applyNumberFormat="1" applyFont="1" applyFill="1" applyAlignment="1">
      <alignment vertical="center"/>
    </xf>
    <xf numFmtId="0" fontId="60" fillId="4" borderId="6" xfId="0" applyFont="1" applyFill="1" applyBorder="1" applyAlignment="1">
      <alignment vertical="center" wrapText="1"/>
    </xf>
    <xf numFmtId="0" fontId="60" fillId="0" borderId="0" xfId="0" applyFont="1"/>
    <xf numFmtId="0" fontId="60" fillId="0" borderId="15" xfId="0" applyFont="1" applyFill="1" applyBorder="1" applyAlignment="1">
      <alignment vertical="center" wrapText="1"/>
    </xf>
    <xf numFmtId="0" fontId="3" fillId="4" borderId="15" xfId="0" quotePrefix="1" applyFont="1" applyFill="1" applyBorder="1" applyAlignment="1">
      <alignment horizontal="right" wrapText="1"/>
    </xf>
    <xf numFmtId="49" fontId="3" fillId="3" borderId="15" xfId="0" applyNumberFormat="1" applyFont="1" applyFill="1" applyBorder="1" applyAlignment="1">
      <alignment horizontal="right"/>
    </xf>
    <xf numFmtId="49" fontId="3" fillId="4" borderId="15" xfId="0" applyNumberFormat="1" applyFont="1" applyFill="1" applyBorder="1" applyAlignment="1">
      <alignment horizontal="right"/>
    </xf>
    <xf numFmtId="164" fontId="60" fillId="4" borderId="8" xfId="0" applyNumberFormat="1" applyFont="1" applyFill="1" applyBorder="1" applyAlignment="1">
      <alignment horizontal="right"/>
    </xf>
    <xf numFmtId="0" fontId="96" fillId="4" borderId="43" xfId="0" applyFont="1" applyFill="1" applyBorder="1" applyAlignment="1">
      <alignment vertical="center" wrapText="1"/>
    </xf>
    <xf numFmtId="0" fontId="3" fillId="4" borderId="9" xfId="0" applyFont="1" applyFill="1" applyBorder="1" applyAlignment="1">
      <alignment horizontal="left" vertical="center" wrapText="1"/>
    </xf>
    <xf numFmtId="0" fontId="3" fillId="3" borderId="6" xfId="0" quotePrefix="1" applyFont="1" applyFill="1" applyBorder="1" applyAlignment="1">
      <alignment horizontal="right"/>
    </xf>
    <xf numFmtId="49" fontId="3" fillId="3" borderId="24" xfId="0" applyNumberFormat="1" applyFont="1" applyFill="1" applyBorder="1" applyAlignment="1">
      <alignment horizontal="right"/>
    </xf>
    <xf numFmtId="0" fontId="3" fillId="4" borderId="15" xfId="0" applyFont="1" applyFill="1" applyBorder="1" applyAlignment="1">
      <alignment horizontal="left" vertical="center" wrapText="1"/>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9" fillId="4" borderId="0" xfId="0" applyFont="1" applyFill="1" applyAlignment="1">
      <alignment horizontal="right"/>
    </xf>
    <xf numFmtId="0" fontId="69" fillId="4" borderId="0" xfId="0" applyFont="1" applyFill="1" applyAlignment="1"/>
    <xf numFmtId="0" fontId="94" fillId="4" borderId="0" xfId="0" applyFont="1" applyFill="1" applyAlignment="1">
      <alignment horizontal="center" vertical="center" wrapText="1"/>
    </xf>
    <xf numFmtId="0" fontId="95" fillId="4" borderId="0" xfId="0" applyFont="1" applyFill="1" applyAlignment="1">
      <alignment vertical="center"/>
    </xf>
    <xf numFmtId="0" fontId="0" fillId="0" borderId="0" xfId="0" applyAlignment="1">
      <alignment vertical="center"/>
    </xf>
    <xf numFmtId="4" fontId="66" fillId="3" borderId="8" xfId="0" applyNumberFormat="1" applyFont="1" applyFill="1" applyBorder="1" applyAlignment="1">
      <alignment horizontal="center" vertical="center" wrapText="1"/>
    </xf>
    <xf numFmtId="4" fontId="78" fillId="0" borderId="16"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6"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0" fontId="64" fillId="3" borderId="35" xfId="0" applyFont="1" applyFill="1" applyBorder="1" applyAlignment="1">
      <alignment horizontal="center" vertical="center"/>
    </xf>
    <xf numFmtId="0" fontId="0" fillId="0" borderId="37"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75" fillId="4" borderId="0" xfId="0" applyFont="1" applyFill="1" applyAlignment="1">
      <alignment horizontal="center" wrapText="1"/>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552</xdr:row>
      <xdr:rowOff>0</xdr:rowOff>
    </xdr:from>
    <xdr:to>
      <xdr:col>23</xdr:col>
      <xdr:colOff>304800</xdr:colOff>
      <xdr:row>553</xdr:row>
      <xdr:rowOff>94593</xdr:rowOff>
    </xdr:to>
    <xdr:sp macro="" textlink="">
      <xdr:nvSpPr>
        <xdr:cNvPr id="27649" name="AutoShape 1" descr="https://nsi.reb.mosreg.ru/application/resources/retools/img/lock-grayed-out.png"/>
        <xdr:cNvSpPr>
          <a:spLocks noChangeAspect="1" noChangeArrowheads="1"/>
        </xdr:cNvSpPr>
      </xdr:nvSpPr>
      <xdr:spPr bwMode="auto">
        <a:xfrm>
          <a:off x="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552</xdr:row>
      <xdr:rowOff>0</xdr:rowOff>
    </xdr:from>
    <xdr:to>
      <xdr:col>24</xdr:col>
      <xdr:colOff>304800</xdr:colOff>
      <xdr:row>553</xdr:row>
      <xdr:rowOff>94593</xdr:rowOff>
    </xdr:to>
    <xdr:sp macro="" textlink="">
      <xdr:nvSpPr>
        <xdr:cNvPr id="27650" name="AutoShape 2" descr="https://nsi.reb.mosreg.ru/application/resources/core/style/img/protocol/IGNORED.png"/>
        <xdr:cNvSpPr>
          <a:spLocks noChangeAspect="1" noChangeArrowheads="1"/>
        </xdr:cNvSpPr>
      </xdr:nvSpPr>
      <xdr:spPr bwMode="auto">
        <a:xfrm>
          <a:off x="6400800" y="1799615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36</xdr:col>
      <xdr:colOff>563880</xdr:colOff>
      <xdr:row>552</xdr:row>
      <xdr:rowOff>0</xdr:rowOff>
    </xdr:from>
    <xdr:to>
      <xdr:col>37</xdr:col>
      <xdr:colOff>228600</xdr:colOff>
      <xdr:row>553</xdr:row>
      <xdr:rowOff>92578</xdr:rowOff>
    </xdr:to>
    <xdr:sp macro="" textlink="">
      <xdr:nvSpPr>
        <xdr:cNvPr id="27662" name="AutoShape 14" descr="Выбор даты"/>
        <xdr:cNvSpPr>
          <a:spLocks noChangeAspect="1" noChangeArrowheads="1"/>
        </xdr:cNvSpPr>
      </xdr:nvSpPr>
      <xdr:spPr bwMode="auto">
        <a:xfrm>
          <a:off x="1696212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37</xdr:col>
      <xdr:colOff>563880</xdr:colOff>
      <xdr:row>552</xdr:row>
      <xdr:rowOff>0</xdr:rowOff>
    </xdr:from>
    <xdr:to>
      <xdr:col>38</xdr:col>
      <xdr:colOff>228600</xdr:colOff>
      <xdr:row>553</xdr:row>
      <xdr:rowOff>92578</xdr:rowOff>
    </xdr:to>
    <xdr:sp macro="" textlink="">
      <xdr:nvSpPr>
        <xdr:cNvPr id="27664" name="AutoShape 16" descr="Выбор даты"/>
        <xdr:cNvSpPr>
          <a:spLocks noChangeAspect="1" noChangeArrowheads="1"/>
        </xdr:cNvSpPr>
      </xdr:nvSpPr>
      <xdr:spPr bwMode="auto">
        <a:xfrm>
          <a:off x="176022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42</xdr:col>
      <xdr:colOff>563880</xdr:colOff>
      <xdr:row>552</xdr:row>
      <xdr:rowOff>0</xdr:rowOff>
    </xdr:from>
    <xdr:to>
      <xdr:col>43</xdr:col>
      <xdr:colOff>228600</xdr:colOff>
      <xdr:row>553</xdr:row>
      <xdr:rowOff>92578</xdr:rowOff>
    </xdr:to>
    <xdr:sp macro="" textlink="">
      <xdr:nvSpPr>
        <xdr:cNvPr id="27666" name="AutoShape 18" descr="Выбор даты"/>
        <xdr:cNvSpPr>
          <a:spLocks noChangeAspect="1" noChangeArrowheads="1"/>
        </xdr:cNvSpPr>
      </xdr:nvSpPr>
      <xdr:spPr bwMode="auto">
        <a:xfrm>
          <a:off x="2080260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44</xdr:col>
      <xdr:colOff>563880</xdr:colOff>
      <xdr:row>552</xdr:row>
      <xdr:rowOff>0</xdr:rowOff>
    </xdr:from>
    <xdr:to>
      <xdr:col>45</xdr:col>
      <xdr:colOff>228600</xdr:colOff>
      <xdr:row>553</xdr:row>
      <xdr:rowOff>92578</xdr:rowOff>
    </xdr:to>
    <xdr:sp macro="" textlink="">
      <xdr:nvSpPr>
        <xdr:cNvPr id="27669" name="AutoShape 21" descr="Выбор даты"/>
        <xdr:cNvSpPr>
          <a:spLocks noChangeAspect="1" noChangeArrowheads="1"/>
        </xdr:cNvSpPr>
      </xdr:nvSpPr>
      <xdr:spPr bwMode="auto">
        <a:xfrm>
          <a:off x="22082760" y="181127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53</xdr:col>
      <xdr:colOff>563880</xdr:colOff>
      <xdr:row>552</xdr:row>
      <xdr:rowOff>0</xdr:rowOff>
    </xdr:from>
    <xdr:to>
      <xdr:col>54</xdr:col>
      <xdr:colOff>228600</xdr:colOff>
      <xdr:row>553</xdr:row>
      <xdr:rowOff>91440</xdr:rowOff>
    </xdr:to>
    <xdr:sp macro="" textlink="">
      <xdr:nvSpPr>
        <xdr:cNvPr id="27678" name="AutoShape 30" descr="Выбор даты"/>
        <xdr:cNvSpPr>
          <a:spLocks noChangeAspect="1" noChangeArrowheads="1"/>
        </xdr:cNvSpPr>
      </xdr:nvSpPr>
      <xdr:spPr bwMode="auto">
        <a:xfrm>
          <a:off x="278434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54</xdr:col>
      <xdr:colOff>563880</xdr:colOff>
      <xdr:row>552</xdr:row>
      <xdr:rowOff>0</xdr:rowOff>
    </xdr:from>
    <xdr:to>
      <xdr:col>55</xdr:col>
      <xdr:colOff>228600</xdr:colOff>
      <xdr:row>553</xdr:row>
      <xdr:rowOff>91440</xdr:rowOff>
    </xdr:to>
    <xdr:sp macro="" textlink="">
      <xdr:nvSpPr>
        <xdr:cNvPr id="27680" name="AutoShape 32" descr="Выбор даты"/>
        <xdr:cNvSpPr>
          <a:spLocks noChangeAspect="1" noChangeArrowheads="1"/>
        </xdr:cNvSpPr>
      </xdr:nvSpPr>
      <xdr:spPr bwMode="auto">
        <a:xfrm>
          <a:off x="2848356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63</xdr:col>
      <xdr:colOff>563880</xdr:colOff>
      <xdr:row>552</xdr:row>
      <xdr:rowOff>0</xdr:rowOff>
    </xdr:from>
    <xdr:to>
      <xdr:col>64</xdr:col>
      <xdr:colOff>228600</xdr:colOff>
      <xdr:row>553</xdr:row>
      <xdr:rowOff>91440</xdr:rowOff>
    </xdr:to>
    <xdr:sp macro="" textlink="">
      <xdr:nvSpPr>
        <xdr:cNvPr id="27689" name="AutoShape 41" descr="Выбор даты"/>
        <xdr:cNvSpPr>
          <a:spLocks noChangeAspect="1" noChangeArrowheads="1"/>
        </xdr:cNvSpPr>
      </xdr:nvSpPr>
      <xdr:spPr bwMode="auto">
        <a:xfrm>
          <a:off x="34244280" y="180914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28515625" defaultRowHeight="15.75" x14ac:dyDescent="0.25"/>
  <cols>
    <col min="1" max="1" width="17.42578125" style="29" hidden="1" customWidth="1"/>
    <col min="2" max="2" width="65.28515625" style="15" customWidth="1"/>
    <col min="3" max="3" width="5.42578125" style="19" customWidth="1"/>
    <col min="4" max="4" width="4.5703125" style="19" customWidth="1"/>
    <col min="5" max="5" width="4.7109375" style="19" customWidth="1"/>
    <col min="6" max="6" width="10.42578125" style="19" customWidth="1"/>
    <col min="7" max="7" width="5.28515625" style="19" customWidth="1"/>
    <col min="8" max="8" width="14" style="82" customWidth="1"/>
    <col min="9" max="9" width="12.42578125" style="14" hidden="1" customWidth="1"/>
    <col min="10" max="10" width="13.28515625" style="14" customWidth="1"/>
    <col min="11" max="11" width="11.7109375" style="14" customWidth="1"/>
    <col min="12" max="16384" width="9.28515625" style="14"/>
  </cols>
  <sheetData>
    <row r="1" spans="1:8" hidden="1" x14ac:dyDescent="0.25">
      <c r="B1" s="59" t="s">
        <v>738</v>
      </c>
      <c r="C1" s="55"/>
    </row>
    <row r="2" spans="1:8" hidden="1" x14ac:dyDescent="0.25">
      <c r="B2" s="59" t="s">
        <v>149</v>
      </c>
      <c r="C2" s="55"/>
    </row>
    <row r="3" spans="1:8" hidden="1" x14ac:dyDescent="0.25">
      <c r="B3" s="59" t="s">
        <v>1395</v>
      </c>
      <c r="C3" s="9"/>
    </row>
    <row r="4" spans="1:8" hidden="1" x14ac:dyDescent="0.25">
      <c r="B4" s="59" t="s">
        <v>1272</v>
      </c>
      <c r="C4" s="9"/>
    </row>
    <row r="5" spans="1:8" hidden="1" x14ac:dyDescent="0.25">
      <c r="B5" s="59"/>
      <c r="C5" s="9"/>
    </row>
    <row r="6" spans="1:8" s="1" customFormat="1" x14ac:dyDescent="0.25">
      <c r="A6" s="29"/>
      <c r="B6" s="59" t="s">
        <v>1499</v>
      </c>
      <c r="C6" s="55"/>
      <c r="D6" s="19"/>
      <c r="E6" s="19"/>
      <c r="F6" s="19"/>
      <c r="G6" s="19"/>
      <c r="H6" s="82"/>
    </row>
    <row r="7" spans="1:8" s="1" customFormat="1" x14ac:dyDescent="0.25">
      <c r="A7" s="29"/>
      <c r="B7" s="59" t="s">
        <v>1353</v>
      </c>
      <c r="C7" s="55"/>
      <c r="D7" s="19"/>
      <c r="E7" s="19"/>
      <c r="F7" s="19"/>
      <c r="G7" s="19"/>
      <c r="H7" s="82"/>
    </row>
    <row r="8" spans="1:8" s="1" customFormat="1" x14ac:dyDescent="0.25">
      <c r="A8" s="29"/>
      <c r="B8" s="59" t="s">
        <v>439</v>
      </c>
      <c r="C8" s="55"/>
      <c r="D8" s="19"/>
      <c r="E8" s="19"/>
      <c r="F8" s="19"/>
      <c r="G8" s="19"/>
      <c r="H8" s="82"/>
    </row>
    <row r="9" spans="1:8" s="1" customFormat="1" x14ac:dyDescent="0.25">
      <c r="A9" s="29"/>
      <c r="B9" s="59"/>
      <c r="C9" s="19"/>
      <c r="D9" s="18"/>
      <c r="E9" s="18"/>
      <c r="F9" s="18"/>
      <c r="G9" s="18"/>
      <c r="H9" s="83"/>
    </row>
    <row r="10" spans="1:8" s="1" customFormat="1" x14ac:dyDescent="0.25">
      <c r="A10" s="29"/>
      <c r="B10" s="59"/>
      <c r="C10" s="19"/>
      <c r="D10" s="18"/>
      <c r="E10" s="18"/>
      <c r="F10" s="18"/>
      <c r="G10" s="18"/>
      <c r="H10" s="83"/>
    </row>
    <row r="11" spans="1:8" s="60" customFormat="1" x14ac:dyDescent="0.25">
      <c r="A11" s="29"/>
      <c r="B11" s="839" t="s">
        <v>255</v>
      </c>
      <c r="C11" s="839"/>
      <c r="D11" s="839"/>
      <c r="E11" s="839"/>
      <c r="F11" s="839"/>
      <c r="G11" s="839"/>
      <c r="H11" s="839"/>
    </row>
    <row r="12" spans="1:8" x14ac:dyDescent="0.25">
      <c r="B12" s="839" t="s">
        <v>440</v>
      </c>
      <c r="C12" s="839"/>
      <c r="D12" s="839"/>
      <c r="E12" s="839"/>
      <c r="F12" s="839"/>
      <c r="G12" s="839"/>
      <c r="H12" s="839"/>
    </row>
    <row r="13" spans="1:8" x14ac:dyDescent="0.25">
      <c r="B13" s="61"/>
      <c r="C13" s="62"/>
      <c r="D13" s="62"/>
      <c r="E13" s="62"/>
      <c r="F13" s="62"/>
      <c r="G13" s="62"/>
      <c r="H13" s="84"/>
    </row>
    <row r="14" spans="1:8" ht="15" customHeight="1" x14ac:dyDescent="0.25">
      <c r="B14" s="63"/>
      <c r="D14" s="64"/>
      <c r="E14" s="64"/>
      <c r="F14" s="64"/>
      <c r="H14" s="219" t="s">
        <v>818</v>
      </c>
    </row>
    <row r="15" spans="1:8" ht="17.25" customHeight="1" x14ac:dyDescent="0.25">
      <c r="B15" s="16" t="s">
        <v>1600</v>
      </c>
      <c r="C15" s="17" t="s">
        <v>390</v>
      </c>
      <c r="D15" s="17" t="s">
        <v>37</v>
      </c>
      <c r="E15" s="17" t="s">
        <v>391</v>
      </c>
      <c r="F15" s="17" t="s">
        <v>38</v>
      </c>
      <c r="G15" s="17" t="s">
        <v>1392</v>
      </c>
      <c r="H15" s="220" t="s">
        <v>792</v>
      </c>
    </row>
    <row r="16" spans="1:8" ht="7.5" customHeight="1" x14ac:dyDescent="0.25">
      <c r="B16" s="30"/>
      <c r="C16" s="31"/>
      <c r="D16" s="31"/>
      <c r="E16" s="31"/>
      <c r="F16" s="31"/>
      <c r="G16" s="31"/>
      <c r="H16" s="85"/>
    </row>
    <row r="17" spans="1:9" s="2" customFormat="1" x14ac:dyDescent="0.25">
      <c r="A17" s="33">
        <v>0</v>
      </c>
      <c r="B17" s="30" t="s">
        <v>1393</v>
      </c>
      <c r="C17" s="34" t="s">
        <v>1394</v>
      </c>
      <c r="D17" s="31"/>
      <c r="E17" s="31"/>
      <c r="F17" s="31"/>
      <c r="G17" s="31"/>
      <c r="H17" s="183">
        <f>H18+H42+H47+H52</f>
        <v>926254</v>
      </c>
      <c r="I17" s="13"/>
    </row>
    <row r="18" spans="1:9" s="36" customFormat="1" ht="16.5" customHeight="1" x14ac:dyDescent="0.25">
      <c r="A18" s="184">
        <v>1</v>
      </c>
      <c r="B18" s="35" t="s">
        <v>482</v>
      </c>
      <c r="C18" s="12" t="s">
        <v>1394</v>
      </c>
      <c r="D18" s="12" t="s">
        <v>566</v>
      </c>
      <c r="E18" s="10"/>
      <c r="F18" s="10"/>
      <c r="G18" s="10"/>
      <c r="H18" s="185">
        <f>H19+H34</f>
        <v>818155</v>
      </c>
    </row>
    <row r="19" spans="1:9" s="36" customFormat="1" ht="47.25" x14ac:dyDescent="0.25">
      <c r="A19" s="184">
        <v>103</v>
      </c>
      <c r="B19" s="37" t="s">
        <v>560</v>
      </c>
      <c r="C19" s="12" t="s">
        <v>1394</v>
      </c>
      <c r="D19" s="12" t="s">
        <v>566</v>
      </c>
      <c r="E19" s="12" t="s">
        <v>193</v>
      </c>
      <c r="F19" s="10"/>
      <c r="G19" s="10"/>
      <c r="H19" s="185">
        <f>H20+H27</f>
        <v>806070</v>
      </c>
    </row>
    <row r="20" spans="1:9" s="36" customFormat="1" ht="47.25" x14ac:dyDescent="0.25">
      <c r="A20" s="186">
        <v>103002</v>
      </c>
      <c r="B20" s="26" t="s">
        <v>1657</v>
      </c>
      <c r="C20" s="12" t="s">
        <v>1394</v>
      </c>
      <c r="D20" s="12" t="s">
        <v>566</v>
      </c>
      <c r="E20" s="12" t="s">
        <v>193</v>
      </c>
      <c r="F20" s="12" t="s">
        <v>200</v>
      </c>
      <c r="G20" s="10"/>
      <c r="H20" s="185">
        <f>H21+H23+H25</f>
        <v>797591</v>
      </c>
    </row>
    <row r="21" spans="1:9" s="36" customFormat="1" x14ac:dyDescent="0.25">
      <c r="A21" s="27">
        <v>10300204</v>
      </c>
      <c r="B21" s="26" t="s">
        <v>638</v>
      </c>
      <c r="C21" s="12" t="s">
        <v>1394</v>
      </c>
      <c r="D21" s="12" t="s">
        <v>566</v>
      </c>
      <c r="E21" s="12" t="s">
        <v>193</v>
      </c>
      <c r="F21" s="12" t="s">
        <v>797</v>
      </c>
      <c r="G21" s="12"/>
      <c r="H21" s="185">
        <f>H22</f>
        <v>709475</v>
      </c>
    </row>
    <row r="22" spans="1:9" x14ac:dyDescent="0.25">
      <c r="A22" s="27">
        <v>10300204012</v>
      </c>
      <c r="B22" s="26" t="s">
        <v>1012</v>
      </c>
      <c r="C22" s="12" t="s">
        <v>1394</v>
      </c>
      <c r="D22" s="12" t="s">
        <v>566</v>
      </c>
      <c r="E22" s="12" t="s">
        <v>193</v>
      </c>
      <c r="F22" s="12" t="s">
        <v>797</v>
      </c>
      <c r="G22" s="12" t="s">
        <v>1224</v>
      </c>
      <c r="H22" s="185">
        <v>709475</v>
      </c>
    </row>
    <row r="23" spans="1:9" s="36" customFormat="1" ht="31.5" x14ac:dyDescent="0.25">
      <c r="A23" s="27">
        <v>10300209</v>
      </c>
      <c r="B23" s="26" t="s">
        <v>705</v>
      </c>
      <c r="C23" s="12" t="s">
        <v>1394</v>
      </c>
      <c r="D23" s="12" t="s">
        <v>566</v>
      </c>
      <c r="E23" s="12" t="s">
        <v>193</v>
      </c>
      <c r="F23" s="12" t="s">
        <v>848</v>
      </c>
      <c r="G23" s="12"/>
      <c r="H23" s="185">
        <f>H24</f>
        <v>2381</v>
      </c>
    </row>
    <row r="24" spans="1:9" x14ac:dyDescent="0.25">
      <c r="A24" s="27">
        <v>10300209012</v>
      </c>
      <c r="B24" s="26" t="s">
        <v>1012</v>
      </c>
      <c r="C24" s="12" t="s">
        <v>1394</v>
      </c>
      <c r="D24" s="12" t="s">
        <v>566</v>
      </c>
      <c r="E24" s="12" t="s">
        <v>193</v>
      </c>
      <c r="F24" s="12" t="s">
        <v>848</v>
      </c>
      <c r="G24" s="12" t="s">
        <v>1224</v>
      </c>
      <c r="H24" s="185">
        <v>2381</v>
      </c>
    </row>
    <row r="25" spans="1:9" s="36" customFormat="1" ht="34.5" customHeight="1" x14ac:dyDescent="0.25">
      <c r="A25" s="27">
        <v>10300210</v>
      </c>
      <c r="B25" s="26" t="s">
        <v>1664</v>
      </c>
      <c r="C25" s="12" t="s">
        <v>1394</v>
      </c>
      <c r="D25" s="12" t="s">
        <v>566</v>
      </c>
      <c r="E25" s="12" t="s">
        <v>193</v>
      </c>
      <c r="F25" s="12" t="s">
        <v>849</v>
      </c>
      <c r="G25" s="12"/>
      <c r="H25" s="185">
        <f>H26</f>
        <v>85735</v>
      </c>
    </row>
    <row r="26" spans="1:9" x14ac:dyDescent="0.25">
      <c r="A26" s="27">
        <v>10300210012</v>
      </c>
      <c r="B26" s="26" t="s">
        <v>1012</v>
      </c>
      <c r="C26" s="12" t="s">
        <v>1394</v>
      </c>
      <c r="D26" s="12" t="s">
        <v>566</v>
      </c>
      <c r="E26" s="12" t="s">
        <v>193</v>
      </c>
      <c r="F26" s="12" t="s">
        <v>849</v>
      </c>
      <c r="G26" s="12" t="s">
        <v>1224</v>
      </c>
      <c r="H26" s="185">
        <v>85735</v>
      </c>
    </row>
    <row r="27" spans="1:9" x14ac:dyDescent="0.25">
      <c r="A27" s="27">
        <v>103803</v>
      </c>
      <c r="B27" s="26" t="s">
        <v>1225</v>
      </c>
      <c r="C27" s="12" t="s">
        <v>1394</v>
      </c>
      <c r="D27" s="12" t="s">
        <v>566</v>
      </c>
      <c r="E27" s="12" t="s">
        <v>193</v>
      </c>
      <c r="F27" s="10" t="s">
        <v>1045</v>
      </c>
      <c r="G27" s="4"/>
      <c r="H27" s="185">
        <f>H28+H30+H32</f>
        <v>8479</v>
      </c>
    </row>
    <row r="28" spans="1:9" s="118" customFormat="1" ht="31.5" x14ac:dyDescent="0.25">
      <c r="A28" s="27">
        <v>1038030001</v>
      </c>
      <c r="B28" s="26" t="s">
        <v>546</v>
      </c>
      <c r="C28" s="12" t="s">
        <v>1394</v>
      </c>
      <c r="D28" s="12" t="s">
        <v>566</v>
      </c>
      <c r="E28" s="12" t="s">
        <v>193</v>
      </c>
      <c r="F28" s="10" t="s">
        <v>1310</v>
      </c>
      <c r="G28" s="4"/>
      <c r="H28" s="185">
        <f>H29</f>
        <v>7300</v>
      </c>
    </row>
    <row r="29" spans="1:9" s="118" customFormat="1" x14ac:dyDescent="0.25">
      <c r="A29" s="27">
        <v>1038030001013</v>
      </c>
      <c r="B29" s="26" t="s">
        <v>1335</v>
      </c>
      <c r="C29" s="12" t="s">
        <v>1394</v>
      </c>
      <c r="D29" s="12" t="s">
        <v>566</v>
      </c>
      <c r="E29" s="12" t="s">
        <v>193</v>
      </c>
      <c r="F29" s="10" t="s">
        <v>1310</v>
      </c>
      <c r="G29" s="12" t="s">
        <v>972</v>
      </c>
      <c r="H29" s="185">
        <v>7300</v>
      </c>
    </row>
    <row r="30" spans="1:9" s="118" customFormat="1" ht="32.25" customHeight="1" x14ac:dyDescent="0.25">
      <c r="A30" s="27">
        <v>1038030003</v>
      </c>
      <c r="B30" s="26" t="s">
        <v>915</v>
      </c>
      <c r="C30" s="12" t="s">
        <v>1394</v>
      </c>
      <c r="D30" s="12" t="s">
        <v>566</v>
      </c>
      <c r="E30" s="12" t="s">
        <v>193</v>
      </c>
      <c r="F30" s="10" t="s">
        <v>916</v>
      </c>
      <c r="G30" s="4"/>
      <c r="H30" s="185">
        <f>H31</f>
        <v>1055</v>
      </c>
    </row>
    <row r="31" spans="1:9" s="118" customFormat="1" x14ac:dyDescent="0.25">
      <c r="A31" s="27">
        <v>1038030003013</v>
      </c>
      <c r="B31" s="26" t="s">
        <v>1335</v>
      </c>
      <c r="C31" s="12" t="s">
        <v>1394</v>
      </c>
      <c r="D31" s="12" t="s">
        <v>566</v>
      </c>
      <c r="E31" s="12" t="s">
        <v>193</v>
      </c>
      <c r="F31" s="10" t="s">
        <v>916</v>
      </c>
      <c r="G31" s="12" t="s">
        <v>972</v>
      </c>
      <c r="H31" s="185">
        <v>1055</v>
      </c>
    </row>
    <row r="32" spans="1:9" s="118" customFormat="1" ht="32.25" customHeight="1" x14ac:dyDescent="0.25">
      <c r="A32" s="27">
        <v>1038030004</v>
      </c>
      <c r="B32" s="26" t="s">
        <v>524</v>
      </c>
      <c r="C32" s="12" t="s">
        <v>1394</v>
      </c>
      <c r="D32" s="12" t="s">
        <v>566</v>
      </c>
      <c r="E32" s="12" t="s">
        <v>193</v>
      </c>
      <c r="F32" s="10" t="s">
        <v>917</v>
      </c>
      <c r="G32" s="4"/>
      <c r="H32" s="185">
        <f>H33</f>
        <v>124</v>
      </c>
    </row>
    <row r="33" spans="1:8" s="118" customFormat="1" x14ac:dyDescent="0.25">
      <c r="A33" s="27">
        <v>1038030004013</v>
      </c>
      <c r="B33" s="26" t="s">
        <v>1335</v>
      </c>
      <c r="C33" s="12" t="s">
        <v>1394</v>
      </c>
      <c r="D33" s="12" t="s">
        <v>566</v>
      </c>
      <c r="E33" s="12" t="s">
        <v>193</v>
      </c>
      <c r="F33" s="10" t="s">
        <v>917</v>
      </c>
      <c r="G33" s="12" t="s">
        <v>972</v>
      </c>
      <c r="H33" s="185">
        <v>124</v>
      </c>
    </row>
    <row r="34" spans="1:8" s="28" customFormat="1" x14ac:dyDescent="0.25">
      <c r="A34" s="29">
        <v>114</v>
      </c>
      <c r="B34" s="38" t="s">
        <v>287</v>
      </c>
      <c r="C34" s="12" t="s">
        <v>1394</v>
      </c>
      <c r="D34" s="12" t="s">
        <v>566</v>
      </c>
      <c r="E34" s="12">
        <v>14</v>
      </c>
      <c r="F34" s="39"/>
      <c r="G34" s="39"/>
      <c r="H34" s="53">
        <f>H35</f>
        <v>12085</v>
      </c>
    </row>
    <row r="35" spans="1:8" s="28" customFormat="1" x14ac:dyDescent="0.25">
      <c r="A35" s="27">
        <v>114001</v>
      </c>
      <c r="B35" s="26" t="s">
        <v>637</v>
      </c>
      <c r="C35" s="12" t="s">
        <v>1394</v>
      </c>
      <c r="D35" s="12" t="s">
        <v>566</v>
      </c>
      <c r="E35" s="12">
        <v>14</v>
      </c>
      <c r="F35" s="12" t="s">
        <v>1096</v>
      </c>
      <c r="G35" s="39"/>
      <c r="H35" s="53">
        <f>H36+H38+H40</f>
        <v>12085</v>
      </c>
    </row>
    <row r="36" spans="1:8" s="28" customFormat="1" x14ac:dyDescent="0.25">
      <c r="A36" s="27">
        <v>11400112</v>
      </c>
      <c r="B36" s="26" t="s">
        <v>746</v>
      </c>
      <c r="C36" s="12" t="s">
        <v>1394</v>
      </c>
      <c r="D36" s="12" t="s">
        <v>566</v>
      </c>
      <c r="E36" s="12">
        <v>14</v>
      </c>
      <c r="F36" s="12" t="s">
        <v>361</v>
      </c>
      <c r="G36" s="39"/>
      <c r="H36" s="53">
        <f>H37</f>
        <v>364</v>
      </c>
    </row>
    <row r="37" spans="1:8" s="28" customFormat="1" x14ac:dyDescent="0.25">
      <c r="A37" s="27">
        <v>11400112012</v>
      </c>
      <c r="B37" s="26" t="s">
        <v>1012</v>
      </c>
      <c r="C37" s="12" t="s">
        <v>1394</v>
      </c>
      <c r="D37" s="12" t="s">
        <v>566</v>
      </c>
      <c r="E37" s="12">
        <v>14</v>
      </c>
      <c r="F37" s="12" t="s">
        <v>361</v>
      </c>
      <c r="G37" s="12" t="s">
        <v>1224</v>
      </c>
      <c r="H37" s="53">
        <v>364</v>
      </c>
    </row>
    <row r="38" spans="1:8" s="28" customFormat="1" ht="31.5" x14ac:dyDescent="0.25">
      <c r="A38" s="27">
        <v>11400161</v>
      </c>
      <c r="B38" s="26" t="s">
        <v>1743</v>
      </c>
      <c r="C38" s="12" t="s">
        <v>1394</v>
      </c>
      <c r="D38" s="12" t="s">
        <v>566</v>
      </c>
      <c r="E38" s="12">
        <v>14</v>
      </c>
      <c r="F38" s="12" t="s">
        <v>362</v>
      </c>
      <c r="G38" s="39"/>
      <c r="H38" s="230">
        <f>H39</f>
        <v>8621</v>
      </c>
    </row>
    <row r="39" spans="1:8" s="28" customFormat="1" x14ac:dyDescent="0.25">
      <c r="A39" s="27">
        <v>11400161013</v>
      </c>
      <c r="B39" s="26" t="s">
        <v>1335</v>
      </c>
      <c r="C39" s="12" t="s">
        <v>1394</v>
      </c>
      <c r="D39" s="12" t="s">
        <v>566</v>
      </c>
      <c r="E39" s="12">
        <v>14</v>
      </c>
      <c r="F39" s="12" t="s">
        <v>362</v>
      </c>
      <c r="G39" s="12" t="s">
        <v>972</v>
      </c>
      <c r="H39" s="230">
        <f>8621-8621+8621</f>
        <v>8621</v>
      </c>
    </row>
    <row r="40" spans="1:8" s="28" customFormat="1" ht="47.25" customHeight="1" x14ac:dyDescent="0.25">
      <c r="A40" s="27">
        <v>11400162</v>
      </c>
      <c r="B40" s="26" t="s">
        <v>1230</v>
      </c>
      <c r="C40" s="12" t="s">
        <v>1394</v>
      </c>
      <c r="D40" s="12" t="s">
        <v>566</v>
      </c>
      <c r="E40" s="12">
        <v>14</v>
      </c>
      <c r="F40" s="12" t="s">
        <v>363</v>
      </c>
      <c r="G40" s="39"/>
      <c r="H40" s="53">
        <f>H41</f>
        <v>3100</v>
      </c>
    </row>
    <row r="41" spans="1:8" s="28" customFormat="1" x14ac:dyDescent="0.25">
      <c r="A41" s="27">
        <v>11400162013</v>
      </c>
      <c r="B41" s="26" t="s">
        <v>1335</v>
      </c>
      <c r="C41" s="12" t="s">
        <v>1394</v>
      </c>
      <c r="D41" s="12" t="s">
        <v>566</v>
      </c>
      <c r="E41" s="12">
        <v>14</v>
      </c>
      <c r="F41" s="12" t="s">
        <v>363</v>
      </c>
      <c r="G41" s="12" t="s">
        <v>972</v>
      </c>
      <c r="H41" s="53">
        <v>3100</v>
      </c>
    </row>
    <row r="42" spans="1:8" x14ac:dyDescent="0.25">
      <c r="A42" s="29">
        <v>5</v>
      </c>
      <c r="B42" s="35" t="s">
        <v>173</v>
      </c>
      <c r="C42" s="12" t="s">
        <v>1394</v>
      </c>
      <c r="D42" s="12" t="s">
        <v>175</v>
      </c>
      <c r="E42" s="10"/>
      <c r="F42" s="10"/>
      <c r="G42" s="10"/>
      <c r="H42" s="185">
        <f>H43</f>
        <v>65000</v>
      </c>
    </row>
    <row r="43" spans="1:8" s="28" customFormat="1" x14ac:dyDescent="0.25">
      <c r="A43" s="29">
        <v>501</v>
      </c>
      <c r="B43" s="37" t="s">
        <v>196</v>
      </c>
      <c r="C43" s="12" t="s">
        <v>1394</v>
      </c>
      <c r="D43" s="12" t="s">
        <v>175</v>
      </c>
      <c r="E43" s="12" t="s">
        <v>566</v>
      </c>
      <c r="F43" s="10"/>
      <c r="G43" s="10"/>
      <c r="H43" s="53">
        <f>H44</f>
        <v>65000</v>
      </c>
    </row>
    <row r="44" spans="1:8" s="28" customFormat="1" x14ac:dyDescent="0.25">
      <c r="A44" s="27">
        <v>501350</v>
      </c>
      <c r="B44" s="26" t="s">
        <v>1271</v>
      </c>
      <c r="C44" s="12" t="s">
        <v>1394</v>
      </c>
      <c r="D44" s="12" t="s">
        <v>175</v>
      </c>
      <c r="E44" s="12" t="s">
        <v>566</v>
      </c>
      <c r="F44" s="10" t="s">
        <v>240</v>
      </c>
      <c r="G44" s="10"/>
      <c r="H44" s="53">
        <f>H45</f>
        <v>65000</v>
      </c>
    </row>
    <row r="45" spans="1:8" s="28" customFormat="1" x14ac:dyDescent="0.25">
      <c r="A45" s="27">
        <v>50135003</v>
      </c>
      <c r="B45" s="26" t="s">
        <v>17</v>
      </c>
      <c r="C45" s="12" t="s">
        <v>1394</v>
      </c>
      <c r="D45" s="12" t="s">
        <v>175</v>
      </c>
      <c r="E45" s="12" t="s">
        <v>566</v>
      </c>
      <c r="F45" s="10" t="s">
        <v>834</v>
      </c>
      <c r="G45" s="10"/>
      <c r="H45" s="53">
        <f>H46</f>
        <v>65000</v>
      </c>
    </row>
    <row r="46" spans="1:8" s="28" customFormat="1" x14ac:dyDescent="0.25">
      <c r="A46" s="27">
        <v>50135003012</v>
      </c>
      <c r="B46" s="26" t="s">
        <v>1012</v>
      </c>
      <c r="C46" s="12" t="s">
        <v>1394</v>
      </c>
      <c r="D46" s="12" t="s">
        <v>175</v>
      </c>
      <c r="E46" s="12" t="s">
        <v>566</v>
      </c>
      <c r="F46" s="10" t="s">
        <v>834</v>
      </c>
      <c r="G46" s="12" t="s">
        <v>1224</v>
      </c>
      <c r="H46" s="53">
        <v>65000</v>
      </c>
    </row>
    <row r="47" spans="1:8" s="28" customFormat="1" x14ac:dyDescent="0.25">
      <c r="A47" s="29">
        <v>7</v>
      </c>
      <c r="B47" s="35" t="s">
        <v>174</v>
      </c>
      <c r="C47" s="12" t="s">
        <v>1394</v>
      </c>
      <c r="D47" s="12" t="s">
        <v>205</v>
      </c>
      <c r="E47" s="10"/>
      <c r="F47" s="10"/>
      <c r="G47" s="10"/>
      <c r="H47" s="53">
        <f>H48</f>
        <v>450</v>
      </c>
    </row>
    <row r="48" spans="1:8" s="28" customFormat="1" x14ac:dyDescent="0.25">
      <c r="A48" s="27">
        <v>707</v>
      </c>
      <c r="B48" s="26" t="s">
        <v>699</v>
      </c>
      <c r="C48" s="12" t="s">
        <v>1394</v>
      </c>
      <c r="D48" s="12" t="s">
        <v>205</v>
      </c>
      <c r="E48" s="12" t="s">
        <v>205</v>
      </c>
      <c r="F48" s="10"/>
      <c r="G48" s="12"/>
      <c r="H48" s="53">
        <f>H49</f>
        <v>450</v>
      </c>
    </row>
    <row r="49" spans="1:8" s="28" customFormat="1" ht="21" customHeight="1" x14ac:dyDescent="0.25">
      <c r="A49" s="27">
        <v>707432</v>
      </c>
      <c r="B49" s="26" t="s">
        <v>1482</v>
      </c>
      <c r="C49" s="12" t="s">
        <v>1394</v>
      </c>
      <c r="D49" s="12" t="s">
        <v>205</v>
      </c>
      <c r="E49" s="12" t="s">
        <v>205</v>
      </c>
      <c r="F49" s="10" t="s">
        <v>965</v>
      </c>
      <c r="G49" s="12"/>
      <c r="H49" s="53">
        <f>H50</f>
        <v>450</v>
      </c>
    </row>
    <row r="50" spans="1:8" s="28" customFormat="1" x14ac:dyDescent="0.25">
      <c r="A50" s="27">
        <v>70743202</v>
      </c>
      <c r="B50" s="26" t="s">
        <v>541</v>
      </c>
      <c r="C50" s="12" t="s">
        <v>1394</v>
      </c>
      <c r="D50" s="12" t="s">
        <v>205</v>
      </c>
      <c r="E50" s="12" t="s">
        <v>205</v>
      </c>
      <c r="F50" s="10" t="s">
        <v>262</v>
      </c>
      <c r="G50" s="12"/>
      <c r="H50" s="53">
        <f>H51</f>
        <v>450</v>
      </c>
    </row>
    <row r="51" spans="1:8" s="28" customFormat="1" x14ac:dyDescent="0.25">
      <c r="A51" s="27">
        <v>70743202001</v>
      </c>
      <c r="B51" s="26" t="s">
        <v>1435</v>
      </c>
      <c r="C51" s="12" t="s">
        <v>1394</v>
      </c>
      <c r="D51" s="12" t="s">
        <v>205</v>
      </c>
      <c r="E51" s="12" t="s">
        <v>205</v>
      </c>
      <c r="F51" s="10" t="s">
        <v>262</v>
      </c>
      <c r="G51" s="12" t="s">
        <v>1394</v>
      </c>
      <c r="H51" s="53">
        <v>450</v>
      </c>
    </row>
    <row r="52" spans="1:8" s="28" customFormat="1" x14ac:dyDescent="0.25">
      <c r="A52" s="29">
        <v>9</v>
      </c>
      <c r="B52" s="35" t="s">
        <v>450</v>
      </c>
      <c r="C52" s="12" t="s">
        <v>1394</v>
      </c>
      <c r="D52" s="12" t="s">
        <v>406</v>
      </c>
      <c r="E52" s="10"/>
      <c r="F52" s="10"/>
      <c r="G52" s="10"/>
      <c r="H52" s="53">
        <f>H53</f>
        <v>42649</v>
      </c>
    </row>
    <row r="53" spans="1:8" s="28" customFormat="1" ht="30" customHeight="1" x14ac:dyDescent="0.25">
      <c r="A53" s="27">
        <v>910</v>
      </c>
      <c r="B53" s="26" t="s">
        <v>877</v>
      </c>
      <c r="C53" s="12" t="s">
        <v>1394</v>
      </c>
      <c r="D53" s="12" t="s">
        <v>406</v>
      </c>
      <c r="E53" s="12">
        <v>10</v>
      </c>
      <c r="F53" s="12"/>
      <c r="G53" s="12"/>
      <c r="H53" s="53">
        <f>H54</f>
        <v>42649</v>
      </c>
    </row>
    <row r="54" spans="1:8" s="28" customFormat="1" ht="31.5" x14ac:dyDescent="0.25">
      <c r="A54" s="27">
        <v>910485</v>
      </c>
      <c r="B54" s="26" t="s">
        <v>303</v>
      </c>
      <c r="C54" s="12" t="s">
        <v>1394</v>
      </c>
      <c r="D54" s="12" t="s">
        <v>406</v>
      </c>
      <c r="E54" s="12">
        <v>10</v>
      </c>
      <c r="F54" s="10" t="s">
        <v>1213</v>
      </c>
      <c r="G54" s="12"/>
      <c r="H54" s="53">
        <f>H55</f>
        <v>42649</v>
      </c>
    </row>
    <row r="55" spans="1:8" s="28" customFormat="1" ht="31.5" x14ac:dyDescent="0.25">
      <c r="A55" s="27">
        <v>91048597</v>
      </c>
      <c r="B55" s="26" t="s">
        <v>1602</v>
      </c>
      <c r="C55" s="12" t="s">
        <v>1394</v>
      </c>
      <c r="D55" s="12" t="s">
        <v>406</v>
      </c>
      <c r="E55" s="12">
        <v>10</v>
      </c>
      <c r="F55" s="10" t="s">
        <v>1360</v>
      </c>
      <c r="G55" s="12"/>
      <c r="H55" s="53">
        <f>H56</f>
        <v>42649</v>
      </c>
    </row>
    <row r="56" spans="1:8" s="28" customFormat="1" ht="31.5" x14ac:dyDescent="0.25">
      <c r="A56" s="27">
        <v>91048597079</v>
      </c>
      <c r="B56" s="26" t="s">
        <v>467</v>
      </c>
      <c r="C56" s="12" t="s">
        <v>1394</v>
      </c>
      <c r="D56" s="12" t="s">
        <v>406</v>
      </c>
      <c r="E56" s="12">
        <v>10</v>
      </c>
      <c r="F56" s="10" t="s">
        <v>1360</v>
      </c>
      <c r="G56" s="12" t="s">
        <v>168</v>
      </c>
      <c r="H56" s="53">
        <v>42649</v>
      </c>
    </row>
    <row r="57" spans="1:8" s="28" customFormat="1" x14ac:dyDescent="0.25">
      <c r="A57" s="29"/>
      <c r="B57" s="26"/>
      <c r="C57" s="12"/>
      <c r="D57" s="10"/>
      <c r="E57" s="10"/>
      <c r="F57" s="10"/>
      <c r="G57" s="10"/>
      <c r="H57" s="53"/>
    </row>
    <row r="58" spans="1:8" s="3" customFormat="1" x14ac:dyDescent="0.25">
      <c r="A58" s="40">
        <v>0</v>
      </c>
      <c r="B58" s="41" t="s">
        <v>592</v>
      </c>
      <c r="C58" s="42" t="s">
        <v>192</v>
      </c>
      <c r="D58" s="31"/>
      <c r="E58" s="31"/>
      <c r="F58" s="31"/>
      <c r="G58" s="31"/>
      <c r="H58" s="187">
        <f>H59+H87+H92+H97</f>
        <v>2730114</v>
      </c>
    </row>
    <row r="59" spans="1:8" s="28" customFormat="1" x14ac:dyDescent="0.25">
      <c r="A59" s="29">
        <v>1</v>
      </c>
      <c r="B59" s="35" t="s">
        <v>482</v>
      </c>
      <c r="C59" s="12" t="s">
        <v>192</v>
      </c>
      <c r="D59" s="12" t="s">
        <v>566</v>
      </c>
      <c r="E59" s="10"/>
      <c r="F59" s="10"/>
      <c r="G59" s="10"/>
      <c r="H59" s="53">
        <f>H60+H64+H70</f>
        <v>1958797</v>
      </c>
    </row>
    <row r="60" spans="1:8" s="28" customFormat="1" ht="31.5" x14ac:dyDescent="0.25">
      <c r="A60" s="29">
        <v>102</v>
      </c>
      <c r="B60" s="26" t="s">
        <v>249</v>
      </c>
      <c r="C60" s="12" t="s">
        <v>192</v>
      </c>
      <c r="D60" s="12" t="s">
        <v>566</v>
      </c>
      <c r="E60" s="12" t="s">
        <v>567</v>
      </c>
      <c r="F60" s="10"/>
      <c r="G60" s="10"/>
      <c r="H60" s="53">
        <f>H61</f>
        <v>2114</v>
      </c>
    </row>
    <row r="61" spans="1:8" s="28" customFormat="1" ht="47.25" x14ac:dyDescent="0.25">
      <c r="A61" s="27">
        <v>102002</v>
      </c>
      <c r="B61" s="26" t="s">
        <v>1657</v>
      </c>
      <c r="C61" s="12" t="s">
        <v>192</v>
      </c>
      <c r="D61" s="12" t="s">
        <v>566</v>
      </c>
      <c r="E61" s="12" t="s">
        <v>567</v>
      </c>
      <c r="F61" s="12" t="s">
        <v>200</v>
      </c>
      <c r="G61" s="10"/>
      <c r="H61" s="53">
        <f>H62</f>
        <v>2114</v>
      </c>
    </row>
    <row r="62" spans="1:8" s="28" customFormat="1" x14ac:dyDescent="0.25">
      <c r="A62" s="27">
        <v>10200201</v>
      </c>
      <c r="B62" s="26" t="s">
        <v>1574</v>
      </c>
      <c r="C62" s="12" t="s">
        <v>192</v>
      </c>
      <c r="D62" s="12" t="s">
        <v>566</v>
      </c>
      <c r="E62" s="12" t="s">
        <v>567</v>
      </c>
      <c r="F62" s="12" t="s">
        <v>1231</v>
      </c>
      <c r="G62" s="10"/>
      <c r="H62" s="53">
        <f>H63</f>
        <v>2114</v>
      </c>
    </row>
    <row r="63" spans="1:8" s="28" customFormat="1" x14ac:dyDescent="0.25">
      <c r="A63" s="27">
        <v>10200201012</v>
      </c>
      <c r="B63" s="26" t="s">
        <v>1012</v>
      </c>
      <c r="C63" s="12" t="s">
        <v>192</v>
      </c>
      <c r="D63" s="12" t="s">
        <v>566</v>
      </c>
      <c r="E63" s="12" t="s">
        <v>567</v>
      </c>
      <c r="F63" s="12" t="s">
        <v>1231</v>
      </c>
      <c r="G63" s="12" t="s">
        <v>1224</v>
      </c>
      <c r="H63" s="53">
        <v>2114</v>
      </c>
    </row>
    <row r="64" spans="1:8" s="28" customFormat="1" ht="47.25" x14ac:dyDescent="0.25">
      <c r="A64" s="27">
        <v>104</v>
      </c>
      <c r="B64" s="26" t="s">
        <v>1240</v>
      </c>
      <c r="C64" s="12" t="s">
        <v>192</v>
      </c>
      <c r="D64" s="12" t="s">
        <v>566</v>
      </c>
      <c r="E64" s="12" t="s">
        <v>1181</v>
      </c>
      <c r="F64" s="12"/>
      <c r="G64" s="10"/>
      <c r="H64" s="53">
        <f>H65</f>
        <v>902951</v>
      </c>
    </row>
    <row r="65" spans="1:8" s="28" customFormat="1" ht="47.25" x14ac:dyDescent="0.25">
      <c r="A65" s="27">
        <v>104002</v>
      </c>
      <c r="B65" s="26" t="s">
        <v>1657</v>
      </c>
      <c r="C65" s="12" t="s">
        <v>192</v>
      </c>
      <c r="D65" s="12" t="s">
        <v>566</v>
      </c>
      <c r="E65" s="12" t="s">
        <v>1181</v>
      </c>
      <c r="F65" s="12" t="s">
        <v>200</v>
      </c>
      <c r="G65" s="12"/>
      <c r="H65" s="53">
        <f>H66+H68</f>
        <v>902951</v>
      </c>
    </row>
    <row r="66" spans="1:8" s="28" customFormat="1" x14ac:dyDescent="0.25">
      <c r="A66" s="27">
        <v>10400204</v>
      </c>
      <c r="B66" s="65" t="s">
        <v>638</v>
      </c>
      <c r="C66" s="12" t="s">
        <v>192</v>
      </c>
      <c r="D66" s="12" t="s">
        <v>566</v>
      </c>
      <c r="E66" s="12" t="s">
        <v>1181</v>
      </c>
      <c r="F66" s="12" t="s">
        <v>797</v>
      </c>
      <c r="G66" s="12"/>
      <c r="H66" s="53">
        <f>H67</f>
        <v>886096</v>
      </c>
    </row>
    <row r="67" spans="1:8" s="28" customFormat="1" x14ac:dyDescent="0.25">
      <c r="A67" s="27">
        <v>10400204012</v>
      </c>
      <c r="B67" s="26" t="s">
        <v>1012</v>
      </c>
      <c r="C67" s="12" t="s">
        <v>192</v>
      </c>
      <c r="D67" s="12" t="s">
        <v>566</v>
      </c>
      <c r="E67" s="12" t="s">
        <v>1181</v>
      </c>
      <c r="F67" s="12" t="s">
        <v>797</v>
      </c>
      <c r="G67" s="12" t="s">
        <v>1224</v>
      </c>
      <c r="H67" s="53">
        <v>886096</v>
      </c>
    </row>
    <row r="68" spans="1:8" s="28" customFormat="1" ht="48" customHeight="1" x14ac:dyDescent="0.25">
      <c r="A68" s="27">
        <v>10400206</v>
      </c>
      <c r="B68" s="65" t="s">
        <v>66</v>
      </c>
      <c r="C68" s="12" t="s">
        <v>192</v>
      </c>
      <c r="D68" s="12" t="s">
        <v>566</v>
      </c>
      <c r="E68" s="12" t="s">
        <v>1181</v>
      </c>
      <c r="F68" s="12" t="s">
        <v>1232</v>
      </c>
      <c r="G68" s="12"/>
      <c r="H68" s="53">
        <f>H69</f>
        <v>16855</v>
      </c>
    </row>
    <row r="69" spans="1:8" s="28" customFormat="1" x14ac:dyDescent="0.25">
      <c r="A69" s="27">
        <v>10400206012</v>
      </c>
      <c r="B69" s="26" t="s">
        <v>1012</v>
      </c>
      <c r="C69" s="12" t="s">
        <v>192</v>
      </c>
      <c r="D69" s="12" t="s">
        <v>566</v>
      </c>
      <c r="E69" s="12" t="s">
        <v>1181</v>
      </c>
      <c r="F69" s="12" t="s">
        <v>1232</v>
      </c>
      <c r="G69" s="12" t="s">
        <v>1224</v>
      </c>
      <c r="H69" s="53">
        <v>16855</v>
      </c>
    </row>
    <row r="70" spans="1:8" s="28" customFormat="1" x14ac:dyDescent="0.25">
      <c r="A70" s="29">
        <v>114</v>
      </c>
      <c r="B70" s="38" t="s">
        <v>287</v>
      </c>
      <c r="C70" s="12" t="s">
        <v>192</v>
      </c>
      <c r="D70" s="12" t="s">
        <v>566</v>
      </c>
      <c r="E70" s="12">
        <v>14</v>
      </c>
      <c r="F70" s="39"/>
      <c r="G70" s="39"/>
      <c r="H70" s="53">
        <f>H71+H82</f>
        <v>1053732</v>
      </c>
    </row>
    <row r="71" spans="1:8" s="147" customFormat="1" x14ac:dyDescent="0.25">
      <c r="A71" s="188">
        <v>114001</v>
      </c>
      <c r="B71" s="38" t="s">
        <v>637</v>
      </c>
      <c r="C71" s="25" t="s">
        <v>192</v>
      </c>
      <c r="D71" s="25" t="s">
        <v>566</v>
      </c>
      <c r="E71" s="25">
        <v>14</v>
      </c>
      <c r="F71" s="25" t="s">
        <v>1096</v>
      </c>
      <c r="G71" s="189"/>
      <c r="H71" s="53">
        <f>H72+H74+H76+H78+H80</f>
        <v>26458</v>
      </c>
    </row>
    <row r="72" spans="1:8" s="147" customFormat="1" x14ac:dyDescent="0.25">
      <c r="A72" s="188">
        <v>11400110</v>
      </c>
      <c r="B72" s="38" t="s">
        <v>610</v>
      </c>
      <c r="C72" s="25" t="s">
        <v>192</v>
      </c>
      <c r="D72" s="25" t="s">
        <v>566</v>
      </c>
      <c r="E72" s="25">
        <v>14</v>
      </c>
      <c r="F72" s="25" t="s">
        <v>67</v>
      </c>
      <c r="G72" s="189"/>
      <c r="H72" s="53">
        <f>H73</f>
        <v>20804</v>
      </c>
    </row>
    <row r="73" spans="1:8" s="147" customFormat="1" x14ac:dyDescent="0.25">
      <c r="A73" s="188">
        <v>11400110012</v>
      </c>
      <c r="B73" s="38" t="s">
        <v>1012</v>
      </c>
      <c r="C73" s="25" t="s">
        <v>192</v>
      </c>
      <c r="D73" s="25" t="s">
        <v>566</v>
      </c>
      <c r="E73" s="25">
        <v>14</v>
      </c>
      <c r="F73" s="25" t="s">
        <v>67</v>
      </c>
      <c r="G73" s="25" t="s">
        <v>1224</v>
      </c>
      <c r="H73" s="53">
        <v>20804</v>
      </c>
    </row>
    <row r="74" spans="1:8" s="147" customFormat="1" x14ac:dyDescent="0.25">
      <c r="A74" s="188">
        <v>11400112</v>
      </c>
      <c r="B74" s="38" t="s">
        <v>746</v>
      </c>
      <c r="C74" s="25" t="s">
        <v>192</v>
      </c>
      <c r="D74" s="25" t="s">
        <v>566</v>
      </c>
      <c r="E74" s="25">
        <v>14</v>
      </c>
      <c r="F74" s="25" t="s">
        <v>361</v>
      </c>
      <c r="G74" s="189"/>
      <c r="H74" s="53">
        <f>H75</f>
        <v>484</v>
      </c>
    </row>
    <row r="75" spans="1:8" s="147" customFormat="1" x14ac:dyDescent="0.25">
      <c r="A75" s="188">
        <v>11400112012</v>
      </c>
      <c r="B75" s="38" t="s">
        <v>1012</v>
      </c>
      <c r="C75" s="25" t="s">
        <v>192</v>
      </c>
      <c r="D75" s="25" t="s">
        <v>566</v>
      </c>
      <c r="E75" s="25">
        <v>14</v>
      </c>
      <c r="F75" s="25" t="s">
        <v>361</v>
      </c>
      <c r="G75" s="25" t="s">
        <v>1224</v>
      </c>
      <c r="H75" s="53">
        <v>484</v>
      </c>
    </row>
    <row r="76" spans="1:8" s="147" customFormat="1" x14ac:dyDescent="0.25">
      <c r="A76" s="188">
        <v>11400163</v>
      </c>
      <c r="B76" s="38" t="s">
        <v>1744</v>
      </c>
      <c r="C76" s="25" t="s">
        <v>192</v>
      </c>
      <c r="D76" s="25" t="s">
        <v>566</v>
      </c>
      <c r="E76" s="25">
        <v>14</v>
      </c>
      <c r="F76" s="25" t="s">
        <v>996</v>
      </c>
      <c r="G76" s="189"/>
      <c r="H76" s="53">
        <f>H77</f>
        <v>2000</v>
      </c>
    </row>
    <row r="77" spans="1:8" s="147" customFormat="1" x14ac:dyDescent="0.25">
      <c r="A77" s="188">
        <v>11400163013</v>
      </c>
      <c r="B77" s="38" t="s">
        <v>1335</v>
      </c>
      <c r="C77" s="25" t="s">
        <v>192</v>
      </c>
      <c r="D77" s="25" t="s">
        <v>566</v>
      </c>
      <c r="E77" s="25">
        <v>14</v>
      </c>
      <c r="F77" s="25" t="s">
        <v>996</v>
      </c>
      <c r="G77" s="25" t="s">
        <v>972</v>
      </c>
      <c r="H77" s="53">
        <v>2000</v>
      </c>
    </row>
    <row r="78" spans="1:8" s="147" customFormat="1" ht="31.5" x14ac:dyDescent="0.25">
      <c r="A78" s="188">
        <v>11400164</v>
      </c>
      <c r="B78" s="38" t="s">
        <v>872</v>
      </c>
      <c r="C78" s="25" t="s">
        <v>192</v>
      </c>
      <c r="D78" s="25" t="s">
        <v>566</v>
      </c>
      <c r="E78" s="25">
        <v>14</v>
      </c>
      <c r="F78" s="25" t="s">
        <v>997</v>
      </c>
      <c r="G78" s="189"/>
      <c r="H78" s="53">
        <f>H79</f>
        <v>600</v>
      </c>
    </row>
    <row r="79" spans="1:8" s="147" customFormat="1" x14ac:dyDescent="0.25">
      <c r="A79" s="188">
        <v>11400164013</v>
      </c>
      <c r="B79" s="38" t="s">
        <v>1335</v>
      </c>
      <c r="C79" s="25" t="s">
        <v>192</v>
      </c>
      <c r="D79" s="25" t="s">
        <v>566</v>
      </c>
      <c r="E79" s="25">
        <v>14</v>
      </c>
      <c r="F79" s="25" t="s">
        <v>997</v>
      </c>
      <c r="G79" s="25" t="s">
        <v>972</v>
      </c>
      <c r="H79" s="53">
        <v>600</v>
      </c>
    </row>
    <row r="80" spans="1:8" s="147" customFormat="1" ht="31.5" x14ac:dyDescent="0.25">
      <c r="A80" s="188">
        <v>11400165</v>
      </c>
      <c r="B80" s="38" t="s">
        <v>1653</v>
      </c>
      <c r="C80" s="25" t="s">
        <v>192</v>
      </c>
      <c r="D80" s="25" t="s">
        <v>566</v>
      </c>
      <c r="E80" s="25">
        <v>14</v>
      </c>
      <c r="F80" s="25" t="s">
        <v>1356</v>
      </c>
      <c r="G80" s="189"/>
      <c r="H80" s="53">
        <f>H81</f>
        <v>2570</v>
      </c>
    </row>
    <row r="81" spans="1:8" s="147" customFormat="1" x14ac:dyDescent="0.25">
      <c r="A81" s="188">
        <v>11400165013</v>
      </c>
      <c r="B81" s="38" t="s">
        <v>1335</v>
      </c>
      <c r="C81" s="25" t="s">
        <v>192</v>
      </c>
      <c r="D81" s="25" t="s">
        <v>566</v>
      </c>
      <c r="E81" s="25">
        <v>14</v>
      </c>
      <c r="F81" s="25" t="s">
        <v>1356</v>
      </c>
      <c r="G81" s="25" t="s">
        <v>972</v>
      </c>
      <c r="H81" s="53">
        <v>2570</v>
      </c>
    </row>
    <row r="82" spans="1:8" s="28" customFormat="1" x14ac:dyDescent="0.25">
      <c r="A82" s="27">
        <v>114093</v>
      </c>
      <c r="B82" s="26" t="s">
        <v>35</v>
      </c>
      <c r="C82" s="12" t="s">
        <v>192</v>
      </c>
      <c r="D82" s="6" t="s">
        <v>566</v>
      </c>
      <c r="E82" s="6">
        <v>14</v>
      </c>
      <c r="F82" s="19" t="s">
        <v>36</v>
      </c>
      <c r="G82" s="6"/>
      <c r="H82" s="53">
        <f>H83+H85</f>
        <v>1027274</v>
      </c>
    </row>
    <row r="83" spans="1:8" s="28" customFormat="1" ht="34.5" customHeight="1" x14ac:dyDescent="0.25">
      <c r="A83" s="27">
        <v>11409310</v>
      </c>
      <c r="B83" s="26" t="s">
        <v>284</v>
      </c>
      <c r="C83" s="12" t="s">
        <v>192</v>
      </c>
      <c r="D83" s="6" t="s">
        <v>566</v>
      </c>
      <c r="E83" s="6">
        <v>14</v>
      </c>
      <c r="F83" s="19" t="s">
        <v>616</v>
      </c>
      <c r="G83" s="6"/>
      <c r="H83" s="53">
        <f>H84</f>
        <v>27274</v>
      </c>
    </row>
    <row r="84" spans="1:8" s="28" customFormat="1" x14ac:dyDescent="0.25">
      <c r="A84" s="27">
        <v>11409310001</v>
      </c>
      <c r="B84" s="26" t="s">
        <v>1435</v>
      </c>
      <c r="C84" s="12" t="s">
        <v>192</v>
      </c>
      <c r="D84" s="6" t="s">
        <v>566</v>
      </c>
      <c r="E84" s="6">
        <v>14</v>
      </c>
      <c r="F84" s="19" t="s">
        <v>616</v>
      </c>
      <c r="G84" s="6" t="s">
        <v>1394</v>
      </c>
      <c r="H84" s="53">
        <v>27274</v>
      </c>
    </row>
    <row r="85" spans="1:8" s="28" customFormat="1" ht="47.25" x14ac:dyDescent="0.25">
      <c r="A85" s="27">
        <v>11409311</v>
      </c>
      <c r="B85" s="26" t="s">
        <v>329</v>
      </c>
      <c r="C85" s="12" t="s">
        <v>192</v>
      </c>
      <c r="D85" s="6" t="s">
        <v>566</v>
      </c>
      <c r="E85" s="6">
        <v>14</v>
      </c>
      <c r="F85" s="19" t="s">
        <v>1654</v>
      </c>
      <c r="G85" s="6"/>
      <c r="H85" s="53">
        <f>H86</f>
        <v>1000000</v>
      </c>
    </row>
    <row r="86" spans="1:8" s="28" customFormat="1" x14ac:dyDescent="0.25">
      <c r="A86" s="27">
        <v>11409311001</v>
      </c>
      <c r="B86" s="26" t="s">
        <v>1435</v>
      </c>
      <c r="C86" s="12" t="s">
        <v>192</v>
      </c>
      <c r="D86" s="6" t="s">
        <v>566</v>
      </c>
      <c r="E86" s="6">
        <v>14</v>
      </c>
      <c r="F86" s="19" t="s">
        <v>1654</v>
      </c>
      <c r="G86" s="6" t="s">
        <v>1394</v>
      </c>
      <c r="H86" s="53">
        <v>1000000</v>
      </c>
    </row>
    <row r="87" spans="1:8" s="28" customFormat="1" x14ac:dyDescent="0.25">
      <c r="A87" s="29">
        <v>5</v>
      </c>
      <c r="B87" s="35" t="s">
        <v>410</v>
      </c>
      <c r="C87" s="12" t="s">
        <v>192</v>
      </c>
      <c r="D87" s="12" t="s">
        <v>175</v>
      </c>
      <c r="E87" s="12"/>
      <c r="F87" s="12"/>
      <c r="G87" s="12"/>
      <c r="H87" s="53">
        <f>H88</f>
        <v>400000</v>
      </c>
    </row>
    <row r="88" spans="1:8" s="28" customFormat="1" x14ac:dyDescent="0.25">
      <c r="A88" s="29">
        <v>501</v>
      </c>
      <c r="B88" s="37" t="s">
        <v>196</v>
      </c>
      <c r="C88" s="12" t="s">
        <v>192</v>
      </c>
      <c r="D88" s="12" t="s">
        <v>175</v>
      </c>
      <c r="E88" s="12" t="s">
        <v>566</v>
      </c>
      <c r="F88" s="10"/>
      <c r="G88" s="10"/>
      <c r="H88" s="53">
        <f>H89</f>
        <v>400000</v>
      </c>
    </row>
    <row r="89" spans="1:8" s="28" customFormat="1" x14ac:dyDescent="0.25">
      <c r="A89" s="27">
        <v>501350</v>
      </c>
      <c r="B89" s="26" t="s">
        <v>1271</v>
      </c>
      <c r="C89" s="12" t="s">
        <v>192</v>
      </c>
      <c r="D89" s="12" t="s">
        <v>175</v>
      </c>
      <c r="E89" s="12" t="s">
        <v>566</v>
      </c>
      <c r="F89" s="10" t="s">
        <v>240</v>
      </c>
      <c r="G89" s="10"/>
      <c r="H89" s="53">
        <f>H90</f>
        <v>400000</v>
      </c>
    </row>
    <row r="90" spans="1:8" s="28" customFormat="1" x14ac:dyDescent="0.25">
      <c r="A90" s="27">
        <v>50135003</v>
      </c>
      <c r="B90" s="26" t="s">
        <v>17</v>
      </c>
      <c r="C90" s="12" t="s">
        <v>192</v>
      </c>
      <c r="D90" s="12" t="s">
        <v>175</v>
      </c>
      <c r="E90" s="12" t="s">
        <v>566</v>
      </c>
      <c r="F90" s="10" t="s">
        <v>834</v>
      </c>
      <c r="G90" s="10"/>
      <c r="H90" s="53">
        <f>H91</f>
        <v>400000</v>
      </c>
    </row>
    <row r="91" spans="1:8" s="28" customFormat="1" x14ac:dyDescent="0.25">
      <c r="A91" s="27">
        <v>50135003012</v>
      </c>
      <c r="B91" s="26" t="s">
        <v>1012</v>
      </c>
      <c r="C91" s="12" t="s">
        <v>192</v>
      </c>
      <c r="D91" s="12" t="s">
        <v>175</v>
      </c>
      <c r="E91" s="12" t="s">
        <v>566</v>
      </c>
      <c r="F91" s="10" t="s">
        <v>834</v>
      </c>
      <c r="G91" s="12" t="s">
        <v>1224</v>
      </c>
      <c r="H91" s="53">
        <v>400000</v>
      </c>
    </row>
    <row r="92" spans="1:8" s="28" customFormat="1" x14ac:dyDescent="0.25">
      <c r="A92" s="29">
        <v>7</v>
      </c>
      <c r="B92" s="35" t="s">
        <v>174</v>
      </c>
      <c r="C92" s="12" t="s">
        <v>192</v>
      </c>
      <c r="D92" s="12" t="s">
        <v>205</v>
      </c>
      <c r="E92" s="10"/>
      <c r="F92" s="10"/>
      <c r="G92" s="10"/>
      <c r="H92" s="53">
        <f>H93</f>
        <v>2104</v>
      </c>
    </row>
    <row r="93" spans="1:8" s="28" customFormat="1" x14ac:dyDescent="0.25">
      <c r="A93" s="29">
        <v>707</v>
      </c>
      <c r="B93" s="26" t="s">
        <v>699</v>
      </c>
      <c r="C93" s="12" t="s">
        <v>192</v>
      </c>
      <c r="D93" s="12" t="s">
        <v>205</v>
      </c>
      <c r="E93" s="12" t="s">
        <v>205</v>
      </c>
      <c r="F93" s="10"/>
      <c r="G93" s="10"/>
      <c r="H93" s="53">
        <f>H94</f>
        <v>2104</v>
      </c>
    </row>
    <row r="94" spans="1:8" s="28" customFormat="1" ht="21" customHeight="1" x14ac:dyDescent="0.25">
      <c r="A94" s="27">
        <v>707432</v>
      </c>
      <c r="B94" s="26" t="s">
        <v>1482</v>
      </c>
      <c r="C94" s="12" t="s">
        <v>192</v>
      </c>
      <c r="D94" s="12" t="s">
        <v>205</v>
      </c>
      <c r="E94" s="12" t="s">
        <v>205</v>
      </c>
      <c r="F94" s="10" t="s">
        <v>965</v>
      </c>
      <c r="G94" s="12"/>
      <c r="H94" s="53">
        <f>H95</f>
        <v>2104</v>
      </c>
    </row>
    <row r="95" spans="1:8" s="28" customFormat="1" x14ac:dyDescent="0.25">
      <c r="A95" s="27">
        <v>70743202</v>
      </c>
      <c r="B95" s="26" t="s">
        <v>541</v>
      </c>
      <c r="C95" s="12" t="s">
        <v>192</v>
      </c>
      <c r="D95" s="12" t="s">
        <v>205</v>
      </c>
      <c r="E95" s="12" t="s">
        <v>205</v>
      </c>
      <c r="F95" s="10" t="s">
        <v>262</v>
      </c>
      <c r="G95" s="12"/>
      <c r="H95" s="53">
        <f>H96</f>
        <v>2104</v>
      </c>
    </row>
    <row r="96" spans="1:8" s="28" customFormat="1" x14ac:dyDescent="0.25">
      <c r="A96" s="27">
        <v>70743202001</v>
      </c>
      <c r="B96" s="26" t="s">
        <v>1435</v>
      </c>
      <c r="C96" s="12" t="s">
        <v>192</v>
      </c>
      <c r="D96" s="12" t="s">
        <v>205</v>
      </c>
      <c r="E96" s="12" t="s">
        <v>205</v>
      </c>
      <c r="F96" s="10" t="s">
        <v>262</v>
      </c>
      <c r="G96" s="12" t="s">
        <v>1394</v>
      </c>
      <c r="H96" s="53">
        <v>2104</v>
      </c>
    </row>
    <row r="97" spans="1:8" s="28" customFormat="1" x14ac:dyDescent="0.25">
      <c r="A97" s="29">
        <v>9</v>
      </c>
      <c r="B97" s="35" t="s">
        <v>450</v>
      </c>
      <c r="C97" s="12" t="s">
        <v>192</v>
      </c>
      <c r="D97" s="12" t="s">
        <v>406</v>
      </c>
      <c r="E97" s="10"/>
      <c r="F97" s="10"/>
      <c r="G97" s="10"/>
      <c r="H97" s="53">
        <f>H98</f>
        <v>369213</v>
      </c>
    </row>
    <row r="98" spans="1:8" s="28" customFormat="1" ht="30" customHeight="1" x14ac:dyDescent="0.25">
      <c r="A98" s="27">
        <v>910</v>
      </c>
      <c r="B98" s="26" t="s">
        <v>877</v>
      </c>
      <c r="C98" s="12" t="s">
        <v>192</v>
      </c>
      <c r="D98" s="12" t="s">
        <v>406</v>
      </c>
      <c r="E98" s="12">
        <v>10</v>
      </c>
      <c r="F98" s="12"/>
      <c r="G98" s="12"/>
      <c r="H98" s="53">
        <f>H99</f>
        <v>369213</v>
      </c>
    </row>
    <row r="99" spans="1:8" s="28" customFormat="1" ht="31.5" x14ac:dyDescent="0.25">
      <c r="A99" s="27">
        <v>910485</v>
      </c>
      <c r="B99" s="26" t="s">
        <v>303</v>
      </c>
      <c r="C99" s="12" t="s">
        <v>192</v>
      </c>
      <c r="D99" s="12" t="s">
        <v>406</v>
      </c>
      <c r="E99" s="12">
        <v>10</v>
      </c>
      <c r="F99" s="10" t="s">
        <v>1213</v>
      </c>
      <c r="G99" s="12"/>
      <c r="H99" s="53">
        <f>H100</f>
        <v>369213</v>
      </c>
    </row>
    <row r="100" spans="1:8" s="28" customFormat="1" ht="31.5" x14ac:dyDescent="0.25">
      <c r="A100" s="27">
        <v>91048597</v>
      </c>
      <c r="B100" s="26" t="s">
        <v>1602</v>
      </c>
      <c r="C100" s="12" t="s">
        <v>192</v>
      </c>
      <c r="D100" s="12" t="s">
        <v>406</v>
      </c>
      <c r="E100" s="12">
        <v>10</v>
      </c>
      <c r="F100" s="10" t="s">
        <v>1360</v>
      </c>
      <c r="G100" s="12"/>
      <c r="H100" s="53">
        <f>H101</f>
        <v>369213</v>
      </c>
    </row>
    <row r="101" spans="1:8" s="28" customFormat="1" ht="31.5" x14ac:dyDescent="0.25">
      <c r="A101" s="27">
        <v>91048597079</v>
      </c>
      <c r="B101" s="26" t="s">
        <v>467</v>
      </c>
      <c r="C101" s="12" t="s">
        <v>192</v>
      </c>
      <c r="D101" s="12" t="s">
        <v>406</v>
      </c>
      <c r="E101" s="12">
        <v>10</v>
      </c>
      <c r="F101" s="10" t="s">
        <v>1360</v>
      </c>
      <c r="G101" s="12" t="s">
        <v>168</v>
      </c>
      <c r="H101" s="53">
        <v>369213</v>
      </c>
    </row>
    <row r="102" spans="1:8" s="28" customFormat="1" x14ac:dyDescent="0.25">
      <c r="A102" s="29"/>
      <c r="B102" s="26"/>
      <c r="C102" s="12"/>
      <c r="D102" s="10"/>
      <c r="E102" s="10"/>
      <c r="F102" s="10"/>
      <c r="G102" s="10"/>
      <c r="H102" s="53"/>
    </row>
    <row r="103" spans="1:8" s="3" customFormat="1" ht="31.5" x14ac:dyDescent="0.25">
      <c r="A103" s="40">
        <v>0</v>
      </c>
      <c r="B103" s="30" t="s">
        <v>538</v>
      </c>
      <c r="C103" s="42" t="s">
        <v>539</v>
      </c>
      <c r="D103" s="31"/>
      <c r="E103" s="31"/>
      <c r="F103" s="31"/>
      <c r="G103" s="31"/>
      <c r="H103" s="187">
        <f>H104+H116+H121+H126</f>
        <v>287272</v>
      </c>
    </row>
    <row r="104" spans="1:8" s="28" customFormat="1" x14ac:dyDescent="0.25">
      <c r="A104" s="29">
        <v>1</v>
      </c>
      <c r="B104" s="35" t="s">
        <v>482</v>
      </c>
      <c r="C104" s="12" t="s">
        <v>539</v>
      </c>
      <c r="D104" s="12" t="s">
        <v>566</v>
      </c>
      <c r="E104" s="10"/>
      <c r="F104" s="10"/>
      <c r="G104" s="10"/>
      <c r="H104" s="53">
        <f>H105+H112</f>
        <v>286941</v>
      </c>
    </row>
    <row r="105" spans="1:8" s="69" customFormat="1" x14ac:dyDescent="0.25">
      <c r="A105" s="29">
        <v>108</v>
      </c>
      <c r="B105" s="26" t="s">
        <v>286</v>
      </c>
      <c r="C105" s="12" t="s">
        <v>539</v>
      </c>
      <c r="D105" s="12" t="s">
        <v>566</v>
      </c>
      <c r="E105" s="12" t="s">
        <v>290</v>
      </c>
      <c r="F105" s="12"/>
      <c r="G105" s="10"/>
      <c r="H105" s="53">
        <f>H106+H109</f>
        <v>200130</v>
      </c>
    </row>
    <row r="106" spans="1:8" s="69" customFormat="1" x14ac:dyDescent="0.25">
      <c r="A106" s="27">
        <v>108030</v>
      </c>
      <c r="B106" s="26" t="s">
        <v>1675</v>
      </c>
      <c r="C106" s="12" t="s">
        <v>539</v>
      </c>
      <c r="D106" s="12" t="s">
        <v>566</v>
      </c>
      <c r="E106" s="12" t="s">
        <v>290</v>
      </c>
      <c r="F106" s="12" t="s">
        <v>1674</v>
      </c>
      <c r="G106" s="10"/>
      <c r="H106" s="53">
        <f>H107</f>
        <v>200000</v>
      </c>
    </row>
    <row r="107" spans="1:8" s="69" customFormat="1" x14ac:dyDescent="0.25">
      <c r="A107" s="27">
        <v>10803005</v>
      </c>
      <c r="B107" s="26" t="s">
        <v>1676</v>
      </c>
      <c r="C107" s="12" t="s">
        <v>539</v>
      </c>
      <c r="D107" s="12" t="s">
        <v>566</v>
      </c>
      <c r="E107" s="12" t="s">
        <v>290</v>
      </c>
      <c r="F107" s="12" t="s">
        <v>1677</v>
      </c>
      <c r="G107" s="10"/>
      <c r="H107" s="53">
        <f>H108</f>
        <v>200000</v>
      </c>
    </row>
    <row r="108" spans="1:8" s="69" customFormat="1" x14ac:dyDescent="0.25">
      <c r="A108" s="27">
        <v>10803005012</v>
      </c>
      <c r="B108" s="65" t="s">
        <v>1012</v>
      </c>
      <c r="C108" s="12" t="s">
        <v>539</v>
      </c>
      <c r="D108" s="12" t="s">
        <v>566</v>
      </c>
      <c r="E108" s="12" t="s">
        <v>290</v>
      </c>
      <c r="F108" s="12" t="s">
        <v>1677</v>
      </c>
      <c r="G108" s="12" t="s">
        <v>1224</v>
      </c>
      <c r="H108" s="53">
        <v>200000</v>
      </c>
    </row>
    <row r="109" spans="1:8" s="69" customFormat="1" ht="21.75" customHeight="1" x14ac:dyDescent="0.25">
      <c r="A109" s="27">
        <v>108522</v>
      </c>
      <c r="B109" s="65" t="s">
        <v>153</v>
      </c>
      <c r="C109" s="12" t="s">
        <v>539</v>
      </c>
      <c r="D109" s="12" t="s">
        <v>566</v>
      </c>
      <c r="E109" s="12" t="s">
        <v>290</v>
      </c>
      <c r="F109" s="10" t="s">
        <v>611</v>
      </c>
      <c r="G109" s="12"/>
      <c r="H109" s="53">
        <f>H110</f>
        <v>130</v>
      </c>
    </row>
    <row r="110" spans="1:8" s="69" customFormat="1" ht="35.25" customHeight="1" x14ac:dyDescent="0.25">
      <c r="A110" s="27">
        <v>10852209</v>
      </c>
      <c r="B110" s="54" t="s">
        <v>782</v>
      </c>
      <c r="C110" s="12" t="s">
        <v>539</v>
      </c>
      <c r="D110" s="12" t="s">
        <v>566</v>
      </c>
      <c r="E110" s="12" t="s">
        <v>290</v>
      </c>
      <c r="F110" s="10" t="s">
        <v>29</v>
      </c>
      <c r="G110" s="12"/>
      <c r="H110" s="53">
        <f>H111</f>
        <v>130</v>
      </c>
    </row>
    <row r="111" spans="1:8" s="69" customFormat="1" x14ac:dyDescent="0.25">
      <c r="A111" s="27">
        <v>10852209012</v>
      </c>
      <c r="B111" s="65" t="s">
        <v>1012</v>
      </c>
      <c r="C111" s="12" t="s">
        <v>539</v>
      </c>
      <c r="D111" s="12" t="s">
        <v>566</v>
      </c>
      <c r="E111" s="12" t="s">
        <v>290</v>
      </c>
      <c r="F111" s="10" t="s">
        <v>29</v>
      </c>
      <c r="G111" s="12" t="s">
        <v>1224</v>
      </c>
      <c r="H111" s="53">
        <v>130</v>
      </c>
    </row>
    <row r="112" spans="1:8" s="28" customFormat="1" x14ac:dyDescent="0.25">
      <c r="A112" s="29">
        <v>114</v>
      </c>
      <c r="B112" s="26" t="s">
        <v>287</v>
      </c>
      <c r="C112" s="12" t="s">
        <v>539</v>
      </c>
      <c r="D112" s="12" t="s">
        <v>566</v>
      </c>
      <c r="E112" s="12">
        <v>14</v>
      </c>
      <c r="F112" s="12"/>
      <c r="G112" s="10"/>
      <c r="H112" s="53">
        <f>H113</f>
        <v>86811</v>
      </c>
    </row>
    <row r="113" spans="1:8" s="28" customFormat="1" ht="47.25" x14ac:dyDescent="0.25">
      <c r="A113" s="27">
        <v>114002</v>
      </c>
      <c r="B113" s="26" t="s">
        <v>1657</v>
      </c>
      <c r="C113" s="12" t="s">
        <v>539</v>
      </c>
      <c r="D113" s="12" t="s">
        <v>566</v>
      </c>
      <c r="E113" s="12">
        <v>14</v>
      </c>
      <c r="F113" s="12" t="s">
        <v>200</v>
      </c>
      <c r="G113" s="12"/>
      <c r="H113" s="53">
        <f>H114</f>
        <v>86811</v>
      </c>
    </row>
    <row r="114" spans="1:8" s="28" customFormat="1" x14ac:dyDescent="0.25">
      <c r="A114" s="27">
        <v>11400204</v>
      </c>
      <c r="B114" s="65" t="s">
        <v>638</v>
      </c>
      <c r="C114" s="12" t="s">
        <v>539</v>
      </c>
      <c r="D114" s="12" t="s">
        <v>566</v>
      </c>
      <c r="E114" s="12">
        <v>14</v>
      </c>
      <c r="F114" s="12" t="s">
        <v>797</v>
      </c>
      <c r="G114" s="12"/>
      <c r="H114" s="53">
        <f>H115</f>
        <v>86811</v>
      </c>
    </row>
    <row r="115" spans="1:8" s="28" customFormat="1" x14ac:dyDescent="0.25">
      <c r="A115" s="27">
        <v>11400204012</v>
      </c>
      <c r="B115" s="26" t="s">
        <v>1012</v>
      </c>
      <c r="C115" s="12" t="s">
        <v>539</v>
      </c>
      <c r="D115" s="12" t="s">
        <v>566</v>
      </c>
      <c r="E115" s="12">
        <v>14</v>
      </c>
      <c r="F115" s="12" t="s">
        <v>797</v>
      </c>
      <c r="G115" s="12" t="s">
        <v>1224</v>
      </c>
      <c r="H115" s="53">
        <v>86811</v>
      </c>
    </row>
    <row r="116" spans="1:8" s="3" customFormat="1" x14ac:dyDescent="0.25">
      <c r="A116" s="27">
        <v>2</v>
      </c>
      <c r="B116" s="35" t="s">
        <v>271</v>
      </c>
      <c r="C116" s="12" t="s">
        <v>539</v>
      </c>
      <c r="D116" s="12" t="s">
        <v>567</v>
      </c>
      <c r="E116" s="31"/>
      <c r="F116" s="31"/>
      <c r="G116" s="31"/>
      <c r="H116" s="53">
        <f>H117</f>
        <v>200</v>
      </c>
    </row>
    <row r="117" spans="1:8" s="3" customFormat="1" x14ac:dyDescent="0.25">
      <c r="A117" s="27">
        <v>204</v>
      </c>
      <c r="B117" s="26" t="s">
        <v>1054</v>
      </c>
      <c r="C117" s="12" t="s">
        <v>539</v>
      </c>
      <c r="D117" s="12" t="s">
        <v>567</v>
      </c>
      <c r="E117" s="12" t="s">
        <v>1181</v>
      </c>
      <c r="F117" s="31"/>
      <c r="G117" s="31"/>
      <c r="H117" s="53">
        <f>H118</f>
        <v>200</v>
      </c>
    </row>
    <row r="118" spans="1:8" s="3" customFormat="1" ht="31.5" x14ac:dyDescent="0.25">
      <c r="A118" s="27">
        <v>204209</v>
      </c>
      <c r="B118" s="26" t="s">
        <v>141</v>
      </c>
      <c r="C118" s="12" t="s">
        <v>539</v>
      </c>
      <c r="D118" s="12" t="s">
        <v>567</v>
      </c>
      <c r="E118" s="12" t="s">
        <v>1181</v>
      </c>
      <c r="F118" s="10" t="s">
        <v>270</v>
      </c>
      <c r="G118" s="31"/>
      <c r="H118" s="53">
        <f>H119</f>
        <v>200</v>
      </c>
    </row>
    <row r="119" spans="1:8" s="3" customFormat="1" ht="31.5" x14ac:dyDescent="0.25">
      <c r="A119" s="27">
        <v>20420901</v>
      </c>
      <c r="B119" s="26" t="s">
        <v>1408</v>
      </c>
      <c r="C119" s="12" t="s">
        <v>539</v>
      </c>
      <c r="D119" s="12" t="s">
        <v>567</v>
      </c>
      <c r="E119" s="12" t="s">
        <v>1181</v>
      </c>
      <c r="F119" s="10" t="s">
        <v>956</v>
      </c>
      <c r="G119" s="31"/>
      <c r="H119" s="53">
        <f>H120</f>
        <v>200</v>
      </c>
    </row>
    <row r="120" spans="1:8" s="3" customFormat="1" x14ac:dyDescent="0.25">
      <c r="A120" s="27">
        <v>20420901012</v>
      </c>
      <c r="B120" s="65" t="s">
        <v>1012</v>
      </c>
      <c r="C120" s="12" t="s">
        <v>539</v>
      </c>
      <c r="D120" s="12" t="s">
        <v>567</v>
      </c>
      <c r="E120" s="12" t="s">
        <v>1181</v>
      </c>
      <c r="F120" s="10" t="s">
        <v>956</v>
      </c>
      <c r="G120" s="12" t="s">
        <v>1224</v>
      </c>
      <c r="H120" s="53">
        <v>200</v>
      </c>
    </row>
    <row r="121" spans="1:8" s="28" customFormat="1" ht="21" customHeight="1" x14ac:dyDescent="0.25">
      <c r="A121" s="27">
        <v>3</v>
      </c>
      <c r="B121" s="35" t="s">
        <v>1049</v>
      </c>
      <c r="C121" s="12" t="s">
        <v>539</v>
      </c>
      <c r="D121" s="12" t="s">
        <v>193</v>
      </c>
      <c r="E121" s="12"/>
      <c r="F121" s="10"/>
      <c r="G121" s="12"/>
      <c r="H121" s="53">
        <f>H122+H131</f>
        <v>69</v>
      </c>
    </row>
    <row r="122" spans="1:8" s="28" customFormat="1" ht="47.25" x14ac:dyDescent="0.25">
      <c r="A122" s="27">
        <v>309</v>
      </c>
      <c r="B122" s="26" t="s">
        <v>133</v>
      </c>
      <c r="C122" s="12" t="s">
        <v>539</v>
      </c>
      <c r="D122" s="12" t="s">
        <v>193</v>
      </c>
      <c r="E122" s="12" t="s">
        <v>406</v>
      </c>
      <c r="F122" s="10"/>
      <c r="G122" s="12"/>
      <c r="H122" s="53">
        <f>H123</f>
        <v>69</v>
      </c>
    </row>
    <row r="123" spans="1:8" s="28" customFormat="1" x14ac:dyDescent="0.25">
      <c r="A123" s="27">
        <v>309219</v>
      </c>
      <c r="B123" s="26" t="s">
        <v>1098</v>
      </c>
      <c r="C123" s="12" t="s">
        <v>539</v>
      </c>
      <c r="D123" s="12" t="s">
        <v>193</v>
      </c>
      <c r="E123" s="12" t="s">
        <v>406</v>
      </c>
      <c r="F123" s="10" t="s">
        <v>620</v>
      </c>
      <c r="G123" s="12"/>
      <c r="H123" s="53">
        <f>H124</f>
        <v>69</v>
      </c>
    </row>
    <row r="124" spans="1:8" s="28" customFormat="1" ht="34.5" customHeight="1" x14ac:dyDescent="0.25">
      <c r="A124" s="27">
        <v>30921901</v>
      </c>
      <c r="B124" s="26" t="s">
        <v>591</v>
      </c>
      <c r="C124" s="12" t="s">
        <v>539</v>
      </c>
      <c r="D124" s="12" t="s">
        <v>193</v>
      </c>
      <c r="E124" s="12" t="s">
        <v>406</v>
      </c>
      <c r="F124" s="10" t="s">
        <v>269</v>
      </c>
      <c r="G124" s="12"/>
      <c r="H124" s="53">
        <f>H125</f>
        <v>69</v>
      </c>
    </row>
    <row r="125" spans="1:8" s="28" customFormat="1" x14ac:dyDescent="0.25">
      <c r="A125" s="27">
        <v>30921901012</v>
      </c>
      <c r="B125" s="65" t="s">
        <v>1012</v>
      </c>
      <c r="C125" s="12" t="s">
        <v>539</v>
      </c>
      <c r="D125" s="12" t="s">
        <v>193</v>
      </c>
      <c r="E125" s="12" t="s">
        <v>406</v>
      </c>
      <c r="F125" s="10" t="s">
        <v>269</v>
      </c>
      <c r="G125" s="12" t="s">
        <v>1224</v>
      </c>
      <c r="H125" s="53">
        <v>69</v>
      </c>
    </row>
    <row r="126" spans="1:8" s="128" customFormat="1" x14ac:dyDescent="0.25">
      <c r="A126" s="29">
        <v>7</v>
      </c>
      <c r="B126" s="35" t="s">
        <v>174</v>
      </c>
      <c r="C126" s="12" t="s">
        <v>539</v>
      </c>
      <c r="D126" s="12" t="s">
        <v>205</v>
      </c>
      <c r="E126" s="10"/>
      <c r="F126" s="10"/>
      <c r="G126" s="10"/>
      <c r="H126" s="53">
        <f>H127</f>
        <v>62</v>
      </c>
    </row>
    <row r="127" spans="1:8" s="128" customFormat="1" x14ac:dyDescent="0.25">
      <c r="A127" s="29">
        <v>707</v>
      </c>
      <c r="B127" s="26" t="s">
        <v>699</v>
      </c>
      <c r="C127" s="12" t="s">
        <v>539</v>
      </c>
      <c r="D127" s="12" t="s">
        <v>205</v>
      </c>
      <c r="E127" s="12" t="s">
        <v>205</v>
      </c>
      <c r="F127" s="10"/>
      <c r="G127" s="10"/>
      <c r="H127" s="53">
        <f>H128</f>
        <v>62</v>
      </c>
    </row>
    <row r="128" spans="1:8" s="128" customFormat="1" ht="21" customHeight="1" x14ac:dyDescent="0.25">
      <c r="A128" s="27">
        <v>707432</v>
      </c>
      <c r="B128" s="26" t="s">
        <v>1482</v>
      </c>
      <c r="C128" s="12" t="s">
        <v>539</v>
      </c>
      <c r="D128" s="12" t="s">
        <v>205</v>
      </c>
      <c r="E128" s="12" t="s">
        <v>205</v>
      </c>
      <c r="F128" s="10" t="s">
        <v>965</v>
      </c>
      <c r="G128" s="12"/>
      <c r="H128" s="53">
        <f>H129</f>
        <v>62</v>
      </c>
    </row>
    <row r="129" spans="1:8" s="28" customFormat="1" x14ac:dyDescent="0.25">
      <c r="A129" s="27">
        <v>70743202</v>
      </c>
      <c r="B129" s="26" t="s">
        <v>541</v>
      </c>
      <c r="C129" s="12" t="s">
        <v>539</v>
      </c>
      <c r="D129" s="12" t="s">
        <v>205</v>
      </c>
      <c r="E129" s="12" t="s">
        <v>205</v>
      </c>
      <c r="F129" s="10" t="s">
        <v>262</v>
      </c>
      <c r="G129" s="12"/>
      <c r="H129" s="53">
        <f>H130</f>
        <v>62</v>
      </c>
    </row>
    <row r="130" spans="1:8" s="28" customFormat="1" x14ac:dyDescent="0.25">
      <c r="A130" s="27">
        <v>70743202001</v>
      </c>
      <c r="B130" s="26" t="s">
        <v>1435</v>
      </c>
      <c r="C130" s="12" t="s">
        <v>539</v>
      </c>
      <c r="D130" s="12" t="s">
        <v>205</v>
      </c>
      <c r="E130" s="12" t="s">
        <v>205</v>
      </c>
      <c r="F130" s="10" t="s">
        <v>262</v>
      </c>
      <c r="G130" s="12" t="s">
        <v>1394</v>
      </c>
      <c r="H130" s="53">
        <v>62</v>
      </c>
    </row>
    <row r="131" spans="1:8" s="28" customFormat="1" x14ac:dyDescent="0.25">
      <c r="A131" s="29"/>
      <c r="B131" s="37"/>
      <c r="C131" s="12"/>
      <c r="D131" s="12"/>
      <c r="E131" s="12"/>
      <c r="F131" s="12"/>
      <c r="G131" s="12"/>
      <c r="H131" s="53"/>
    </row>
    <row r="132" spans="1:8" s="3" customFormat="1" ht="31.5" x14ac:dyDescent="0.25">
      <c r="A132" s="40">
        <v>0</v>
      </c>
      <c r="B132" s="30" t="s">
        <v>322</v>
      </c>
      <c r="C132" s="42" t="s">
        <v>540</v>
      </c>
      <c r="D132" s="31"/>
      <c r="E132" s="31"/>
      <c r="F132" s="31"/>
      <c r="G132" s="31"/>
      <c r="H132" s="187">
        <f>H133+H138+H143+H148+H170</f>
        <v>1381721</v>
      </c>
    </row>
    <row r="133" spans="1:8" s="3" customFormat="1" x14ac:dyDescent="0.25">
      <c r="A133" s="27">
        <v>2</v>
      </c>
      <c r="B133" s="35" t="s">
        <v>271</v>
      </c>
      <c r="C133" s="12" t="s">
        <v>540</v>
      </c>
      <c r="D133" s="12" t="s">
        <v>567</v>
      </c>
      <c r="E133" s="31"/>
      <c r="F133" s="31"/>
      <c r="G133" s="31"/>
      <c r="H133" s="53">
        <f>H134</f>
        <v>200</v>
      </c>
    </row>
    <row r="134" spans="1:8" s="3" customFormat="1" x14ac:dyDescent="0.25">
      <c r="A134" s="27">
        <v>204</v>
      </c>
      <c r="B134" s="26" t="s">
        <v>1054</v>
      </c>
      <c r="C134" s="12" t="s">
        <v>540</v>
      </c>
      <c r="D134" s="12" t="s">
        <v>567</v>
      </c>
      <c r="E134" s="12" t="s">
        <v>1181</v>
      </c>
      <c r="F134" s="31"/>
      <c r="G134" s="31"/>
      <c r="H134" s="53">
        <f>H135</f>
        <v>200</v>
      </c>
    </row>
    <row r="135" spans="1:8" s="3" customFormat="1" ht="31.5" x14ac:dyDescent="0.25">
      <c r="A135" s="27">
        <v>204209</v>
      </c>
      <c r="B135" s="26" t="s">
        <v>141</v>
      </c>
      <c r="C135" s="12" t="s">
        <v>540</v>
      </c>
      <c r="D135" s="12" t="s">
        <v>567</v>
      </c>
      <c r="E135" s="12" t="s">
        <v>1181</v>
      </c>
      <c r="F135" s="10" t="s">
        <v>270</v>
      </c>
      <c r="G135" s="31"/>
      <c r="H135" s="53">
        <f>H136</f>
        <v>200</v>
      </c>
    </row>
    <row r="136" spans="1:8" s="3" customFormat="1" ht="31.5" x14ac:dyDescent="0.25">
      <c r="A136" s="27">
        <v>20420901</v>
      </c>
      <c r="B136" s="26" t="s">
        <v>1408</v>
      </c>
      <c r="C136" s="12" t="s">
        <v>540</v>
      </c>
      <c r="D136" s="12" t="s">
        <v>567</v>
      </c>
      <c r="E136" s="12" t="s">
        <v>1181</v>
      </c>
      <c r="F136" s="10" t="s">
        <v>956</v>
      </c>
      <c r="G136" s="31"/>
      <c r="H136" s="53">
        <f>H137</f>
        <v>200</v>
      </c>
    </row>
    <row r="137" spans="1:8" s="3" customFormat="1" x14ac:dyDescent="0.25">
      <c r="A137" s="27">
        <v>20420901012</v>
      </c>
      <c r="B137" s="65" t="s">
        <v>1012</v>
      </c>
      <c r="C137" s="12" t="s">
        <v>540</v>
      </c>
      <c r="D137" s="12" t="s">
        <v>567</v>
      </c>
      <c r="E137" s="12" t="s">
        <v>1181</v>
      </c>
      <c r="F137" s="10" t="s">
        <v>956</v>
      </c>
      <c r="G137" s="12" t="s">
        <v>1224</v>
      </c>
      <c r="H137" s="53">
        <v>200</v>
      </c>
    </row>
    <row r="138" spans="1:8" s="28" customFormat="1" ht="21" customHeight="1" x14ac:dyDescent="0.25">
      <c r="A138" s="27">
        <v>3</v>
      </c>
      <c r="B138" s="35" t="s">
        <v>1049</v>
      </c>
      <c r="C138" s="12" t="s">
        <v>540</v>
      </c>
      <c r="D138" s="12" t="s">
        <v>193</v>
      </c>
      <c r="E138" s="12"/>
      <c r="F138" s="10"/>
      <c r="G138" s="12"/>
      <c r="H138" s="53">
        <f>H139</f>
        <v>78</v>
      </c>
    </row>
    <row r="139" spans="1:8" s="28" customFormat="1" ht="47.25" x14ac:dyDescent="0.25">
      <c r="A139" s="27">
        <v>309</v>
      </c>
      <c r="B139" s="26" t="s">
        <v>133</v>
      </c>
      <c r="C139" s="12" t="s">
        <v>540</v>
      </c>
      <c r="D139" s="12" t="s">
        <v>193</v>
      </c>
      <c r="E139" s="12" t="s">
        <v>406</v>
      </c>
      <c r="F139" s="10"/>
      <c r="G139" s="12"/>
      <c r="H139" s="53">
        <f>H140</f>
        <v>78</v>
      </c>
    </row>
    <row r="140" spans="1:8" s="28" customFormat="1" x14ac:dyDescent="0.25">
      <c r="A140" s="27">
        <v>309219</v>
      </c>
      <c r="B140" s="26" t="s">
        <v>1098</v>
      </c>
      <c r="C140" s="12" t="s">
        <v>540</v>
      </c>
      <c r="D140" s="12" t="s">
        <v>193</v>
      </c>
      <c r="E140" s="12" t="s">
        <v>406</v>
      </c>
      <c r="F140" s="10" t="s">
        <v>620</v>
      </c>
      <c r="G140" s="12"/>
      <c r="H140" s="53">
        <f>H141</f>
        <v>78</v>
      </c>
    </row>
    <row r="141" spans="1:8" s="28" customFormat="1" ht="34.5" customHeight="1" x14ac:dyDescent="0.25">
      <c r="A141" s="27">
        <v>30921901</v>
      </c>
      <c r="B141" s="26" t="s">
        <v>591</v>
      </c>
      <c r="C141" s="12" t="s">
        <v>540</v>
      </c>
      <c r="D141" s="12" t="s">
        <v>193</v>
      </c>
      <c r="E141" s="12" t="s">
        <v>406</v>
      </c>
      <c r="F141" s="10" t="s">
        <v>269</v>
      </c>
      <c r="G141" s="12"/>
      <c r="H141" s="53">
        <f>H142</f>
        <v>78</v>
      </c>
    </row>
    <row r="142" spans="1:8" s="28" customFormat="1" x14ac:dyDescent="0.25">
      <c r="A142" s="27">
        <v>30921901012</v>
      </c>
      <c r="B142" s="65" t="s">
        <v>1012</v>
      </c>
      <c r="C142" s="12" t="s">
        <v>540</v>
      </c>
      <c r="D142" s="12" t="s">
        <v>193</v>
      </c>
      <c r="E142" s="12" t="s">
        <v>406</v>
      </c>
      <c r="F142" s="10" t="s">
        <v>269</v>
      </c>
      <c r="G142" s="12" t="s">
        <v>1224</v>
      </c>
      <c r="H142" s="53">
        <v>78</v>
      </c>
    </row>
    <row r="143" spans="1:8" s="28" customFormat="1" x14ac:dyDescent="0.25">
      <c r="A143" s="29">
        <v>4</v>
      </c>
      <c r="B143" s="35" t="s">
        <v>993</v>
      </c>
      <c r="C143" s="12" t="s">
        <v>540</v>
      </c>
      <c r="D143" s="12" t="s">
        <v>1181</v>
      </c>
      <c r="E143" s="12"/>
      <c r="F143" s="12"/>
      <c r="G143" s="12"/>
      <c r="H143" s="53">
        <f>H144</f>
        <v>500000</v>
      </c>
    </row>
    <row r="144" spans="1:8" s="28" customFormat="1" x14ac:dyDescent="0.25">
      <c r="A144" s="29">
        <v>412</v>
      </c>
      <c r="B144" s="26" t="s">
        <v>1253</v>
      </c>
      <c r="C144" s="12" t="s">
        <v>540</v>
      </c>
      <c r="D144" s="12" t="s">
        <v>1181</v>
      </c>
      <c r="E144" s="12">
        <v>12</v>
      </c>
      <c r="F144" s="12"/>
      <c r="G144" s="12"/>
      <c r="H144" s="53">
        <f>H145</f>
        <v>500000</v>
      </c>
    </row>
    <row r="145" spans="1:8" s="28" customFormat="1" ht="31.5" x14ac:dyDescent="0.25">
      <c r="A145" s="27">
        <v>412340</v>
      </c>
      <c r="B145" s="26" t="s">
        <v>481</v>
      </c>
      <c r="C145" s="12" t="s">
        <v>540</v>
      </c>
      <c r="D145" s="12" t="s">
        <v>1181</v>
      </c>
      <c r="E145" s="12">
        <v>12</v>
      </c>
      <c r="F145" s="10" t="s">
        <v>1015</v>
      </c>
      <c r="G145" s="12"/>
      <c r="H145" s="53">
        <f>H146</f>
        <v>500000</v>
      </c>
    </row>
    <row r="146" spans="1:8" s="28" customFormat="1" x14ac:dyDescent="0.25">
      <c r="A146" s="27">
        <v>41234004</v>
      </c>
      <c r="B146" s="65" t="s">
        <v>1215</v>
      </c>
      <c r="C146" s="12" t="s">
        <v>540</v>
      </c>
      <c r="D146" s="12" t="s">
        <v>1181</v>
      </c>
      <c r="E146" s="12">
        <v>12</v>
      </c>
      <c r="F146" s="10" t="s">
        <v>1753</v>
      </c>
      <c r="G146" s="10"/>
      <c r="H146" s="53">
        <f>H147</f>
        <v>500000</v>
      </c>
    </row>
    <row r="147" spans="1:8" s="28" customFormat="1" x14ac:dyDescent="0.25">
      <c r="A147" s="27">
        <v>41234004006</v>
      </c>
      <c r="B147" s="65" t="s">
        <v>84</v>
      </c>
      <c r="C147" s="12" t="s">
        <v>540</v>
      </c>
      <c r="D147" s="12" t="s">
        <v>1181</v>
      </c>
      <c r="E147" s="12">
        <v>12</v>
      </c>
      <c r="F147" s="10" t="s">
        <v>1753</v>
      </c>
      <c r="G147" s="12" t="s">
        <v>165</v>
      </c>
      <c r="H147" s="53">
        <v>500000</v>
      </c>
    </row>
    <row r="148" spans="1:8" s="28" customFormat="1" x14ac:dyDescent="0.25">
      <c r="A148" s="29">
        <v>5</v>
      </c>
      <c r="B148" s="35" t="s">
        <v>410</v>
      </c>
      <c r="C148" s="12" t="s">
        <v>540</v>
      </c>
      <c r="D148" s="12" t="s">
        <v>175</v>
      </c>
      <c r="E148" s="12"/>
      <c r="F148" s="12"/>
      <c r="G148" s="12"/>
      <c r="H148" s="53">
        <f>H149+H157+H162</f>
        <v>881399</v>
      </c>
    </row>
    <row r="149" spans="1:8" s="69" customFormat="1" x14ac:dyDescent="0.25">
      <c r="A149" s="29">
        <v>501</v>
      </c>
      <c r="B149" s="37" t="s">
        <v>196</v>
      </c>
      <c r="C149" s="12" t="s">
        <v>540</v>
      </c>
      <c r="D149" s="12" t="s">
        <v>175</v>
      </c>
      <c r="E149" s="12" t="s">
        <v>566</v>
      </c>
      <c r="F149" s="10"/>
      <c r="G149" s="10"/>
      <c r="H149" s="53">
        <f>H150+H154</f>
        <v>384531</v>
      </c>
    </row>
    <row r="150" spans="1:8" s="147" customFormat="1" ht="31.5" x14ac:dyDescent="0.25">
      <c r="A150" s="188">
        <v>501102</v>
      </c>
      <c r="B150" s="38" t="s">
        <v>106</v>
      </c>
      <c r="C150" s="25" t="s">
        <v>540</v>
      </c>
      <c r="D150" s="25" t="s">
        <v>175</v>
      </c>
      <c r="E150" s="25" t="s">
        <v>566</v>
      </c>
      <c r="F150" s="11" t="s">
        <v>234</v>
      </c>
      <c r="G150" s="25"/>
      <c r="H150" s="53">
        <f>H151</f>
        <v>190153</v>
      </c>
    </row>
    <row r="151" spans="1:8" s="147" customFormat="1" ht="63" x14ac:dyDescent="0.25">
      <c r="A151" s="188">
        <v>50110201</v>
      </c>
      <c r="B151" s="38" t="s">
        <v>942</v>
      </c>
      <c r="C151" s="25" t="s">
        <v>540</v>
      </c>
      <c r="D151" s="25" t="s">
        <v>175</v>
      </c>
      <c r="E151" s="25" t="s">
        <v>566</v>
      </c>
      <c r="F151" s="11" t="s">
        <v>1178</v>
      </c>
      <c r="G151" s="25"/>
      <c r="H151" s="53">
        <f>H152</f>
        <v>190153</v>
      </c>
    </row>
    <row r="152" spans="1:8" s="147" customFormat="1" ht="31.5" x14ac:dyDescent="0.25">
      <c r="A152" s="188">
        <v>5011020102</v>
      </c>
      <c r="B152" s="38" t="s">
        <v>813</v>
      </c>
      <c r="C152" s="25" t="s">
        <v>540</v>
      </c>
      <c r="D152" s="25" t="s">
        <v>175</v>
      </c>
      <c r="E152" s="25" t="s">
        <v>566</v>
      </c>
      <c r="F152" s="11" t="s">
        <v>740</v>
      </c>
      <c r="G152" s="25"/>
      <c r="H152" s="53">
        <f>H153</f>
        <v>190153</v>
      </c>
    </row>
    <row r="153" spans="1:8" s="147" customFormat="1" x14ac:dyDescent="0.25">
      <c r="A153" s="188">
        <v>5011020102003</v>
      </c>
      <c r="B153" s="38" t="s">
        <v>256</v>
      </c>
      <c r="C153" s="25" t="s">
        <v>540</v>
      </c>
      <c r="D153" s="25" t="s">
        <v>175</v>
      </c>
      <c r="E153" s="25" t="s">
        <v>566</v>
      </c>
      <c r="F153" s="11" t="s">
        <v>740</v>
      </c>
      <c r="G153" s="25" t="s">
        <v>539</v>
      </c>
      <c r="H153" s="53">
        <v>190153</v>
      </c>
    </row>
    <row r="154" spans="1:8" s="69" customFormat="1" ht="31.5" x14ac:dyDescent="0.25">
      <c r="A154" s="27">
        <v>501104</v>
      </c>
      <c r="B154" s="26" t="s">
        <v>636</v>
      </c>
      <c r="C154" s="12" t="s">
        <v>540</v>
      </c>
      <c r="D154" s="12" t="s">
        <v>175</v>
      </c>
      <c r="E154" s="12" t="s">
        <v>566</v>
      </c>
      <c r="F154" s="10" t="s">
        <v>207</v>
      </c>
      <c r="G154" s="10"/>
      <c r="H154" s="53">
        <f>H155</f>
        <v>194378</v>
      </c>
    </row>
    <row r="155" spans="1:8" s="69" customFormat="1" ht="29.25" customHeight="1" x14ac:dyDescent="0.25">
      <c r="A155" s="27">
        <v>50110407</v>
      </c>
      <c r="B155" s="26" t="s">
        <v>1177</v>
      </c>
      <c r="C155" s="12" t="s">
        <v>540</v>
      </c>
      <c r="D155" s="12" t="s">
        <v>175</v>
      </c>
      <c r="E155" s="12" t="s">
        <v>566</v>
      </c>
      <c r="F155" s="10" t="s">
        <v>835</v>
      </c>
      <c r="G155" s="10"/>
      <c r="H155" s="53">
        <f>H156</f>
        <v>194378</v>
      </c>
    </row>
    <row r="156" spans="1:8" s="69" customFormat="1" x14ac:dyDescent="0.25">
      <c r="A156" s="27">
        <v>50110407012</v>
      </c>
      <c r="B156" s="26" t="s">
        <v>1012</v>
      </c>
      <c r="C156" s="12" t="s">
        <v>540</v>
      </c>
      <c r="D156" s="12" t="s">
        <v>175</v>
      </c>
      <c r="E156" s="12" t="s">
        <v>566</v>
      </c>
      <c r="F156" s="10" t="s">
        <v>835</v>
      </c>
      <c r="G156" s="12" t="s">
        <v>1224</v>
      </c>
      <c r="H156" s="53">
        <v>194378</v>
      </c>
    </row>
    <row r="157" spans="1:8" s="28" customFormat="1" x14ac:dyDescent="0.25">
      <c r="A157" s="29">
        <v>502</v>
      </c>
      <c r="B157" s="190" t="s">
        <v>297</v>
      </c>
      <c r="C157" s="12" t="s">
        <v>540</v>
      </c>
      <c r="D157" s="12" t="s">
        <v>175</v>
      </c>
      <c r="E157" s="12" t="s">
        <v>567</v>
      </c>
      <c r="F157" s="19"/>
      <c r="G157" s="10"/>
      <c r="H157" s="53">
        <f>H158</f>
        <v>143500</v>
      </c>
    </row>
    <row r="158" spans="1:8" s="28" customFormat="1" x14ac:dyDescent="0.25">
      <c r="A158" s="27">
        <v>502522</v>
      </c>
      <c r="B158" s="38" t="s">
        <v>153</v>
      </c>
      <c r="C158" s="12" t="s">
        <v>540</v>
      </c>
      <c r="D158" s="12" t="s">
        <v>175</v>
      </c>
      <c r="E158" s="12" t="s">
        <v>567</v>
      </c>
      <c r="F158" s="11" t="s">
        <v>611</v>
      </c>
      <c r="G158" s="39"/>
      <c r="H158" s="53">
        <f>H159</f>
        <v>143500</v>
      </c>
    </row>
    <row r="159" spans="1:8" s="28" customFormat="1" ht="33" customHeight="1" x14ac:dyDescent="0.25">
      <c r="A159" s="27">
        <v>50252201</v>
      </c>
      <c r="B159" s="191" t="s">
        <v>1735</v>
      </c>
      <c r="C159" s="12" t="s">
        <v>540</v>
      </c>
      <c r="D159" s="12" t="s">
        <v>175</v>
      </c>
      <c r="E159" s="12" t="s">
        <v>567</v>
      </c>
      <c r="F159" s="11" t="s">
        <v>1238</v>
      </c>
      <c r="G159" s="10"/>
      <c r="H159" s="53">
        <f>H160</f>
        <v>143500</v>
      </c>
    </row>
    <row r="160" spans="1:8" s="28" customFormat="1" ht="30.75" customHeight="1" x14ac:dyDescent="0.25">
      <c r="A160" s="27">
        <v>5025220102</v>
      </c>
      <c r="B160" s="191" t="s">
        <v>1417</v>
      </c>
      <c r="C160" s="12" t="s">
        <v>540</v>
      </c>
      <c r="D160" s="12" t="s">
        <v>175</v>
      </c>
      <c r="E160" s="12" t="s">
        <v>567</v>
      </c>
      <c r="F160" s="11" t="s">
        <v>28</v>
      </c>
      <c r="G160" s="10"/>
      <c r="H160" s="53">
        <f>H161</f>
        <v>143500</v>
      </c>
    </row>
    <row r="161" spans="1:8" s="28" customFormat="1" x14ac:dyDescent="0.25">
      <c r="A161" s="27">
        <v>5025220102003</v>
      </c>
      <c r="B161" s="38" t="s">
        <v>256</v>
      </c>
      <c r="C161" s="12" t="s">
        <v>540</v>
      </c>
      <c r="D161" s="12" t="s">
        <v>175</v>
      </c>
      <c r="E161" s="12" t="s">
        <v>567</v>
      </c>
      <c r="F161" s="11" t="s">
        <v>28</v>
      </c>
      <c r="G161" s="12" t="s">
        <v>539</v>
      </c>
      <c r="H161" s="53">
        <v>143500</v>
      </c>
    </row>
    <row r="162" spans="1:8" s="28" customFormat="1" x14ac:dyDescent="0.25">
      <c r="A162" s="29">
        <v>505</v>
      </c>
      <c r="B162" s="26" t="s">
        <v>551</v>
      </c>
      <c r="C162" s="12" t="s">
        <v>540</v>
      </c>
      <c r="D162" s="12" t="s">
        <v>175</v>
      </c>
      <c r="E162" s="12" t="s">
        <v>175</v>
      </c>
      <c r="F162" s="10"/>
      <c r="G162" s="10"/>
      <c r="H162" s="53">
        <f>H163+H168</f>
        <v>353368</v>
      </c>
    </row>
    <row r="163" spans="1:8" s="28" customFormat="1" ht="47.25" x14ac:dyDescent="0.25">
      <c r="A163" s="27">
        <v>505002</v>
      </c>
      <c r="B163" s="26" t="s">
        <v>1657</v>
      </c>
      <c r="C163" s="12" t="s">
        <v>540</v>
      </c>
      <c r="D163" s="12" t="s">
        <v>175</v>
      </c>
      <c r="E163" s="12" t="s">
        <v>175</v>
      </c>
      <c r="F163" s="12" t="s">
        <v>200</v>
      </c>
      <c r="G163" s="10"/>
      <c r="H163" s="53">
        <f>H164+H166</f>
        <v>346710</v>
      </c>
    </row>
    <row r="164" spans="1:8" s="28" customFormat="1" x14ac:dyDescent="0.25">
      <c r="A164" s="27">
        <v>50500204</v>
      </c>
      <c r="B164" s="65" t="s">
        <v>638</v>
      </c>
      <c r="C164" s="12" t="s">
        <v>540</v>
      </c>
      <c r="D164" s="12" t="s">
        <v>175</v>
      </c>
      <c r="E164" s="12" t="s">
        <v>175</v>
      </c>
      <c r="F164" s="12" t="s">
        <v>797</v>
      </c>
      <c r="G164" s="12"/>
      <c r="H164" s="53">
        <f>H165</f>
        <v>205458</v>
      </c>
    </row>
    <row r="165" spans="1:8" s="28" customFormat="1" x14ac:dyDescent="0.25">
      <c r="A165" s="27">
        <v>50500204012</v>
      </c>
      <c r="B165" s="26" t="s">
        <v>1012</v>
      </c>
      <c r="C165" s="12" t="s">
        <v>540</v>
      </c>
      <c r="D165" s="12" t="s">
        <v>175</v>
      </c>
      <c r="E165" s="12" t="s">
        <v>175</v>
      </c>
      <c r="F165" s="12" t="s">
        <v>797</v>
      </c>
      <c r="G165" s="12" t="s">
        <v>1224</v>
      </c>
      <c r="H165" s="230">
        <f>182658+22800</f>
        <v>205458</v>
      </c>
    </row>
    <row r="166" spans="1:8" s="69" customFormat="1" x14ac:dyDescent="0.25">
      <c r="A166" s="27">
        <v>50500299</v>
      </c>
      <c r="B166" s="26" t="s">
        <v>624</v>
      </c>
      <c r="C166" s="12" t="s">
        <v>540</v>
      </c>
      <c r="D166" s="12" t="s">
        <v>175</v>
      </c>
      <c r="E166" s="12" t="s">
        <v>175</v>
      </c>
      <c r="F166" s="12" t="s">
        <v>617</v>
      </c>
      <c r="G166" s="6"/>
      <c r="H166" s="53">
        <f>H167</f>
        <v>141252</v>
      </c>
    </row>
    <row r="167" spans="1:8" s="69" customFormat="1" x14ac:dyDescent="0.25">
      <c r="A167" s="27">
        <v>50500299001</v>
      </c>
      <c r="B167" s="26" t="s">
        <v>1435</v>
      </c>
      <c r="C167" s="12" t="s">
        <v>540</v>
      </c>
      <c r="D167" s="12" t="s">
        <v>175</v>
      </c>
      <c r="E167" s="12" t="s">
        <v>175</v>
      </c>
      <c r="F167" s="12" t="s">
        <v>617</v>
      </c>
      <c r="G167" s="6" t="s">
        <v>1394</v>
      </c>
      <c r="H167" s="53">
        <v>141252</v>
      </c>
    </row>
    <row r="168" spans="1:8" s="28" customFormat="1" x14ac:dyDescent="0.25">
      <c r="A168" s="27">
        <v>505806</v>
      </c>
      <c r="B168" s="26" t="s">
        <v>1522</v>
      </c>
      <c r="C168" s="12" t="s">
        <v>540</v>
      </c>
      <c r="D168" s="12" t="s">
        <v>175</v>
      </c>
      <c r="E168" s="12" t="s">
        <v>175</v>
      </c>
      <c r="F168" s="10" t="s">
        <v>453</v>
      </c>
      <c r="G168" s="10"/>
      <c r="H168" s="53">
        <f>H169</f>
        <v>6658</v>
      </c>
    </row>
    <row r="169" spans="1:8" s="28" customFormat="1" x14ac:dyDescent="0.25">
      <c r="A169" s="27">
        <v>505806006</v>
      </c>
      <c r="B169" s="65" t="s">
        <v>84</v>
      </c>
      <c r="C169" s="12" t="s">
        <v>540</v>
      </c>
      <c r="D169" s="12" t="s">
        <v>175</v>
      </c>
      <c r="E169" s="12" t="s">
        <v>175</v>
      </c>
      <c r="F169" s="10" t="s">
        <v>453</v>
      </c>
      <c r="G169" s="12" t="s">
        <v>165</v>
      </c>
      <c r="H169" s="53">
        <v>6658</v>
      </c>
    </row>
    <row r="170" spans="1:8" s="128" customFormat="1" x14ac:dyDescent="0.25">
      <c r="A170" s="29">
        <v>7</v>
      </c>
      <c r="B170" s="35" t="s">
        <v>174</v>
      </c>
      <c r="C170" s="12" t="s">
        <v>540</v>
      </c>
      <c r="D170" s="12" t="s">
        <v>205</v>
      </c>
      <c r="E170" s="10"/>
      <c r="F170" s="10"/>
      <c r="G170" s="10"/>
      <c r="H170" s="53">
        <f>H171</f>
        <v>44</v>
      </c>
    </row>
    <row r="171" spans="1:8" s="128" customFormat="1" x14ac:dyDescent="0.25">
      <c r="A171" s="29">
        <v>707</v>
      </c>
      <c r="B171" s="26" t="s">
        <v>699</v>
      </c>
      <c r="C171" s="12" t="s">
        <v>540</v>
      </c>
      <c r="D171" s="12" t="s">
        <v>205</v>
      </c>
      <c r="E171" s="12" t="s">
        <v>205</v>
      </c>
      <c r="F171" s="10"/>
      <c r="G171" s="10"/>
      <c r="H171" s="53">
        <f>H172</f>
        <v>44</v>
      </c>
    </row>
    <row r="172" spans="1:8" s="128" customFormat="1" ht="21" customHeight="1" x14ac:dyDescent="0.25">
      <c r="A172" s="27">
        <v>707432</v>
      </c>
      <c r="B172" s="26" t="s">
        <v>1482</v>
      </c>
      <c r="C172" s="12" t="s">
        <v>540</v>
      </c>
      <c r="D172" s="12" t="s">
        <v>205</v>
      </c>
      <c r="E172" s="12" t="s">
        <v>205</v>
      </c>
      <c r="F172" s="10" t="s">
        <v>965</v>
      </c>
      <c r="G172" s="12"/>
      <c r="H172" s="53">
        <f>H173</f>
        <v>44</v>
      </c>
    </row>
    <row r="173" spans="1:8" s="28" customFormat="1" x14ac:dyDescent="0.25">
      <c r="A173" s="27">
        <v>70743202</v>
      </c>
      <c r="B173" s="26" t="s">
        <v>541</v>
      </c>
      <c r="C173" s="12" t="s">
        <v>540</v>
      </c>
      <c r="D173" s="12" t="s">
        <v>205</v>
      </c>
      <c r="E173" s="12" t="s">
        <v>205</v>
      </c>
      <c r="F173" s="10" t="s">
        <v>262</v>
      </c>
      <c r="G173" s="12"/>
      <c r="H173" s="53">
        <f>H174</f>
        <v>44</v>
      </c>
    </row>
    <row r="174" spans="1:8" s="28" customFormat="1" x14ac:dyDescent="0.25">
      <c r="A174" s="27">
        <v>70743202001</v>
      </c>
      <c r="B174" s="26" t="s">
        <v>1435</v>
      </c>
      <c r="C174" s="12" t="s">
        <v>540</v>
      </c>
      <c r="D174" s="12" t="s">
        <v>205</v>
      </c>
      <c r="E174" s="12" t="s">
        <v>205</v>
      </c>
      <c r="F174" s="10" t="s">
        <v>262</v>
      </c>
      <c r="G174" s="12" t="s">
        <v>1394</v>
      </c>
      <c r="H174" s="53">
        <v>44</v>
      </c>
    </row>
    <row r="175" spans="1:8" s="28" customFormat="1" x14ac:dyDescent="0.25">
      <c r="A175" s="29"/>
      <c r="B175" s="26"/>
      <c r="C175" s="10"/>
      <c r="D175" s="10"/>
      <c r="E175" s="10"/>
      <c r="F175" s="10"/>
      <c r="G175" s="10"/>
      <c r="H175" s="192"/>
    </row>
    <row r="176" spans="1:8" s="3" customFormat="1" ht="22.5" customHeight="1" x14ac:dyDescent="0.25">
      <c r="A176" s="40">
        <v>0</v>
      </c>
      <c r="B176" s="41" t="s">
        <v>1325</v>
      </c>
      <c r="C176" s="42" t="s">
        <v>1326</v>
      </c>
      <c r="D176" s="31"/>
      <c r="E176" s="31"/>
      <c r="F176" s="31"/>
      <c r="G176" s="31"/>
      <c r="H176" s="187">
        <f>H177+H182+H187+H192+H211</f>
        <v>226908</v>
      </c>
    </row>
    <row r="177" spans="1:8" s="3" customFormat="1" x14ac:dyDescent="0.25">
      <c r="A177" s="29">
        <v>1</v>
      </c>
      <c r="B177" s="35" t="s">
        <v>482</v>
      </c>
      <c r="C177" s="12" t="s">
        <v>1326</v>
      </c>
      <c r="D177" s="12" t="s">
        <v>566</v>
      </c>
      <c r="E177" s="31"/>
      <c r="F177" s="31"/>
      <c r="G177" s="31"/>
      <c r="H177" s="53">
        <f>H178</f>
        <v>72</v>
      </c>
    </row>
    <row r="178" spans="1:8" s="3" customFormat="1" x14ac:dyDescent="0.25">
      <c r="A178" s="29">
        <v>114</v>
      </c>
      <c r="B178" s="26" t="s">
        <v>287</v>
      </c>
      <c r="C178" s="12" t="s">
        <v>1326</v>
      </c>
      <c r="D178" s="12" t="s">
        <v>566</v>
      </c>
      <c r="E178" s="12">
        <v>14</v>
      </c>
      <c r="F178" s="31"/>
      <c r="G178" s="31"/>
      <c r="H178" s="53">
        <f>H179</f>
        <v>72</v>
      </c>
    </row>
    <row r="179" spans="1:8" s="28" customFormat="1" x14ac:dyDescent="0.25">
      <c r="A179" s="27">
        <v>114001</v>
      </c>
      <c r="B179" s="26" t="s">
        <v>637</v>
      </c>
      <c r="C179" s="12" t="s">
        <v>1326</v>
      </c>
      <c r="D179" s="12" t="s">
        <v>566</v>
      </c>
      <c r="E179" s="12">
        <v>14</v>
      </c>
      <c r="F179" s="10" t="s">
        <v>1096</v>
      </c>
      <c r="G179" s="12"/>
      <c r="H179" s="53">
        <f>H180</f>
        <v>72</v>
      </c>
    </row>
    <row r="180" spans="1:8" s="147" customFormat="1" ht="31.5" x14ac:dyDescent="0.25">
      <c r="A180" s="188">
        <v>11400164</v>
      </c>
      <c r="B180" s="38" t="s">
        <v>872</v>
      </c>
      <c r="C180" s="12" t="s">
        <v>1326</v>
      </c>
      <c r="D180" s="25" t="s">
        <v>566</v>
      </c>
      <c r="E180" s="25">
        <v>14</v>
      </c>
      <c r="F180" s="25" t="s">
        <v>997</v>
      </c>
      <c r="G180" s="189"/>
      <c r="H180" s="53">
        <f>H181</f>
        <v>72</v>
      </c>
    </row>
    <row r="181" spans="1:8" s="147" customFormat="1" x14ac:dyDescent="0.25">
      <c r="A181" s="188">
        <v>11400164013</v>
      </c>
      <c r="B181" s="38" t="s">
        <v>1335</v>
      </c>
      <c r="C181" s="12" t="s">
        <v>1326</v>
      </c>
      <c r="D181" s="25" t="s">
        <v>566</v>
      </c>
      <c r="E181" s="25">
        <v>14</v>
      </c>
      <c r="F181" s="25" t="s">
        <v>997</v>
      </c>
      <c r="G181" s="25" t="s">
        <v>972</v>
      </c>
      <c r="H181" s="53">
        <v>72</v>
      </c>
    </row>
    <row r="182" spans="1:8" s="3" customFormat="1" x14ac:dyDescent="0.25">
      <c r="A182" s="27">
        <v>2</v>
      </c>
      <c r="B182" s="35" t="s">
        <v>271</v>
      </c>
      <c r="C182" s="12" t="s">
        <v>1326</v>
      </c>
      <c r="D182" s="12" t="s">
        <v>567</v>
      </c>
      <c r="E182" s="31"/>
      <c r="F182" s="31"/>
      <c r="G182" s="31"/>
      <c r="H182" s="53">
        <f>H183</f>
        <v>750</v>
      </c>
    </row>
    <row r="183" spans="1:8" s="3" customFormat="1" x14ac:dyDescent="0.25">
      <c r="A183" s="27">
        <v>204</v>
      </c>
      <c r="B183" s="26" t="s">
        <v>1054</v>
      </c>
      <c r="C183" s="12" t="s">
        <v>1326</v>
      </c>
      <c r="D183" s="12" t="s">
        <v>567</v>
      </c>
      <c r="E183" s="12" t="s">
        <v>1181</v>
      </c>
      <c r="F183" s="31"/>
      <c r="G183" s="31"/>
      <c r="H183" s="53">
        <f>H184</f>
        <v>750</v>
      </c>
    </row>
    <row r="184" spans="1:8" s="3" customFormat="1" ht="31.5" x14ac:dyDescent="0.25">
      <c r="A184" s="27">
        <v>204209</v>
      </c>
      <c r="B184" s="26" t="s">
        <v>141</v>
      </c>
      <c r="C184" s="12" t="s">
        <v>1326</v>
      </c>
      <c r="D184" s="12" t="s">
        <v>567</v>
      </c>
      <c r="E184" s="12" t="s">
        <v>1181</v>
      </c>
      <c r="F184" s="10" t="s">
        <v>270</v>
      </c>
      <c r="G184" s="31"/>
      <c r="H184" s="53">
        <f>H185</f>
        <v>750</v>
      </c>
    </row>
    <row r="185" spans="1:8" s="3" customFormat="1" ht="31.5" x14ac:dyDescent="0.25">
      <c r="A185" s="27">
        <v>20420901</v>
      </c>
      <c r="B185" s="26" t="s">
        <v>1408</v>
      </c>
      <c r="C185" s="12" t="s">
        <v>1326</v>
      </c>
      <c r="D185" s="12" t="s">
        <v>567</v>
      </c>
      <c r="E185" s="12" t="s">
        <v>1181</v>
      </c>
      <c r="F185" s="10" t="s">
        <v>956</v>
      </c>
      <c r="G185" s="31"/>
      <c r="H185" s="53">
        <f>H186</f>
        <v>750</v>
      </c>
    </row>
    <row r="186" spans="1:8" s="3" customFormat="1" x14ac:dyDescent="0.25">
      <c r="A186" s="27">
        <v>20420901012</v>
      </c>
      <c r="B186" s="65" t="s">
        <v>1012</v>
      </c>
      <c r="C186" s="12" t="s">
        <v>1326</v>
      </c>
      <c r="D186" s="12" t="s">
        <v>567</v>
      </c>
      <c r="E186" s="12" t="s">
        <v>1181</v>
      </c>
      <c r="F186" s="10" t="s">
        <v>956</v>
      </c>
      <c r="G186" s="12" t="s">
        <v>1224</v>
      </c>
      <c r="H186" s="53">
        <v>750</v>
      </c>
    </row>
    <row r="187" spans="1:8" s="28" customFormat="1" ht="21" customHeight="1" x14ac:dyDescent="0.25">
      <c r="A187" s="27">
        <v>3</v>
      </c>
      <c r="B187" s="35" t="s">
        <v>1049</v>
      </c>
      <c r="C187" s="12" t="s">
        <v>1326</v>
      </c>
      <c r="D187" s="12" t="s">
        <v>193</v>
      </c>
      <c r="E187" s="12"/>
      <c r="F187" s="10"/>
      <c r="G187" s="12"/>
      <c r="H187" s="53">
        <f>H188</f>
        <v>615</v>
      </c>
    </row>
    <row r="188" spans="1:8" s="28" customFormat="1" ht="47.25" x14ac:dyDescent="0.25">
      <c r="A188" s="27">
        <v>309</v>
      </c>
      <c r="B188" s="26" t="s">
        <v>133</v>
      </c>
      <c r="C188" s="12" t="s">
        <v>1326</v>
      </c>
      <c r="D188" s="12" t="s">
        <v>193</v>
      </c>
      <c r="E188" s="12" t="s">
        <v>406</v>
      </c>
      <c r="F188" s="10"/>
      <c r="G188" s="12"/>
      <c r="H188" s="53">
        <f>H189</f>
        <v>615</v>
      </c>
    </row>
    <row r="189" spans="1:8" s="28" customFormat="1" x14ac:dyDescent="0.25">
      <c r="A189" s="27">
        <v>309219</v>
      </c>
      <c r="B189" s="26" t="s">
        <v>1098</v>
      </c>
      <c r="C189" s="12" t="s">
        <v>1326</v>
      </c>
      <c r="D189" s="12" t="s">
        <v>193</v>
      </c>
      <c r="E189" s="12" t="s">
        <v>406</v>
      </c>
      <c r="F189" s="10" t="s">
        <v>620</v>
      </c>
      <c r="G189" s="12"/>
      <c r="H189" s="53">
        <f>H190</f>
        <v>615</v>
      </c>
    </row>
    <row r="190" spans="1:8" s="28" customFormat="1" ht="34.5" customHeight="1" x14ac:dyDescent="0.25">
      <c r="A190" s="27">
        <v>30921901</v>
      </c>
      <c r="B190" s="26" t="s">
        <v>591</v>
      </c>
      <c r="C190" s="12" t="s">
        <v>1326</v>
      </c>
      <c r="D190" s="12" t="s">
        <v>193</v>
      </c>
      <c r="E190" s="12" t="s">
        <v>406</v>
      </c>
      <c r="F190" s="10" t="s">
        <v>269</v>
      </c>
      <c r="G190" s="12"/>
      <c r="H190" s="53">
        <f>H191</f>
        <v>615</v>
      </c>
    </row>
    <row r="191" spans="1:8" s="28" customFormat="1" x14ac:dyDescent="0.25">
      <c r="A191" s="27">
        <v>30921901012</v>
      </c>
      <c r="B191" s="65" t="s">
        <v>1012</v>
      </c>
      <c r="C191" s="12" t="s">
        <v>1326</v>
      </c>
      <c r="D191" s="12" t="s">
        <v>193</v>
      </c>
      <c r="E191" s="12" t="s">
        <v>406</v>
      </c>
      <c r="F191" s="10" t="s">
        <v>269</v>
      </c>
      <c r="G191" s="12" t="s">
        <v>1224</v>
      </c>
      <c r="H191" s="53">
        <v>615</v>
      </c>
    </row>
    <row r="192" spans="1:8" s="28" customFormat="1" x14ac:dyDescent="0.25">
      <c r="A192" s="29">
        <v>4</v>
      </c>
      <c r="B192" s="35" t="s">
        <v>993</v>
      </c>
      <c r="C192" s="12" t="s">
        <v>1326</v>
      </c>
      <c r="D192" s="12" t="s">
        <v>1181</v>
      </c>
      <c r="E192" s="12"/>
      <c r="F192" s="12"/>
      <c r="G192" s="12"/>
      <c r="H192" s="53">
        <f>H193+H198+H202</f>
        <v>225371</v>
      </c>
    </row>
    <row r="193" spans="1:8" s="28" customFormat="1" x14ac:dyDescent="0.25">
      <c r="A193" s="29">
        <v>401</v>
      </c>
      <c r="B193" s="26" t="s">
        <v>378</v>
      </c>
      <c r="C193" s="12" t="s">
        <v>1326</v>
      </c>
      <c r="D193" s="12" t="s">
        <v>1181</v>
      </c>
      <c r="E193" s="12" t="s">
        <v>566</v>
      </c>
      <c r="F193" s="10"/>
      <c r="G193" s="10"/>
      <c r="H193" s="53">
        <f>H194</f>
        <v>120224</v>
      </c>
    </row>
    <row r="194" spans="1:8" s="28" customFormat="1" ht="47.25" x14ac:dyDescent="0.25">
      <c r="A194" s="27">
        <v>401002</v>
      </c>
      <c r="B194" s="26" t="s">
        <v>1657</v>
      </c>
      <c r="C194" s="12" t="s">
        <v>1326</v>
      </c>
      <c r="D194" s="12" t="s">
        <v>1181</v>
      </c>
      <c r="E194" s="12" t="s">
        <v>566</v>
      </c>
      <c r="F194" s="12" t="s">
        <v>200</v>
      </c>
      <c r="G194" s="12"/>
      <c r="H194" s="53">
        <f>H195</f>
        <v>120224</v>
      </c>
    </row>
    <row r="195" spans="1:8" s="28" customFormat="1" x14ac:dyDescent="0.25">
      <c r="A195" s="27">
        <v>40100204</v>
      </c>
      <c r="B195" s="26" t="s">
        <v>638</v>
      </c>
      <c r="C195" s="12" t="s">
        <v>1326</v>
      </c>
      <c r="D195" s="12" t="s">
        <v>1181</v>
      </c>
      <c r="E195" s="12" t="s">
        <v>566</v>
      </c>
      <c r="F195" s="12" t="s">
        <v>797</v>
      </c>
      <c r="G195" s="12"/>
      <c r="H195" s="53">
        <f>H196+H197</f>
        <v>120224</v>
      </c>
    </row>
    <row r="196" spans="1:8" s="28" customFormat="1" x14ac:dyDescent="0.25">
      <c r="A196" s="27">
        <v>40100204012</v>
      </c>
      <c r="B196" s="26" t="s">
        <v>1012</v>
      </c>
      <c r="C196" s="12" t="s">
        <v>1326</v>
      </c>
      <c r="D196" s="12" t="s">
        <v>1181</v>
      </c>
      <c r="E196" s="12" t="s">
        <v>566</v>
      </c>
      <c r="F196" s="12" t="s">
        <v>797</v>
      </c>
      <c r="G196" s="12" t="s">
        <v>1224</v>
      </c>
      <c r="H196" s="53">
        <v>119724</v>
      </c>
    </row>
    <row r="197" spans="1:8" s="28" customFormat="1" ht="63" x14ac:dyDescent="0.25">
      <c r="A197" s="27">
        <v>40100204902</v>
      </c>
      <c r="B197" s="26" t="s">
        <v>1100</v>
      </c>
      <c r="C197" s="12" t="s">
        <v>1326</v>
      </c>
      <c r="D197" s="12" t="s">
        <v>1181</v>
      </c>
      <c r="E197" s="12" t="s">
        <v>566</v>
      </c>
      <c r="F197" s="12" t="s">
        <v>797</v>
      </c>
      <c r="G197" s="12">
        <v>902</v>
      </c>
      <c r="H197" s="53">
        <v>500</v>
      </c>
    </row>
    <row r="198" spans="1:8" s="28" customFormat="1" ht="31.5" x14ac:dyDescent="0.25">
      <c r="A198" s="29">
        <v>411</v>
      </c>
      <c r="B198" s="26" t="s">
        <v>1306</v>
      </c>
      <c r="C198" s="12" t="s">
        <v>1326</v>
      </c>
      <c r="D198" s="12" t="s">
        <v>1181</v>
      </c>
      <c r="E198" s="12">
        <v>11</v>
      </c>
      <c r="F198" s="12"/>
      <c r="G198" s="12"/>
      <c r="H198" s="53">
        <f>H199</f>
        <v>53000</v>
      </c>
    </row>
    <row r="199" spans="1:8" s="28" customFormat="1" x14ac:dyDescent="0.25">
      <c r="A199" s="27">
        <v>411081</v>
      </c>
      <c r="B199" s="26" t="s">
        <v>631</v>
      </c>
      <c r="C199" s="12" t="s">
        <v>1326</v>
      </c>
      <c r="D199" s="12" t="s">
        <v>1181</v>
      </c>
      <c r="E199" s="12">
        <v>11</v>
      </c>
      <c r="F199" s="12" t="s">
        <v>1076</v>
      </c>
      <c r="G199" s="12"/>
      <c r="H199" s="53">
        <f>H200</f>
        <v>53000</v>
      </c>
    </row>
    <row r="200" spans="1:8" s="28" customFormat="1" ht="31.5" x14ac:dyDescent="0.25">
      <c r="A200" s="27">
        <v>41108169</v>
      </c>
      <c r="B200" s="26" t="s">
        <v>1210</v>
      </c>
      <c r="C200" s="12" t="s">
        <v>1326</v>
      </c>
      <c r="D200" s="12" t="s">
        <v>1181</v>
      </c>
      <c r="E200" s="12">
        <v>11</v>
      </c>
      <c r="F200" s="12" t="s">
        <v>1211</v>
      </c>
      <c r="G200" s="12"/>
      <c r="H200" s="53">
        <f>H201</f>
        <v>53000</v>
      </c>
    </row>
    <row r="201" spans="1:8" s="28" customFormat="1" x14ac:dyDescent="0.25">
      <c r="A201" s="27">
        <v>41108169012</v>
      </c>
      <c r="B201" s="26" t="s">
        <v>1012</v>
      </c>
      <c r="C201" s="12" t="s">
        <v>1326</v>
      </c>
      <c r="D201" s="12" t="s">
        <v>1181</v>
      </c>
      <c r="E201" s="12">
        <v>11</v>
      </c>
      <c r="F201" s="12" t="s">
        <v>1211</v>
      </c>
      <c r="G201" s="12" t="s">
        <v>1224</v>
      </c>
      <c r="H201" s="53">
        <v>53000</v>
      </c>
    </row>
    <row r="202" spans="1:8" s="28" customFormat="1" x14ac:dyDescent="0.25">
      <c r="A202" s="29">
        <v>412</v>
      </c>
      <c r="B202" s="26" t="s">
        <v>1253</v>
      </c>
      <c r="C202" s="12" t="s">
        <v>1326</v>
      </c>
      <c r="D202" s="12" t="s">
        <v>1181</v>
      </c>
      <c r="E202" s="12">
        <v>12</v>
      </c>
      <c r="F202" s="12"/>
      <c r="G202" s="12"/>
      <c r="H202" s="53">
        <f>H203</f>
        <v>52147</v>
      </c>
    </row>
    <row r="203" spans="1:8" s="28" customFormat="1" ht="31.5" x14ac:dyDescent="0.25">
      <c r="A203" s="27">
        <v>412340</v>
      </c>
      <c r="B203" s="26" t="s">
        <v>481</v>
      </c>
      <c r="C203" s="12" t="s">
        <v>1326</v>
      </c>
      <c r="D203" s="12" t="s">
        <v>1181</v>
      </c>
      <c r="E203" s="12">
        <v>12</v>
      </c>
      <c r="F203" s="10" t="s">
        <v>1015</v>
      </c>
      <c r="G203" s="12"/>
      <c r="H203" s="53">
        <f>H204</f>
        <v>52147</v>
      </c>
    </row>
    <row r="204" spans="1:8" s="28" customFormat="1" ht="31.5" x14ac:dyDescent="0.25">
      <c r="A204" s="27">
        <v>41234083</v>
      </c>
      <c r="B204" s="26" t="s">
        <v>1589</v>
      </c>
      <c r="C204" s="12" t="s">
        <v>1326</v>
      </c>
      <c r="D204" s="12" t="s">
        <v>1181</v>
      </c>
      <c r="E204" s="12">
        <v>12</v>
      </c>
      <c r="F204" s="10" t="s">
        <v>1590</v>
      </c>
      <c r="G204" s="12"/>
      <c r="H204" s="53">
        <f>H205+H207+H209</f>
        <v>52147</v>
      </c>
    </row>
    <row r="205" spans="1:8" s="28" customFormat="1" ht="93.75" customHeight="1" x14ac:dyDescent="0.25">
      <c r="A205" s="27">
        <v>4123408303</v>
      </c>
      <c r="B205" s="26" t="s">
        <v>1351</v>
      </c>
      <c r="C205" s="12" t="s">
        <v>1326</v>
      </c>
      <c r="D205" s="12" t="s">
        <v>1181</v>
      </c>
      <c r="E205" s="12">
        <v>12</v>
      </c>
      <c r="F205" s="10" t="s">
        <v>274</v>
      </c>
      <c r="G205" s="12"/>
      <c r="H205" s="53">
        <f>H206</f>
        <v>40000</v>
      </c>
    </row>
    <row r="206" spans="1:8" s="28" customFormat="1" x14ac:dyDescent="0.25">
      <c r="A206" s="27">
        <v>4123408303006</v>
      </c>
      <c r="B206" s="37" t="s">
        <v>84</v>
      </c>
      <c r="C206" s="12" t="s">
        <v>1326</v>
      </c>
      <c r="D206" s="12" t="s">
        <v>1181</v>
      </c>
      <c r="E206" s="12">
        <v>12</v>
      </c>
      <c r="F206" s="10" t="s">
        <v>274</v>
      </c>
      <c r="G206" s="12" t="s">
        <v>165</v>
      </c>
      <c r="H206" s="53">
        <v>40000</v>
      </c>
    </row>
    <row r="207" spans="1:8" s="28" customFormat="1" ht="63" customHeight="1" x14ac:dyDescent="0.25">
      <c r="A207" s="27">
        <v>4123408304</v>
      </c>
      <c r="B207" s="26" t="s">
        <v>1732</v>
      </c>
      <c r="C207" s="12" t="s">
        <v>1326</v>
      </c>
      <c r="D207" s="12" t="s">
        <v>1181</v>
      </c>
      <c r="E207" s="12">
        <v>12</v>
      </c>
      <c r="F207" s="10" t="s">
        <v>275</v>
      </c>
      <c r="G207" s="12"/>
      <c r="H207" s="53">
        <f>H208</f>
        <v>10000</v>
      </c>
    </row>
    <row r="208" spans="1:8" s="28" customFormat="1" x14ac:dyDescent="0.25">
      <c r="A208" s="27">
        <v>4123408304006</v>
      </c>
      <c r="B208" s="37" t="s">
        <v>84</v>
      </c>
      <c r="C208" s="12" t="s">
        <v>1326</v>
      </c>
      <c r="D208" s="12" t="s">
        <v>1181</v>
      </c>
      <c r="E208" s="12">
        <v>12</v>
      </c>
      <c r="F208" s="10" t="s">
        <v>275</v>
      </c>
      <c r="G208" s="12" t="s">
        <v>165</v>
      </c>
      <c r="H208" s="53">
        <v>10000</v>
      </c>
    </row>
    <row r="209" spans="1:8" s="28" customFormat="1" ht="47.25" x14ac:dyDescent="0.25">
      <c r="A209" s="27">
        <v>4123408320</v>
      </c>
      <c r="B209" s="26" t="s">
        <v>1733</v>
      </c>
      <c r="C209" s="12" t="s">
        <v>1326</v>
      </c>
      <c r="D209" s="12" t="s">
        <v>1181</v>
      </c>
      <c r="E209" s="12">
        <v>12</v>
      </c>
      <c r="F209" s="10" t="s">
        <v>276</v>
      </c>
      <c r="G209" s="12"/>
      <c r="H209" s="53">
        <f>H210</f>
        <v>2147</v>
      </c>
    </row>
    <row r="210" spans="1:8" s="28" customFormat="1" x14ac:dyDescent="0.25">
      <c r="A210" s="27">
        <v>4123408320013</v>
      </c>
      <c r="B210" s="37" t="s">
        <v>1335</v>
      </c>
      <c r="C210" s="12" t="s">
        <v>1326</v>
      </c>
      <c r="D210" s="12" t="s">
        <v>1181</v>
      </c>
      <c r="E210" s="12">
        <v>12</v>
      </c>
      <c r="F210" s="10" t="s">
        <v>276</v>
      </c>
      <c r="G210" s="12" t="s">
        <v>972</v>
      </c>
      <c r="H210" s="53">
        <v>2147</v>
      </c>
    </row>
    <row r="211" spans="1:8" s="128" customFormat="1" x14ac:dyDescent="0.25">
      <c r="A211" s="29">
        <v>7</v>
      </c>
      <c r="B211" s="35" t="s">
        <v>174</v>
      </c>
      <c r="C211" s="12" t="s">
        <v>1326</v>
      </c>
      <c r="D211" s="12" t="s">
        <v>205</v>
      </c>
      <c r="E211" s="10"/>
      <c r="F211" s="10"/>
      <c r="G211" s="10"/>
      <c r="H211" s="53">
        <f>H212</f>
        <v>100</v>
      </c>
    </row>
    <row r="212" spans="1:8" s="128" customFormat="1" x14ac:dyDescent="0.25">
      <c r="A212" s="29">
        <v>707</v>
      </c>
      <c r="B212" s="26" t="s">
        <v>699</v>
      </c>
      <c r="C212" s="12" t="s">
        <v>1326</v>
      </c>
      <c r="D212" s="12" t="s">
        <v>205</v>
      </c>
      <c r="E212" s="12" t="s">
        <v>205</v>
      </c>
      <c r="F212" s="10"/>
      <c r="G212" s="10"/>
      <c r="H212" s="53">
        <f>H213</f>
        <v>100</v>
      </c>
    </row>
    <row r="213" spans="1:8" s="128" customFormat="1" ht="21" customHeight="1" x14ac:dyDescent="0.25">
      <c r="A213" s="27">
        <v>707432</v>
      </c>
      <c r="B213" s="26" t="s">
        <v>1482</v>
      </c>
      <c r="C213" s="12" t="s">
        <v>1326</v>
      </c>
      <c r="D213" s="12" t="s">
        <v>205</v>
      </c>
      <c r="E213" s="12" t="s">
        <v>205</v>
      </c>
      <c r="F213" s="10" t="s">
        <v>965</v>
      </c>
      <c r="G213" s="12"/>
      <c r="H213" s="53">
        <f>H214</f>
        <v>100</v>
      </c>
    </row>
    <row r="214" spans="1:8" s="128" customFormat="1" x14ac:dyDescent="0.25">
      <c r="A214" s="27">
        <v>70743202</v>
      </c>
      <c r="B214" s="26" t="s">
        <v>541</v>
      </c>
      <c r="C214" s="12" t="s">
        <v>1326</v>
      </c>
      <c r="D214" s="12" t="s">
        <v>205</v>
      </c>
      <c r="E214" s="12" t="s">
        <v>205</v>
      </c>
      <c r="F214" s="10" t="s">
        <v>262</v>
      </c>
      <c r="G214" s="12"/>
      <c r="H214" s="53">
        <f>H215</f>
        <v>100</v>
      </c>
    </row>
    <row r="215" spans="1:8" s="128" customFormat="1" x14ac:dyDescent="0.25">
      <c r="A215" s="27">
        <v>70743202001</v>
      </c>
      <c r="B215" s="26" t="s">
        <v>1435</v>
      </c>
      <c r="C215" s="12" t="s">
        <v>1326</v>
      </c>
      <c r="D215" s="12" t="s">
        <v>205</v>
      </c>
      <c r="E215" s="12" t="s">
        <v>205</v>
      </c>
      <c r="F215" s="10" t="s">
        <v>262</v>
      </c>
      <c r="G215" s="12" t="s">
        <v>1394</v>
      </c>
      <c r="H215" s="53">
        <v>100</v>
      </c>
    </row>
    <row r="216" spans="1:8" s="28" customFormat="1" x14ac:dyDescent="0.25">
      <c r="A216" s="29"/>
      <c r="B216" s="26"/>
      <c r="C216" s="12"/>
      <c r="D216" s="12"/>
      <c r="E216" s="12"/>
      <c r="F216" s="12"/>
      <c r="G216" s="12"/>
      <c r="H216" s="53"/>
    </row>
    <row r="217" spans="1:8" s="3" customFormat="1" ht="31.5" x14ac:dyDescent="0.25">
      <c r="A217" s="40">
        <v>0</v>
      </c>
      <c r="B217" s="41" t="s">
        <v>164</v>
      </c>
      <c r="C217" s="42" t="s">
        <v>165</v>
      </c>
      <c r="D217" s="31"/>
      <c r="E217" s="31"/>
      <c r="F217" s="31"/>
      <c r="G217" s="31"/>
      <c r="H217" s="187">
        <f>H218+H223+H228+H291+H296+H318+H324</f>
        <v>2178172</v>
      </c>
    </row>
    <row r="218" spans="1:8" s="3" customFormat="1" x14ac:dyDescent="0.25">
      <c r="A218" s="27">
        <v>2</v>
      </c>
      <c r="B218" s="35" t="s">
        <v>271</v>
      </c>
      <c r="C218" s="12" t="s">
        <v>165</v>
      </c>
      <c r="D218" s="12" t="s">
        <v>567</v>
      </c>
      <c r="E218" s="31"/>
      <c r="F218" s="31"/>
      <c r="G218" s="31"/>
      <c r="H218" s="53">
        <f>H219</f>
        <v>299</v>
      </c>
    </row>
    <row r="219" spans="1:8" s="3" customFormat="1" x14ac:dyDescent="0.25">
      <c r="A219" s="27">
        <v>204</v>
      </c>
      <c r="B219" s="26" t="s">
        <v>1054</v>
      </c>
      <c r="C219" s="12" t="s">
        <v>165</v>
      </c>
      <c r="D219" s="12" t="s">
        <v>567</v>
      </c>
      <c r="E219" s="12" t="s">
        <v>1181</v>
      </c>
      <c r="F219" s="31"/>
      <c r="G219" s="31"/>
      <c r="H219" s="53">
        <f>H220</f>
        <v>299</v>
      </c>
    </row>
    <row r="220" spans="1:8" s="3" customFormat="1" ht="31.5" x14ac:dyDescent="0.25">
      <c r="A220" s="27">
        <v>204209</v>
      </c>
      <c r="B220" s="26" t="s">
        <v>141</v>
      </c>
      <c r="C220" s="12" t="s">
        <v>165</v>
      </c>
      <c r="D220" s="12" t="s">
        <v>567</v>
      </c>
      <c r="E220" s="12" t="s">
        <v>1181</v>
      </c>
      <c r="F220" s="10" t="s">
        <v>270</v>
      </c>
      <c r="G220" s="31"/>
      <c r="H220" s="53">
        <f>H221</f>
        <v>299</v>
      </c>
    </row>
    <row r="221" spans="1:8" s="3" customFormat="1" ht="31.5" x14ac:dyDescent="0.25">
      <c r="A221" s="27">
        <v>20420901</v>
      </c>
      <c r="B221" s="26" t="s">
        <v>1408</v>
      </c>
      <c r="C221" s="12" t="s">
        <v>165</v>
      </c>
      <c r="D221" s="12" t="s">
        <v>567</v>
      </c>
      <c r="E221" s="12" t="s">
        <v>1181</v>
      </c>
      <c r="F221" s="10" t="s">
        <v>956</v>
      </c>
      <c r="G221" s="31"/>
      <c r="H221" s="53">
        <f>H222</f>
        <v>299</v>
      </c>
    </row>
    <row r="222" spans="1:8" s="3" customFormat="1" x14ac:dyDescent="0.25">
      <c r="A222" s="27">
        <v>20420901012</v>
      </c>
      <c r="B222" s="65" t="s">
        <v>1012</v>
      </c>
      <c r="C222" s="12" t="s">
        <v>165</v>
      </c>
      <c r="D222" s="12" t="s">
        <v>567</v>
      </c>
      <c r="E222" s="12" t="s">
        <v>1181</v>
      </c>
      <c r="F222" s="10" t="s">
        <v>956</v>
      </c>
      <c r="G222" s="12" t="s">
        <v>1224</v>
      </c>
      <c r="H222" s="53">
        <v>299</v>
      </c>
    </row>
    <row r="223" spans="1:8" s="28" customFormat="1" ht="21" customHeight="1" x14ac:dyDescent="0.25">
      <c r="A223" s="27">
        <v>3</v>
      </c>
      <c r="B223" s="35" t="s">
        <v>1049</v>
      </c>
      <c r="C223" s="12" t="s">
        <v>165</v>
      </c>
      <c r="D223" s="12" t="s">
        <v>193</v>
      </c>
      <c r="E223" s="12"/>
      <c r="F223" s="10"/>
      <c r="G223" s="12"/>
      <c r="H223" s="53">
        <f>H224</f>
        <v>645</v>
      </c>
    </row>
    <row r="224" spans="1:8" s="28" customFormat="1" ht="47.25" x14ac:dyDescent="0.25">
      <c r="A224" s="27">
        <v>309</v>
      </c>
      <c r="B224" s="26" t="s">
        <v>133</v>
      </c>
      <c r="C224" s="12" t="s">
        <v>165</v>
      </c>
      <c r="D224" s="12" t="s">
        <v>193</v>
      </c>
      <c r="E224" s="12" t="s">
        <v>406</v>
      </c>
      <c r="F224" s="10"/>
      <c r="G224" s="12"/>
      <c r="H224" s="53">
        <f>H225</f>
        <v>645</v>
      </c>
    </row>
    <row r="225" spans="1:9" s="28" customFormat="1" x14ac:dyDescent="0.25">
      <c r="A225" s="27">
        <v>309219</v>
      </c>
      <c r="B225" s="26" t="s">
        <v>1098</v>
      </c>
      <c r="C225" s="12" t="s">
        <v>165</v>
      </c>
      <c r="D225" s="12" t="s">
        <v>193</v>
      </c>
      <c r="E225" s="12" t="s">
        <v>406</v>
      </c>
      <c r="F225" s="10" t="s">
        <v>620</v>
      </c>
      <c r="G225" s="12"/>
      <c r="H225" s="53">
        <f>H226</f>
        <v>645</v>
      </c>
    </row>
    <row r="226" spans="1:9" s="28" customFormat="1" ht="31.5" x14ac:dyDescent="0.25">
      <c r="A226" s="27">
        <v>30921901</v>
      </c>
      <c r="B226" s="26" t="s">
        <v>591</v>
      </c>
      <c r="C226" s="12" t="s">
        <v>165</v>
      </c>
      <c r="D226" s="12" t="s">
        <v>193</v>
      </c>
      <c r="E226" s="12" t="s">
        <v>406</v>
      </c>
      <c r="F226" s="10" t="s">
        <v>269</v>
      </c>
      <c r="G226" s="12"/>
      <c r="H226" s="53">
        <f>H227</f>
        <v>645</v>
      </c>
    </row>
    <row r="227" spans="1:9" s="28" customFormat="1" x14ac:dyDescent="0.25">
      <c r="A227" s="27">
        <v>30921901012</v>
      </c>
      <c r="B227" s="65" t="s">
        <v>1012</v>
      </c>
      <c r="C227" s="12" t="s">
        <v>165</v>
      </c>
      <c r="D227" s="12" t="s">
        <v>193</v>
      </c>
      <c r="E227" s="12" t="s">
        <v>406</v>
      </c>
      <c r="F227" s="10" t="s">
        <v>269</v>
      </c>
      <c r="G227" s="12" t="s">
        <v>1224</v>
      </c>
      <c r="H227" s="53">
        <v>645</v>
      </c>
    </row>
    <row r="228" spans="1:9" s="28" customFormat="1" x14ac:dyDescent="0.25">
      <c r="A228" s="29">
        <v>4</v>
      </c>
      <c r="B228" s="35" t="s">
        <v>993</v>
      </c>
      <c r="C228" s="12" t="s">
        <v>165</v>
      </c>
      <c r="D228" s="12" t="s">
        <v>1181</v>
      </c>
      <c r="E228" s="10"/>
      <c r="F228" s="10"/>
      <c r="G228" s="10"/>
      <c r="H228" s="53">
        <f>H229</f>
        <v>1935857</v>
      </c>
    </row>
    <row r="229" spans="1:9" s="28" customFormat="1" x14ac:dyDescent="0.25">
      <c r="A229" s="29">
        <v>405</v>
      </c>
      <c r="B229" s="26" t="s">
        <v>289</v>
      </c>
      <c r="C229" s="12" t="s">
        <v>165</v>
      </c>
      <c r="D229" s="12" t="s">
        <v>1181</v>
      </c>
      <c r="E229" s="12" t="s">
        <v>175</v>
      </c>
      <c r="F229" s="10"/>
      <c r="G229" s="10"/>
      <c r="H229" s="53">
        <f>H230+H234+H237+H242+H246+H277+H280+H283+H288</f>
        <v>1935857</v>
      </c>
    </row>
    <row r="230" spans="1:9" s="28" customFormat="1" x14ac:dyDescent="0.25">
      <c r="A230" s="27">
        <v>405001</v>
      </c>
      <c r="B230" s="26" t="s">
        <v>637</v>
      </c>
      <c r="C230" s="12" t="s">
        <v>165</v>
      </c>
      <c r="D230" s="12" t="s">
        <v>1181</v>
      </c>
      <c r="E230" s="12" t="s">
        <v>175</v>
      </c>
      <c r="F230" s="12" t="s">
        <v>1096</v>
      </c>
      <c r="G230" s="10"/>
      <c r="H230" s="230">
        <f>H231</f>
        <v>7724</v>
      </c>
    </row>
    <row r="231" spans="1:9" s="28" customFormat="1" ht="47.25" x14ac:dyDescent="0.25">
      <c r="A231" s="27">
        <v>40500151</v>
      </c>
      <c r="B231" s="26" t="s">
        <v>330</v>
      </c>
      <c r="C231" s="12" t="s">
        <v>165</v>
      </c>
      <c r="D231" s="12" t="s">
        <v>1181</v>
      </c>
      <c r="E231" s="12" t="s">
        <v>175</v>
      </c>
      <c r="F231" s="12" t="s">
        <v>1655</v>
      </c>
      <c r="G231" s="10"/>
      <c r="H231" s="230">
        <f>SUM(H232:H233)</f>
        <v>7724</v>
      </c>
    </row>
    <row r="232" spans="1:9" s="28" customFormat="1" x14ac:dyDescent="0.25">
      <c r="A232" s="27">
        <v>40500151001</v>
      </c>
      <c r="B232" s="65" t="s">
        <v>1435</v>
      </c>
      <c r="C232" s="12" t="s">
        <v>165</v>
      </c>
      <c r="D232" s="12" t="s">
        <v>1181</v>
      </c>
      <c r="E232" s="12" t="s">
        <v>175</v>
      </c>
      <c r="F232" s="12" t="s">
        <v>1655</v>
      </c>
      <c r="G232" s="12" t="s">
        <v>1394</v>
      </c>
      <c r="H232" s="230">
        <v>4268</v>
      </c>
    </row>
    <row r="233" spans="1:9" s="28" customFormat="1" x14ac:dyDescent="0.25">
      <c r="A233" s="27">
        <v>40500151012</v>
      </c>
      <c r="B233" s="65" t="s">
        <v>1012</v>
      </c>
      <c r="C233" s="12" t="s">
        <v>165</v>
      </c>
      <c r="D233" s="12" t="s">
        <v>1181</v>
      </c>
      <c r="E233" s="12" t="s">
        <v>175</v>
      </c>
      <c r="F233" s="12" t="s">
        <v>1655</v>
      </c>
      <c r="G233" s="12" t="s">
        <v>1224</v>
      </c>
      <c r="H233" s="230">
        <f>7724-4268</f>
        <v>3456</v>
      </c>
    </row>
    <row r="234" spans="1:9" s="158" customFormat="1" ht="47.25" x14ac:dyDescent="0.25">
      <c r="A234" s="49">
        <v>405002</v>
      </c>
      <c r="B234" s="38" t="s">
        <v>1657</v>
      </c>
      <c r="C234" s="25" t="s">
        <v>165</v>
      </c>
      <c r="D234" s="25" t="s">
        <v>1181</v>
      </c>
      <c r="E234" s="25" t="s">
        <v>175</v>
      </c>
      <c r="F234" s="25" t="s">
        <v>200</v>
      </c>
      <c r="G234" s="11"/>
      <c r="H234" s="233">
        <f>H235</f>
        <v>128333</v>
      </c>
    </row>
    <row r="235" spans="1:9" s="158" customFormat="1" x14ac:dyDescent="0.25">
      <c r="A235" s="188">
        <v>40500204</v>
      </c>
      <c r="B235" s="38" t="s">
        <v>638</v>
      </c>
      <c r="C235" s="25" t="s">
        <v>165</v>
      </c>
      <c r="D235" s="25" t="s">
        <v>1181</v>
      </c>
      <c r="E235" s="25" t="s">
        <v>175</v>
      </c>
      <c r="F235" s="25" t="s">
        <v>797</v>
      </c>
      <c r="G235" s="25"/>
      <c r="H235" s="233">
        <f>H236</f>
        <v>128333</v>
      </c>
    </row>
    <row r="236" spans="1:9" s="131" customFormat="1" x14ac:dyDescent="0.25">
      <c r="A236" s="188">
        <v>40500204012</v>
      </c>
      <c r="B236" s="38" t="s">
        <v>1012</v>
      </c>
      <c r="C236" s="25" t="s">
        <v>165</v>
      </c>
      <c r="D236" s="25" t="s">
        <v>1181</v>
      </c>
      <c r="E236" s="25" t="s">
        <v>175</v>
      </c>
      <c r="F236" s="25" t="s">
        <v>797</v>
      </c>
      <c r="G236" s="25" t="s">
        <v>1224</v>
      </c>
      <c r="H236" s="233">
        <f>113789+14544</f>
        <v>128333</v>
      </c>
    </row>
    <row r="237" spans="1:9" s="147" customFormat="1" x14ac:dyDescent="0.25">
      <c r="A237" s="188">
        <v>405100</v>
      </c>
      <c r="B237" s="38" t="s">
        <v>1184</v>
      </c>
      <c r="C237" s="25" t="s">
        <v>165</v>
      </c>
      <c r="D237" s="25" t="s">
        <v>1181</v>
      </c>
      <c r="E237" s="25" t="s">
        <v>175</v>
      </c>
      <c r="F237" s="11" t="s">
        <v>1680</v>
      </c>
      <c r="G237" s="25"/>
      <c r="H237" s="53">
        <f>H238+H240</f>
        <v>70400</v>
      </c>
      <c r="I237" s="152"/>
    </row>
    <row r="238" spans="1:9" s="147" customFormat="1" ht="31.5" x14ac:dyDescent="0.25">
      <c r="A238" s="188">
        <v>40510011</v>
      </c>
      <c r="B238" s="38" t="s">
        <v>246</v>
      </c>
      <c r="C238" s="25" t="s">
        <v>165</v>
      </c>
      <c r="D238" s="25" t="s">
        <v>1181</v>
      </c>
      <c r="E238" s="25" t="s">
        <v>175</v>
      </c>
      <c r="F238" s="11" t="s">
        <v>1370</v>
      </c>
      <c r="G238" s="11"/>
      <c r="H238" s="230">
        <f>H239</f>
        <v>5300</v>
      </c>
    </row>
    <row r="239" spans="1:9" s="147" customFormat="1" x14ac:dyDescent="0.25">
      <c r="A239" s="188">
        <v>40510011013</v>
      </c>
      <c r="B239" s="193" t="s">
        <v>1335</v>
      </c>
      <c r="C239" s="25" t="s">
        <v>165</v>
      </c>
      <c r="D239" s="25" t="s">
        <v>1181</v>
      </c>
      <c r="E239" s="25" t="s">
        <v>175</v>
      </c>
      <c r="F239" s="11" t="s">
        <v>1370</v>
      </c>
      <c r="G239" s="25" t="s">
        <v>972</v>
      </c>
      <c r="H239" s="230">
        <v>5300</v>
      </c>
    </row>
    <row r="240" spans="1:9" s="147" customFormat="1" ht="63" x14ac:dyDescent="0.25">
      <c r="A240" s="188">
        <v>40510060</v>
      </c>
      <c r="B240" s="38" t="s">
        <v>1403</v>
      </c>
      <c r="C240" s="25" t="s">
        <v>165</v>
      </c>
      <c r="D240" s="25" t="s">
        <v>1181</v>
      </c>
      <c r="E240" s="25" t="s">
        <v>175</v>
      </c>
      <c r="F240" s="11" t="s">
        <v>417</v>
      </c>
      <c r="G240" s="11"/>
      <c r="H240" s="53">
        <f>H241</f>
        <v>65100</v>
      </c>
    </row>
    <row r="241" spans="1:8" s="147" customFormat="1" x14ac:dyDescent="0.25">
      <c r="A241" s="188">
        <v>40510060006</v>
      </c>
      <c r="B241" s="193" t="s">
        <v>84</v>
      </c>
      <c r="C241" s="25" t="s">
        <v>165</v>
      </c>
      <c r="D241" s="25" t="s">
        <v>1181</v>
      </c>
      <c r="E241" s="25" t="s">
        <v>175</v>
      </c>
      <c r="F241" s="11" t="s">
        <v>417</v>
      </c>
      <c r="G241" s="25" t="s">
        <v>165</v>
      </c>
      <c r="H241" s="230">
        <f>11000+54100</f>
        <v>65100</v>
      </c>
    </row>
    <row r="242" spans="1:8" s="28" customFormat="1" ht="31.5" x14ac:dyDescent="0.25">
      <c r="A242" s="27">
        <v>405102</v>
      </c>
      <c r="B242" s="26" t="s">
        <v>106</v>
      </c>
      <c r="C242" s="12" t="s">
        <v>165</v>
      </c>
      <c r="D242" s="12" t="s">
        <v>1181</v>
      </c>
      <c r="E242" s="12" t="s">
        <v>175</v>
      </c>
      <c r="F242" s="10" t="s">
        <v>234</v>
      </c>
      <c r="G242" s="10"/>
      <c r="H242" s="53">
        <f>H243</f>
        <v>54000</v>
      </c>
    </row>
    <row r="243" spans="1:8" s="28" customFormat="1" x14ac:dyDescent="0.25">
      <c r="A243" s="27">
        <v>40510202</v>
      </c>
      <c r="B243" s="26" t="s">
        <v>698</v>
      </c>
      <c r="C243" s="12" t="s">
        <v>165</v>
      </c>
      <c r="D243" s="12" t="s">
        <v>1181</v>
      </c>
      <c r="E243" s="12" t="s">
        <v>175</v>
      </c>
      <c r="F243" s="10" t="s">
        <v>761</v>
      </c>
      <c r="G243" s="10"/>
      <c r="H243" s="53">
        <f>H244</f>
        <v>54000</v>
      </c>
    </row>
    <row r="244" spans="1:8" s="28" customFormat="1" ht="47.25" x14ac:dyDescent="0.25">
      <c r="A244" s="188">
        <v>4051020201</v>
      </c>
      <c r="B244" s="38" t="s">
        <v>138</v>
      </c>
      <c r="C244" s="25" t="s">
        <v>165</v>
      </c>
      <c r="D244" s="25" t="s">
        <v>1181</v>
      </c>
      <c r="E244" s="25" t="s">
        <v>175</v>
      </c>
      <c r="F244" s="11" t="s">
        <v>139</v>
      </c>
      <c r="G244" s="10"/>
      <c r="H244" s="230">
        <f>H245</f>
        <v>54000</v>
      </c>
    </row>
    <row r="245" spans="1:8" s="28" customFormat="1" x14ac:dyDescent="0.25">
      <c r="A245" s="188">
        <v>4051020201003</v>
      </c>
      <c r="B245" s="38" t="s">
        <v>256</v>
      </c>
      <c r="C245" s="25" t="s">
        <v>165</v>
      </c>
      <c r="D245" s="25" t="s">
        <v>1181</v>
      </c>
      <c r="E245" s="25" t="s">
        <v>175</v>
      </c>
      <c r="F245" s="11" t="s">
        <v>139</v>
      </c>
      <c r="G245" s="80" t="s">
        <v>539</v>
      </c>
      <c r="H245" s="53">
        <v>54000</v>
      </c>
    </row>
    <row r="246" spans="1:8" s="28" customFormat="1" x14ac:dyDescent="0.25">
      <c r="A246" s="27">
        <v>405260</v>
      </c>
      <c r="B246" s="26" t="s">
        <v>522</v>
      </c>
      <c r="C246" s="12" t="s">
        <v>165</v>
      </c>
      <c r="D246" s="12" t="s">
        <v>1181</v>
      </c>
      <c r="E246" s="12" t="s">
        <v>175</v>
      </c>
      <c r="F246" s="10" t="s">
        <v>612</v>
      </c>
      <c r="G246" s="10"/>
      <c r="H246" s="53">
        <f>H247+H251+H249+H253+H255+H257+H259+H261+H263+H265+H267+H269+H271+H273+H275</f>
        <v>612270</v>
      </c>
    </row>
    <row r="247" spans="1:8" s="28" customFormat="1" ht="141.75" x14ac:dyDescent="0.25">
      <c r="A247" s="27">
        <v>40526001</v>
      </c>
      <c r="B247" s="26" t="s">
        <v>1274</v>
      </c>
      <c r="C247" s="12" t="s">
        <v>165</v>
      </c>
      <c r="D247" s="12" t="s">
        <v>1181</v>
      </c>
      <c r="E247" s="12" t="s">
        <v>175</v>
      </c>
      <c r="F247" s="10" t="s">
        <v>523</v>
      </c>
      <c r="G247" s="10"/>
      <c r="H247" s="53">
        <f>H248</f>
        <v>286100</v>
      </c>
    </row>
    <row r="248" spans="1:8" s="28" customFormat="1" x14ac:dyDescent="0.25">
      <c r="A248" s="27">
        <v>40526001006</v>
      </c>
      <c r="B248" s="26" t="s">
        <v>84</v>
      </c>
      <c r="C248" s="12" t="s">
        <v>165</v>
      </c>
      <c r="D248" s="12" t="s">
        <v>1181</v>
      </c>
      <c r="E248" s="12" t="s">
        <v>175</v>
      </c>
      <c r="F248" s="10" t="s">
        <v>523</v>
      </c>
      <c r="G248" s="12" t="s">
        <v>165</v>
      </c>
      <c r="H248" s="53">
        <v>286100</v>
      </c>
    </row>
    <row r="249" spans="1:8" s="28" customFormat="1" ht="110.25" x14ac:dyDescent="0.25">
      <c r="A249" s="27">
        <v>40526002</v>
      </c>
      <c r="B249" s="26" t="s">
        <v>95</v>
      </c>
      <c r="C249" s="12" t="s">
        <v>165</v>
      </c>
      <c r="D249" s="12" t="s">
        <v>1181</v>
      </c>
      <c r="E249" s="12" t="s">
        <v>175</v>
      </c>
      <c r="F249" s="10" t="s">
        <v>1275</v>
      </c>
      <c r="G249" s="10"/>
      <c r="H249" s="53">
        <f>H250</f>
        <v>4000</v>
      </c>
    </row>
    <row r="250" spans="1:8" s="28" customFormat="1" x14ac:dyDescent="0.25">
      <c r="A250" s="27">
        <v>40526002006</v>
      </c>
      <c r="B250" s="26" t="s">
        <v>84</v>
      </c>
      <c r="C250" s="12" t="s">
        <v>165</v>
      </c>
      <c r="D250" s="12" t="s">
        <v>1181</v>
      </c>
      <c r="E250" s="12" t="s">
        <v>175</v>
      </c>
      <c r="F250" s="10" t="s">
        <v>1275</v>
      </c>
      <c r="G250" s="12" t="s">
        <v>165</v>
      </c>
      <c r="H250" s="53">
        <v>4000</v>
      </c>
    </row>
    <row r="251" spans="1:8" s="147" customFormat="1" x14ac:dyDescent="0.25">
      <c r="A251" s="188">
        <v>40526004</v>
      </c>
      <c r="B251" s="38" t="s">
        <v>646</v>
      </c>
      <c r="C251" s="25" t="s">
        <v>165</v>
      </c>
      <c r="D251" s="25" t="s">
        <v>1181</v>
      </c>
      <c r="E251" s="25" t="s">
        <v>175</v>
      </c>
      <c r="F251" s="11" t="s">
        <v>140</v>
      </c>
      <c r="G251" s="11"/>
      <c r="H251" s="230">
        <f>H252</f>
        <v>16800</v>
      </c>
    </row>
    <row r="252" spans="1:8" s="147" customFormat="1" x14ac:dyDescent="0.25">
      <c r="A252" s="188">
        <v>40526004006</v>
      </c>
      <c r="B252" s="38" t="s">
        <v>84</v>
      </c>
      <c r="C252" s="25" t="s">
        <v>165</v>
      </c>
      <c r="D252" s="25" t="s">
        <v>1181</v>
      </c>
      <c r="E252" s="25" t="s">
        <v>175</v>
      </c>
      <c r="F252" s="11" t="s">
        <v>140</v>
      </c>
      <c r="G252" s="25" t="s">
        <v>165</v>
      </c>
      <c r="H252" s="230">
        <v>16800</v>
      </c>
    </row>
    <row r="253" spans="1:8" s="28" customFormat="1" x14ac:dyDescent="0.25">
      <c r="A253" s="27">
        <v>40526007</v>
      </c>
      <c r="B253" s="26" t="s">
        <v>724</v>
      </c>
      <c r="C253" s="12" t="s">
        <v>165</v>
      </c>
      <c r="D253" s="12" t="s">
        <v>1181</v>
      </c>
      <c r="E253" s="12" t="s">
        <v>175</v>
      </c>
      <c r="F253" s="10" t="s">
        <v>96</v>
      </c>
      <c r="G253" s="10"/>
      <c r="H253" s="53">
        <f>H254</f>
        <v>9900</v>
      </c>
    </row>
    <row r="254" spans="1:8" s="28" customFormat="1" x14ac:dyDescent="0.25">
      <c r="A254" s="27">
        <v>40526007006</v>
      </c>
      <c r="B254" s="26" t="s">
        <v>84</v>
      </c>
      <c r="C254" s="12" t="s">
        <v>165</v>
      </c>
      <c r="D254" s="12" t="s">
        <v>1181</v>
      </c>
      <c r="E254" s="12" t="s">
        <v>175</v>
      </c>
      <c r="F254" s="10" t="s">
        <v>96</v>
      </c>
      <c r="G254" s="12" t="s">
        <v>165</v>
      </c>
      <c r="H254" s="53">
        <v>9900</v>
      </c>
    </row>
    <row r="255" spans="1:8" s="28" customFormat="1" x14ac:dyDescent="0.25">
      <c r="A255" s="27">
        <v>40526010</v>
      </c>
      <c r="B255" s="26" t="s">
        <v>570</v>
      </c>
      <c r="C255" s="12" t="s">
        <v>165</v>
      </c>
      <c r="D255" s="12" t="s">
        <v>1181</v>
      </c>
      <c r="E255" s="12" t="s">
        <v>175</v>
      </c>
      <c r="F255" s="10" t="s">
        <v>97</v>
      </c>
      <c r="G255" s="10"/>
      <c r="H255" s="53">
        <f>H256</f>
        <v>1690</v>
      </c>
    </row>
    <row r="256" spans="1:8" s="28" customFormat="1" x14ac:dyDescent="0.25">
      <c r="A256" s="27">
        <v>40526010006</v>
      </c>
      <c r="B256" s="26" t="s">
        <v>84</v>
      </c>
      <c r="C256" s="12" t="s">
        <v>165</v>
      </c>
      <c r="D256" s="12" t="s">
        <v>1181</v>
      </c>
      <c r="E256" s="12" t="s">
        <v>175</v>
      </c>
      <c r="F256" s="10" t="s">
        <v>97</v>
      </c>
      <c r="G256" s="12" t="s">
        <v>165</v>
      </c>
      <c r="H256" s="53">
        <v>1690</v>
      </c>
    </row>
    <row r="257" spans="1:8" s="28" customFormat="1" ht="47.25" x14ac:dyDescent="0.25">
      <c r="A257" s="27">
        <v>40526011</v>
      </c>
      <c r="B257" s="26" t="s">
        <v>919</v>
      </c>
      <c r="C257" s="12" t="s">
        <v>165</v>
      </c>
      <c r="D257" s="12" t="s">
        <v>1181</v>
      </c>
      <c r="E257" s="12" t="s">
        <v>175</v>
      </c>
      <c r="F257" s="10" t="s">
        <v>98</v>
      </c>
      <c r="G257" s="10"/>
      <c r="H257" s="53">
        <f>H258</f>
        <v>800</v>
      </c>
    </row>
    <row r="258" spans="1:8" s="28" customFormat="1" x14ac:dyDescent="0.25">
      <c r="A258" s="27">
        <v>40526011006</v>
      </c>
      <c r="B258" s="26" t="s">
        <v>84</v>
      </c>
      <c r="C258" s="12" t="s">
        <v>165</v>
      </c>
      <c r="D258" s="12" t="s">
        <v>1181</v>
      </c>
      <c r="E258" s="12" t="s">
        <v>175</v>
      </c>
      <c r="F258" s="10" t="s">
        <v>98</v>
      </c>
      <c r="G258" s="12" t="s">
        <v>165</v>
      </c>
      <c r="H258" s="53">
        <v>800</v>
      </c>
    </row>
    <row r="259" spans="1:8" s="28" customFormat="1" x14ac:dyDescent="0.25">
      <c r="A259" s="27">
        <v>40526013</v>
      </c>
      <c r="B259" s="26" t="s">
        <v>1291</v>
      </c>
      <c r="C259" s="12" t="s">
        <v>165</v>
      </c>
      <c r="D259" s="12" t="s">
        <v>1181</v>
      </c>
      <c r="E259" s="12" t="s">
        <v>175</v>
      </c>
      <c r="F259" s="10" t="s">
        <v>99</v>
      </c>
      <c r="G259" s="10"/>
      <c r="H259" s="53">
        <f>H260</f>
        <v>77000</v>
      </c>
    </row>
    <row r="260" spans="1:8" s="28" customFormat="1" x14ac:dyDescent="0.25">
      <c r="A260" s="27">
        <v>40526013006</v>
      </c>
      <c r="B260" s="26" t="s">
        <v>84</v>
      </c>
      <c r="C260" s="12" t="s">
        <v>165</v>
      </c>
      <c r="D260" s="12" t="s">
        <v>1181</v>
      </c>
      <c r="E260" s="12" t="s">
        <v>175</v>
      </c>
      <c r="F260" s="10" t="s">
        <v>99</v>
      </c>
      <c r="G260" s="12" t="s">
        <v>165</v>
      </c>
      <c r="H260" s="53">
        <v>77000</v>
      </c>
    </row>
    <row r="261" spans="1:8" s="28" customFormat="1" ht="126.75" customHeight="1" x14ac:dyDescent="0.25">
      <c r="A261" s="27">
        <v>40526014</v>
      </c>
      <c r="B261" s="26" t="s">
        <v>512</v>
      </c>
      <c r="C261" s="12" t="s">
        <v>165</v>
      </c>
      <c r="D261" s="12" t="s">
        <v>1181</v>
      </c>
      <c r="E261" s="12" t="s">
        <v>175</v>
      </c>
      <c r="F261" s="10" t="s">
        <v>100</v>
      </c>
      <c r="G261" s="10"/>
      <c r="H261" s="53">
        <f>H262</f>
        <v>10000</v>
      </c>
    </row>
    <row r="262" spans="1:8" s="28" customFormat="1" x14ac:dyDescent="0.25">
      <c r="A262" s="27">
        <v>40526014006</v>
      </c>
      <c r="B262" s="26" t="s">
        <v>84</v>
      </c>
      <c r="C262" s="12" t="s">
        <v>165</v>
      </c>
      <c r="D262" s="12" t="s">
        <v>1181</v>
      </c>
      <c r="E262" s="12" t="s">
        <v>175</v>
      </c>
      <c r="F262" s="10" t="s">
        <v>100</v>
      </c>
      <c r="G262" s="12" t="s">
        <v>165</v>
      </c>
      <c r="H262" s="53">
        <v>10000</v>
      </c>
    </row>
    <row r="263" spans="1:8" s="28" customFormat="1" ht="157.5" x14ac:dyDescent="0.25">
      <c r="A263" s="27">
        <v>40526015</v>
      </c>
      <c r="B263" s="26" t="s">
        <v>1463</v>
      </c>
      <c r="C263" s="12" t="s">
        <v>165</v>
      </c>
      <c r="D263" s="12" t="s">
        <v>1181</v>
      </c>
      <c r="E263" s="12" t="s">
        <v>175</v>
      </c>
      <c r="F263" s="10" t="s">
        <v>101</v>
      </c>
      <c r="G263" s="10"/>
      <c r="H263" s="53">
        <f>H264</f>
        <v>12000</v>
      </c>
    </row>
    <row r="264" spans="1:8" s="28" customFormat="1" x14ac:dyDescent="0.25">
      <c r="A264" s="27">
        <v>40526015006</v>
      </c>
      <c r="B264" s="26" t="s">
        <v>84</v>
      </c>
      <c r="C264" s="12" t="s">
        <v>165</v>
      </c>
      <c r="D264" s="12" t="s">
        <v>1181</v>
      </c>
      <c r="E264" s="12" t="s">
        <v>175</v>
      </c>
      <c r="F264" s="10" t="s">
        <v>101</v>
      </c>
      <c r="G264" s="12" t="s">
        <v>165</v>
      </c>
      <c r="H264" s="53">
        <v>12000</v>
      </c>
    </row>
    <row r="265" spans="1:8" s="28" customFormat="1" x14ac:dyDescent="0.25">
      <c r="A265" s="27">
        <v>40526030</v>
      </c>
      <c r="B265" s="26" t="s">
        <v>1464</v>
      </c>
      <c r="C265" s="12" t="s">
        <v>165</v>
      </c>
      <c r="D265" s="12" t="s">
        <v>1181</v>
      </c>
      <c r="E265" s="12" t="s">
        <v>175</v>
      </c>
      <c r="F265" s="10" t="s">
        <v>1331</v>
      </c>
      <c r="G265" s="10"/>
      <c r="H265" s="53">
        <f>H266</f>
        <v>160000</v>
      </c>
    </row>
    <row r="266" spans="1:8" s="28" customFormat="1" x14ac:dyDescent="0.25">
      <c r="A266" s="27">
        <v>40526030006</v>
      </c>
      <c r="B266" s="26" t="s">
        <v>84</v>
      </c>
      <c r="C266" s="12" t="s">
        <v>165</v>
      </c>
      <c r="D266" s="12" t="s">
        <v>1181</v>
      </c>
      <c r="E266" s="12" t="s">
        <v>175</v>
      </c>
      <c r="F266" s="10" t="s">
        <v>1331</v>
      </c>
      <c r="G266" s="12" t="s">
        <v>165</v>
      </c>
      <c r="H266" s="53">
        <v>160000</v>
      </c>
    </row>
    <row r="267" spans="1:8" s="28" customFormat="1" ht="31.5" hidden="1" x14ac:dyDescent="0.25">
      <c r="A267" s="27">
        <v>40526031</v>
      </c>
      <c r="B267" s="26" t="s">
        <v>1187</v>
      </c>
      <c r="C267" s="12" t="s">
        <v>165</v>
      </c>
      <c r="D267" s="12" t="s">
        <v>1181</v>
      </c>
      <c r="E267" s="12" t="s">
        <v>175</v>
      </c>
      <c r="F267" s="10" t="s">
        <v>1332</v>
      </c>
      <c r="G267" s="10"/>
      <c r="H267" s="53">
        <f>H268</f>
        <v>0</v>
      </c>
    </row>
    <row r="268" spans="1:8" s="28" customFormat="1" hidden="1" x14ac:dyDescent="0.25">
      <c r="A268" s="27">
        <v>40526031006</v>
      </c>
      <c r="B268" s="26" t="s">
        <v>84</v>
      </c>
      <c r="C268" s="12" t="s">
        <v>165</v>
      </c>
      <c r="D268" s="12" t="s">
        <v>1181</v>
      </c>
      <c r="E268" s="12" t="s">
        <v>175</v>
      </c>
      <c r="F268" s="10" t="s">
        <v>1332</v>
      </c>
      <c r="G268" s="12" t="s">
        <v>165</v>
      </c>
      <c r="H268" s="230">
        <f>54100-54100</f>
        <v>0</v>
      </c>
    </row>
    <row r="269" spans="1:8" s="28" customFormat="1" ht="47.25" hidden="1" x14ac:dyDescent="0.25">
      <c r="A269" s="27">
        <v>40526032</v>
      </c>
      <c r="B269" s="26" t="s">
        <v>351</v>
      </c>
      <c r="C269" s="12" t="s">
        <v>165</v>
      </c>
      <c r="D269" s="12" t="s">
        <v>1181</v>
      </c>
      <c r="E269" s="12" t="s">
        <v>175</v>
      </c>
      <c r="F269" s="10" t="s">
        <v>1333</v>
      </c>
      <c r="G269" s="10"/>
      <c r="H269" s="53">
        <f>H270</f>
        <v>0</v>
      </c>
    </row>
    <row r="270" spans="1:8" s="28" customFormat="1" hidden="1" x14ac:dyDescent="0.25">
      <c r="A270" s="27">
        <v>40526032006</v>
      </c>
      <c r="B270" s="26" t="s">
        <v>84</v>
      </c>
      <c r="C270" s="12" t="s">
        <v>165</v>
      </c>
      <c r="D270" s="12" t="s">
        <v>1181</v>
      </c>
      <c r="E270" s="12" t="s">
        <v>175</v>
      </c>
      <c r="F270" s="10" t="s">
        <v>1333</v>
      </c>
      <c r="G270" s="12" t="s">
        <v>165</v>
      </c>
      <c r="H270" s="53">
        <f>16300-16300</f>
        <v>0</v>
      </c>
    </row>
    <row r="271" spans="1:8" s="28" customFormat="1" ht="31.5" x14ac:dyDescent="0.25">
      <c r="A271" s="27">
        <v>40526040</v>
      </c>
      <c r="B271" s="26" t="s">
        <v>1005</v>
      </c>
      <c r="C271" s="12" t="s">
        <v>165</v>
      </c>
      <c r="D271" s="12" t="s">
        <v>1181</v>
      </c>
      <c r="E271" s="12" t="s">
        <v>175</v>
      </c>
      <c r="F271" s="10" t="s">
        <v>1465</v>
      </c>
      <c r="G271" s="10"/>
      <c r="H271" s="53">
        <f>H272</f>
        <v>26480</v>
      </c>
    </row>
    <row r="272" spans="1:8" s="28" customFormat="1" x14ac:dyDescent="0.25">
      <c r="A272" s="27">
        <v>40526040006</v>
      </c>
      <c r="B272" s="26" t="s">
        <v>84</v>
      </c>
      <c r="C272" s="12" t="s">
        <v>165</v>
      </c>
      <c r="D272" s="12" t="s">
        <v>1181</v>
      </c>
      <c r="E272" s="12" t="s">
        <v>175</v>
      </c>
      <c r="F272" s="10" t="s">
        <v>1465</v>
      </c>
      <c r="G272" s="12" t="s">
        <v>165</v>
      </c>
      <c r="H272" s="53">
        <v>26480</v>
      </c>
    </row>
    <row r="273" spans="1:8" s="28" customFormat="1" ht="47.25" hidden="1" x14ac:dyDescent="0.25">
      <c r="A273" s="27">
        <v>40526041</v>
      </c>
      <c r="B273" s="26" t="s">
        <v>721</v>
      </c>
      <c r="C273" s="12" t="s">
        <v>165</v>
      </c>
      <c r="D273" s="12" t="s">
        <v>1181</v>
      </c>
      <c r="E273" s="12" t="s">
        <v>175</v>
      </c>
      <c r="F273" s="10" t="s">
        <v>1466</v>
      </c>
      <c r="G273" s="10"/>
      <c r="H273" s="53">
        <f>H274</f>
        <v>0</v>
      </c>
    </row>
    <row r="274" spans="1:8" s="28" customFormat="1" hidden="1" x14ac:dyDescent="0.25">
      <c r="A274" s="27">
        <v>40526041006</v>
      </c>
      <c r="B274" s="26" t="s">
        <v>84</v>
      </c>
      <c r="C274" s="12" t="s">
        <v>165</v>
      </c>
      <c r="D274" s="12" t="s">
        <v>1181</v>
      </c>
      <c r="E274" s="12" t="s">
        <v>175</v>
      </c>
      <c r="F274" s="10" t="s">
        <v>1466</v>
      </c>
      <c r="G274" s="12" t="s">
        <v>165</v>
      </c>
      <c r="H274" s="230">
        <f>16800-16800</f>
        <v>0</v>
      </c>
    </row>
    <row r="275" spans="1:8" s="28" customFormat="1" ht="31.5" x14ac:dyDescent="0.25">
      <c r="A275" s="27">
        <v>40526045</v>
      </c>
      <c r="B275" s="26" t="s">
        <v>554</v>
      </c>
      <c r="C275" s="12" t="s">
        <v>165</v>
      </c>
      <c r="D275" s="12" t="s">
        <v>1181</v>
      </c>
      <c r="E275" s="12" t="s">
        <v>175</v>
      </c>
      <c r="F275" s="10" t="s">
        <v>1687</v>
      </c>
      <c r="G275" s="10"/>
      <c r="H275" s="53">
        <f>H276</f>
        <v>7500</v>
      </c>
    </row>
    <row r="276" spans="1:8" s="28" customFormat="1" x14ac:dyDescent="0.25">
      <c r="A276" s="27">
        <v>40526045013</v>
      </c>
      <c r="B276" s="26" t="s">
        <v>1335</v>
      </c>
      <c r="C276" s="12" t="s">
        <v>165</v>
      </c>
      <c r="D276" s="12" t="s">
        <v>1181</v>
      </c>
      <c r="E276" s="12" t="s">
        <v>175</v>
      </c>
      <c r="F276" s="10" t="s">
        <v>1687</v>
      </c>
      <c r="G276" s="12" t="s">
        <v>972</v>
      </c>
      <c r="H276" s="53">
        <v>7500</v>
      </c>
    </row>
    <row r="277" spans="1:8" s="147" customFormat="1" ht="47.25" x14ac:dyDescent="0.25">
      <c r="A277" s="188">
        <v>405261</v>
      </c>
      <c r="B277" s="38" t="s">
        <v>25</v>
      </c>
      <c r="C277" s="25" t="s">
        <v>165</v>
      </c>
      <c r="D277" s="25" t="s">
        <v>1181</v>
      </c>
      <c r="E277" s="25" t="s">
        <v>175</v>
      </c>
      <c r="F277" s="11" t="s">
        <v>706</v>
      </c>
      <c r="G277" s="25"/>
      <c r="H277" s="230">
        <f>H278</f>
        <v>1044505</v>
      </c>
    </row>
    <row r="278" spans="1:8" s="147" customFormat="1" x14ac:dyDescent="0.25">
      <c r="A278" s="188">
        <v>40526199</v>
      </c>
      <c r="B278" s="38" t="s">
        <v>624</v>
      </c>
      <c r="C278" s="25" t="s">
        <v>165</v>
      </c>
      <c r="D278" s="25" t="s">
        <v>1181</v>
      </c>
      <c r="E278" s="25" t="s">
        <v>175</v>
      </c>
      <c r="F278" s="11" t="s">
        <v>706</v>
      </c>
      <c r="G278" s="25"/>
      <c r="H278" s="230">
        <f>H279</f>
        <v>1044505</v>
      </c>
    </row>
    <row r="279" spans="1:8" s="147" customFormat="1" x14ac:dyDescent="0.25">
      <c r="A279" s="188">
        <v>40526199001</v>
      </c>
      <c r="B279" s="38" t="s">
        <v>1435</v>
      </c>
      <c r="C279" s="25" t="s">
        <v>165</v>
      </c>
      <c r="D279" s="25" t="s">
        <v>1181</v>
      </c>
      <c r="E279" s="25" t="s">
        <v>175</v>
      </c>
      <c r="F279" s="11" t="s">
        <v>706</v>
      </c>
      <c r="G279" s="25" t="s">
        <v>1394</v>
      </c>
      <c r="H279" s="230">
        <v>1044505</v>
      </c>
    </row>
    <row r="280" spans="1:8" s="28" customFormat="1" ht="31.5" hidden="1" x14ac:dyDescent="0.25">
      <c r="A280" s="27">
        <v>405263</v>
      </c>
      <c r="B280" s="26" t="s">
        <v>1372</v>
      </c>
      <c r="C280" s="12" t="s">
        <v>165</v>
      </c>
      <c r="D280" s="12" t="s">
        <v>1181</v>
      </c>
      <c r="E280" s="12" t="s">
        <v>175</v>
      </c>
      <c r="F280" s="10" t="s">
        <v>1373</v>
      </c>
      <c r="G280" s="12"/>
      <c r="H280" s="53">
        <f>H281</f>
        <v>0</v>
      </c>
    </row>
    <row r="281" spans="1:8" s="28" customFormat="1" hidden="1" x14ac:dyDescent="0.25">
      <c r="A281" s="27">
        <v>40526399</v>
      </c>
      <c r="B281" s="26" t="s">
        <v>624</v>
      </c>
      <c r="C281" s="12" t="s">
        <v>165</v>
      </c>
      <c r="D281" s="12" t="s">
        <v>1181</v>
      </c>
      <c r="E281" s="12" t="s">
        <v>175</v>
      </c>
      <c r="F281" s="10" t="s">
        <v>1688</v>
      </c>
      <c r="G281" s="12"/>
      <c r="H281" s="53">
        <f>H282</f>
        <v>0</v>
      </c>
    </row>
    <row r="282" spans="1:8" s="28" customFormat="1" hidden="1" x14ac:dyDescent="0.25">
      <c r="A282" s="27">
        <v>40526399001</v>
      </c>
      <c r="B282" s="26" t="s">
        <v>1435</v>
      </c>
      <c r="C282" s="12" t="s">
        <v>165</v>
      </c>
      <c r="D282" s="12" t="s">
        <v>1181</v>
      </c>
      <c r="E282" s="12" t="s">
        <v>175</v>
      </c>
      <c r="F282" s="10" t="s">
        <v>1688</v>
      </c>
      <c r="G282" s="12" t="s">
        <v>1394</v>
      </c>
      <c r="H282" s="230">
        <f>1044505-1044505</f>
        <v>0</v>
      </c>
    </row>
    <row r="283" spans="1:8" s="147" customFormat="1" x14ac:dyDescent="0.25">
      <c r="A283" s="188">
        <v>405264</v>
      </c>
      <c r="B283" s="38" t="s">
        <v>1443</v>
      </c>
      <c r="C283" s="25" t="s">
        <v>165</v>
      </c>
      <c r="D283" s="25" t="s">
        <v>1181</v>
      </c>
      <c r="E283" s="25" t="s">
        <v>175</v>
      </c>
      <c r="F283" s="80" t="s">
        <v>1444</v>
      </c>
      <c r="G283" s="11"/>
      <c r="H283" s="230">
        <f>H284+H286</f>
        <v>18625</v>
      </c>
    </row>
    <row r="284" spans="1:8" s="147" customFormat="1" ht="31.5" x14ac:dyDescent="0.25">
      <c r="A284" s="188">
        <v>40526401</v>
      </c>
      <c r="B284" s="193" t="s">
        <v>555</v>
      </c>
      <c r="C284" s="25" t="s">
        <v>165</v>
      </c>
      <c r="D284" s="25" t="s">
        <v>1181</v>
      </c>
      <c r="E284" s="25" t="s">
        <v>175</v>
      </c>
      <c r="F284" s="80" t="s">
        <v>1445</v>
      </c>
      <c r="G284" s="11"/>
      <c r="H284" s="230">
        <f>H285</f>
        <v>669</v>
      </c>
    </row>
    <row r="285" spans="1:8" s="147" customFormat="1" x14ac:dyDescent="0.25">
      <c r="A285" s="188">
        <v>40526401013</v>
      </c>
      <c r="B285" s="38" t="s">
        <v>1335</v>
      </c>
      <c r="C285" s="25" t="s">
        <v>165</v>
      </c>
      <c r="D285" s="25" t="s">
        <v>1181</v>
      </c>
      <c r="E285" s="25" t="s">
        <v>175</v>
      </c>
      <c r="F285" s="80" t="s">
        <v>1445</v>
      </c>
      <c r="G285" s="25" t="s">
        <v>972</v>
      </c>
      <c r="H285" s="230">
        <v>669</v>
      </c>
    </row>
    <row r="286" spans="1:8" s="147" customFormat="1" x14ac:dyDescent="0.25">
      <c r="A286" s="188">
        <v>40526499</v>
      </c>
      <c r="B286" s="193" t="s">
        <v>624</v>
      </c>
      <c r="C286" s="25" t="s">
        <v>165</v>
      </c>
      <c r="D286" s="25" t="s">
        <v>1181</v>
      </c>
      <c r="E286" s="25" t="s">
        <v>175</v>
      </c>
      <c r="F286" s="80" t="s">
        <v>1297</v>
      </c>
      <c r="G286" s="11"/>
      <c r="H286" s="230">
        <f>H287</f>
        <v>17956</v>
      </c>
    </row>
    <row r="287" spans="1:8" s="147" customFormat="1" x14ac:dyDescent="0.25">
      <c r="A287" s="188">
        <v>40526499001</v>
      </c>
      <c r="B287" s="38" t="s">
        <v>1435</v>
      </c>
      <c r="C287" s="25" t="s">
        <v>165</v>
      </c>
      <c r="D287" s="25" t="s">
        <v>1181</v>
      </c>
      <c r="E287" s="25" t="s">
        <v>175</v>
      </c>
      <c r="F287" s="80" t="s">
        <v>1297</v>
      </c>
      <c r="G287" s="25" t="s">
        <v>1394</v>
      </c>
      <c r="H287" s="230">
        <v>17956</v>
      </c>
    </row>
    <row r="288" spans="1:8" s="147" customFormat="1" hidden="1" x14ac:dyDescent="0.25">
      <c r="A288" s="188">
        <v>405267</v>
      </c>
      <c r="B288" s="38" t="s">
        <v>871</v>
      </c>
      <c r="C288" s="25" t="s">
        <v>165</v>
      </c>
      <c r="D288" s="25" t="s">
        <v>1181</v>
      </c>
      <c r="E288" s="25" t="s">
        <v>175</v>
      </c>
      <c r="F288" s="11" t="s">
        <v>1404</v>
      </c>
      <c r="G288" s="25"/>
      <c r="H288" s="53">
        <f>H289</f>
        <v>0</v>
      </c>
    </row>
    <row r="289" spans="1:8" s="147" customFormat="1" hidden="1" x14ac:dyDescent="0.25">
      <c r="A289" s="188">
        <v>40526701</v>
      </c>
      <c r="B289" s="38" t="s">
        <v>871</v>
      </c>
      <c r="C289" s="25" t="s">
        <v>165</v>
      </c>
      <c r="D289" s="25" t="s">
        <v>1181</v>
      </c>
      <c r="E289" s="25" t="s">
        <v>175</v>
      </c>
      <c r="F289" s="11" t="s">
        <v>1405</v>
      </c>
      <c r="G289" s="25"/>
      <c r="H289" s="53">
        <f>H290</f>
        <v>0</v>
      </c>
    </row>
    <row r="290" spans="1:8" s="147" customFormat="1" hidden="1" x14ac:dyDescent="0.25">
      <c r="A290" s="188">
        <v>40526701013</v>
      </c>
      <c r="B290" s="38" t="s">
        <v>1335</v>
      </c>
      <c r="C290" s="25" t="s">
        <v>165</v>
      </c>
      <c r="D290" s="25" t="s">
        <v>1181</v>
      </c>
      <c r="E290" s="25" t="s">
        <v>175</v>
      </c>
      <c r="F290" s="11" t="s">
        <v>1405</v>
      </c>
      <c r="G290" s="25" t="s">
        <v>972</v>
      </c>
      <c r="H290" s="230">
        <f>5300-5300</f>
        <v>0</v>
      </c>
    </row>
    <row r="291" spans="1:8" s="28" customFormat="1" hidden="1" x14ac:dyDescent="0.25">
      <c r="A291" s="29">
        <v>6</v>
      </c>
      <c r="B291" s="35" t="s">
        <v>866</v>
      </c>
      <c r="C291" s="12" t="s">
        <v>165</v>
      </c>
      <c r="D291" s="12" t="s">
        <v>1746</v>
      </c>
      <c r="E291" s="10"/>
      <c r="F291" s="10"/>
      <c r="G291" s="10"/>
      <c r="H291" s="53">
        <f>H292</f>
        <v>0</v>
      </c>
    </row>
    <row r="292" spans="1:8" s="28" customFormat="1" ht="31.5" hidden="1" x14ac:dyDescent="0.25">
      <c r="A292" s="29">
        <v>603</v>
      </c>
      <c r="B292" s="26" t="s">
        <v>372</v>
      </c>
      <c r="C292" s="12" t="s">
        <v>165</v>
      </c>
      <c r="D292" s="12" t="s">
        <v>1746</v>
      </c>
      <c r="E292" s="12" t="s">
        <v>193</v>
      </c>
      <c r="F292" s="10"/>
      <c r="G292" s="10"/>
      <c r="H292" s="53">
        <f>H293</f>
        <v>0</v>
      </c>
    </row>
    <row r="293" spans="1:8" s="28" customFormat="1" hidden="1" x14ac:dyDescent="0.25">
      <c r="A293" s="27">
        <v>603264</v>
      </c>
      <c r="B293" s="26" t="s">
        <v>1443</v>
      </c>
      <c r="C293" s="12" t="s">
        <v>165</v>
      </c>
      <c r="D293" s="12" t="s">
        <v>1746</v>
      </c>
      <c r="E293" s="12" t="s">
        <v>193</v>
      </c>
      <c r="F293" s="19" t="s">
        <v>1444</v>
      </c>
      <c r="G293" s="10"/>
      <c r="H293" s="53">
        <f>H294</f>
        <v>0</v>
      </c>
    </row>
    <row r="294" spans="1:8" s="28" customFormat="1" ht="31.5" hidden="1" x14ac:dyDescent="0.25">
      <c r="A294" s="27">
        <v>60326401</v>
      </c>
      <c r="B294" s="65" t="s">
        <v>555</v>
      </c>
      <c r="C294" s="12" t="s">
        <v>165</v>
      </c>
      <c r="D294" s="12" t="s">
        <v>1746</v>
      </c>
      <c r="E294" s="12" t="s">
        <v>193</v>
      </c>
      <c r="F294" s="19" t="s">
        <v>1445</v>
      </c>
      <c r="G294" s="10"/>
      <c r="H294" s="53">
        <f>H295</f>
        <v>0</v>
      </c>
    </row>
    <row r="295" spans="1:8" s="28" customFormat="1" hidden="1" x14ac:dyDescent="0.25">
      <c r="A295" s="27">
        <v>60326401009</v>
      </c>
      <c r="B295" s="26" t="s">
        <v>1565</v>
      </c>
      <c r="C295" s="12" t="s">
        <v>165</v>
      </c>
      <c r="D295" s="12" t="s">
        <v>1746</v>
      </c>
      <c r="E295" s="12" t="s">
        <v>193</v>
      </c>
      <c r="F295" s="19" t="s">
        <v>1445</v>
      </c>
      <c r="G295" s="12" t="s">
        <v>569</v>
      </c>
      <c r="H295" s="230">
        <f>669-669</f>
        <v>0</v>
      </c>
    </row>
    <row r="296" spans="1:8" s="28" customFormat="1" x14ac:dyDescent="0.25">
      <c r="A296" s="27">
        <v>7</v>
      </c>
      <c r="B296" s="35" t="s">
        <v>174</v>
      </c>
      <c r="C296" s="12" t="s">
        <v>165</v>
      </c>
      <c r="D296" s="12" t="s">
        <v>205</v>
      </c>
      <c r="E296" s="12"/>
      <c r="F296" s="10"/>
      <c r="G296" s="12"/>
      <c r="H296" s="53">
        <f>H297+H314</f>
        <v>55371</v>
      </c>
    </row>
    <row r="297" spans="1:8" s="28" customFormat="1" x14ac:dyDescent="0.25">
      <c r="A297" s="27">
        <v>704</v>
      </c>
      <c r="B297" s="26" t="s">
        <v>973</v>
      </c>
      <c r="C297" s="12" t="s">
        <v>165</v>
      </c>
      <c r="D297" s="6" t="s">
        <v>205</v>
      </c>
      <c r="E297" s="6" t="s">
        <v>1181</v>
      </c>
      <c r="F297" s="6"/>
      <c r="G297" s="6"/>
      <c r="H297" s="53">
        <f>H298</f>
        <v>55371</v>
      </c>
    </row>
    <row r="298" spans="1:8" s="28" customFormat="1" x14ac:dyDescent="0.25">
      <c r="A298" s="27">
        <v>704427</v>
      </c>
      <c r="B298" s="26" t="s">
        <v>974</v>
      </c>
      <c r="C298" s="12" t="s">
        <v>165</v>
      </c>
      <c r="D298" s="6" t="s">
        <v>205</v>
      </c>
      <c r="E298" s="6" t="s">
        <v>1181</v>
      </c>
      <c r="F298" s="19" t="s">
        <v>867</v>
      </c>
      <c r="G298" s="6"/>
      <c r="H298" s="53">
        <f>H299</f>
        <v>55371</v>
      </c>
    </row>
    <row r="299" spans="1:8" s="28" customFormat="1" x14ac:dyDescent="0.25">
      <c r="A299" s="27">
        <v>70442799</v>
      </c>
      <c r="B299" s="26" t="s">
        <v>624</v>
      </c>
      <c r="C299" s="12" t="s">
        <v>165</v>
      </c>
      <c r="D299" s="6" t="s">
        <v>205</v>
      </c>
      <c r="E299" s="6" t="s">
        <v>1181</v>
      </c>
      <c r="F299" s="19" t="s">
        <v>263</v>
      </c>
      <c r="G299" s="6"/>
      <c r="H299" s="53">
        <f>H300+H302+H304+H306+H308+H310+H312</f>
        <v>55371</v>
      </c>
    </row>
    <row r="300" spans="1:8" s="28" customFormat="1" ht="31.5" x14ac:dyDescent="0.25">
      <c r="A300" s="27">
        <v>7044279901</v>
      </c>
      <c r="B300" s="26" t="s">
        <v>9</v>
      </c>
      <c r="C300" s="12" t="s">
        <v>165</v>
      </c>
      <c r="D300" s="6" t="s">
        <v>205</v>
      </c>
      <c r="E300" s="6" t="s">
        <v>1181</v>
      </c>
      <c r="F300" s="19" t="s">
        <v>264</v>
      </c>
      <c r="G300" s="6"/>
      <c r="H300" s="53">
        <f>H301</f>
        <v>3275</v>
      </c>
    </row>
    <row r="301" spans="1:8" s="28" customFormat="1" x14ac:dyDescent="0.25">
      <c r="A301" s="27">
        <v>7044279901001</v>
      </c>
      <c r="B301" s="26" t="s">
        <v>1435</v>
      </c>
      <c r="C301" s="12" t="s">
        <v>165</v>
      </c>
      <c r="D301" s="6" t="s">
        <v>205</v>
      </c>
      <c r="E301" s="6" t="s">
        <v>1181</v>
      </c>
      <c r="F301" s="19" t="s">
        <v>264</v>
      </c>
      <c r="G301" s="12" t="s">
        <v>1394</v>
      </c>
      <c r="H301" s="53">
        <v>3275</v>
      </c>
    </row>
    <row r="302" spans="1:8" s="28" customFormat="1" ht="31.5" x14ac:dyDescent="0.25">
      <c r="A302" s="27">
        <v>7044279902</v>
      </c>
      <c r="B302" s="26" t="s">
        <v>10</v>
      </c>
      <c r="C302" s="12" t="s">
        <v>165</v>
      </c>
      <c r="D302" s="6" t="s">
        <v>205</v>
      </c>
      <c r="E302" s="6" t="s">
        <v>1181</v>
      </c>
      <c r="F302" s="19" t="s">
        <v>265</v>
      </c>
      <c r="G302" s="6"/>
      <c r="H302" s="53">
        <f>H303</f>
        <v>544</v>
      </c>
    </row>
    <row r="303" spans="1:8" s="28" customFormat="1" x14ac:dyDescent="0.25">
      <c r="A303" s="27">
        <v>7044279902001</v>
      </c>
      <c r="B303" s="26" t="s">
        <v>1435</v>
      </c>
      <c r="C303" s="12" t="s">
        <v>165</v>
      </c>
      <c r="D303" s="6" t="s">
        <v>205</v>
      </c>
      <c r="E303" s="6" t="s">
        <v>1181</v>
      </c>
      <c r="F303" s="19" t="s">
        <v>265</v>
      </c>
      <c r="G303" s="6" t="s">
        <v>1394</v>
      </c>
      <c r="H303" s="53">
        <v>544</v>
      </c>
    </row>
    <row r="304" spans="1:8" s="28" customFormat="1" ht="31.5" x14ac:dyDescent="0.25">
      <c r="A304" s="27">
        <v>7044279904</v>
      </c>
      <c r="B304" s="149" t="s">
        <v>998</v>
      </c>
      <c r="C304" s="12" t="s">
        <v>165</v>
      </c>
      <c r="D304" s="6" t="s">
        <v>205</v>
      </c>
      <c r="E304" s="6" t="s">
        <v>1181</v>
      </c>
      <c r="F304" s="19" t="s">
        <v>414</v>
      </c>
      <c r="G304" s="6"/>
      <c r="H304" s="53">
        <f>H305</f>
        <v>240</v>
      </c>
    </row>
    <row r="305" spans="1:9" s="28" customFormat="1" x14ac:dyDescent="0.25">
      <c r="A305" s="27">
        <v>7044279904001</v>
      </c>
      <c r="B305" s="26" t="s">
        <v>1435</v>
      </c>
      <c r="C305" s="12" t="s">
        <v>165</v>
      </c>
      <c r="D305" s="6" t="s">
        <v>205</v>
      </c>
      <c r="E305" s="6" t="s">
        <v>1181</v>
      </c>
      <c r="F305" s="19" t="s">
        <v>414</v>
      </c>
      <c r="G305" s="6" t="s">
        <v>1394</v>
      </c>
      <c r="H305" s="53">
        <v>240</v>
      </c>
    </row>
    <row r="306" spans="1:9" s="28" customFormat="1" ht="47.25" x14ac:dyDescent="0.25">
      <c r="A306" s="27">
        <v>7044279907</v>
      </c>
      <c r="B306" s="149" t="s">
        <v>681</v>
      </c>
      <c r="C306" s="12" t="s">
        <v>165</v>
      </c>
      <c r="D306" s="6" t="s">
        <v>205</v>
      </c>
      <c r="E306" s="6" t="s">
        <v>1181</v>
      </c>
      <c r="F306" s="19" t="s">
        <v>415</v>
      </c>
      <c r="G306" s="6"/>
      <c r="H306" s="53">
        <f>H307</f>
        <v>43</v>
      </c>
    </row>
    <row r="307" spans="1:9" s="28" customFormat="1" x14ac:dyDescent="0.25">
      <c r="A307" s="27">
        <v>7044279907001</v>
      </c>
      <c r="B307" s="26" t="s">
        <v>1435</v>
      </c>
      <c r="C307" s="12" t="s">
        <v>165</v>
      </c>
      <c r="D307" s="6" t="s">
        <v>205</v>
      </c>
      <c r="E307" s="6" t="s">
        <v>1181</v>
      </c>
      <c r="F307" s="19" t="s">
        <v>415</v>
      </c>
      <c r="G307" s="6" t="s">
        <v>1394</v>
      </c>
      <c r="H307" s="53">
        <v>43</v>
      </c>
    </row>
    <row r="308" spans="1:9" s="28" customFormat="1" ht="47.25" x14ac:dyDescent="0.25">
      <c r="A308" s="27">
        <v>7044279908</v>
      </c>
      <c r="B308" s="149" t="s">
        <v>1597</v>
      </c>
      <c r="C308" s="12" t="s">
        <v>165</v>
      </c>
      <c r="D308" s="6" t="s">
        <v>205</v>
      </c>
      <c r="E308" s="6" t="s">
        <v>1181</v>
      </c>
      <c r="F308" s="19" t="s">
        <v>416</v>
      </c>
      <c r="G308" s="6"/>
      <c r="H308" s="53">
        <f>H309</f>
        <v>864</v>
      </c>
    </row>
    <row r="309" spans="1:9" s="28" customFormat="1" x14ac:dyDescent="0.25">
      <c r="A309" s="27">
        <v>7044279908001</v>
      </c>
      <c r="B309" s="26" t="s">
        <v>1435</v>
      </c>
      <c r="C309" s="12" t="s">
        <v>165</v>
      </c>
      <c r="D309" s="6" t="s">
        <v>205</v>
      </c>
      <c r="E309" s="6" t="s">
        <v>1181</v>
      </c>
      <c r="F309" s="19" t="s">
        <v>416</v>
      </c>
      <c r="G309" s="6" t="s">
        <v>1394</v>
      </c>
      <c r="H309" s="53">
        <v>864</v>
      </c>
    </row>
    <row r="310" spans="1:9" s="28" customFormat="1" ht="31.5" x14ac:dyDescent="0.25">
      <c r="A310" s="27">
        <v>7044279912</v>
      </c>
      <c r="B310" s="149" t="s">
        <v>441</v>
      </c>
      <c r="C310" s="12" t="s">
        <v>165</v>
      </c>
      <c r="D310" s="6" t="s">
        <v>205</v>
      </c>
      <c r="E310" s="6" t="s">
        <v>1181</v>
      </c>
      <c r="F310" s="19" t="s">
        <v>413</v>
      </c>
      <c r="G310" s="6"/>
      <c r="H310" s="53">
        <f>H311</f>
        <v>516</v>
      </c>
    </row>
    <row r="311" spans="1:9" s="28" customFormat="1" x14ac:dyDescent="0.25">
      <c r="A311" s="27">
        <v>7044279912001</v>
      </c>
      <c r="B311" s="26" t="s">
        <v>1435</v>
      </c>
      <c r="C311" s="12" t="s">
        <v>165</v>
      </c>
      <c r="D311" s="6" t="s">
        <v>205</v>
      </c>
      <c r="E311" s="6" t="s">
        <v>1181</v>
      </c>
      <c r="F311" s="19" t="s">
        <v>413</v>
      </c>
      <c r="G311" s="6" t="s">
        <v>1394</v>
      </c>
      <c r="H311" s="53">
        <v>516</v>
      </c>
    </row>
    <row r="312" spans="1:9" s="28" customFormat="1" ht="36.75" customHeight="1" x14ac:dyDescent="0.25">
      <c r="A312" s="27">
        <v>7044279999</v>
      </c>
      <c r="B312" s="26" t="s">
        <v>1089</v>
      </c>
      <c r="C312" s="12" t="s">
        <v>165</v>
      </c>
      <c r="D312" s="6" t="s">
        <v>205</v>
      </c>
      <c r="E312" s="6" t="s">
        <v>1181</v>
      </c>
      <c r="F312" s="19" t="s">
        <v>266</v>
      </c>
      <c r="G312" s="6"/>
      <c r="H312" s="53">
        <f>H313</f>
        <v>49889</v>
      </c>
    </row>
    <row r="313" spans="1:9" s="28" customFormat="1" x14ac:dyDescent="0.25">
      <c r="A313" s="27">
        <v>7044279999001</v>
      </c>
      <c r="B313" s="26" t="s">
        <v>1435</v>
      </c>
      <c r="C313" s="12" t="s">
        <v>165</v>
      </c>
      <c r="D313" s="6" t="s">
        <v>205</v>
      </c>
      <c r="E313" s="6" t="s">
        <v>1181</v>
      </c>
      <c r="F313" s="19" t="s">
        <v>266</v>
      </c>
      <c r="G313" s="6" t="s">
        <v>1394</v>
      </c>
      <c r="H313" s="53">
        <v>49889</v>
      </c>
    </row>
    <row r="314" spans="1:9" s="128" customFormat="1" hidden="1" x14ac:dyDescent="0.25">
      <c r="A314" s="29">
        <v>707</v>
      </c>
      <c r="B314" s="26" t="s">
        <v>699</v>
      </c>
      <c r="C314" s="12" t="s">
        <v>165</v>
      </c>
      <c r="D314" s="12" t="s">
        <v>205</v>
      </c>
      <c r="E314" s="12" t="s">
        <v>205</v>
      </c>
      <c r="F314" s="10"/>
      <c r="G314" s="10"/>
      <c r="H314" s="53">
        <f>H315</f>
        <v>0</v>
      </c>
    </row>
    <row r="315" spans="1:9" s="128" customFormat="1" ht="21" hidden="1" customHeight="1" x14ac:dyDescent="0.25">
      <c r="A315" s="27">
        <v>707432</v>
      </c>
      <c r="B315" s="26" t="s">
        <v>1482</v>
      </c>
      <c r="C315" s="12" t="s">
        <v>165</v>
      </c>
      <c r="D315" s="12" t="s">
        <v>205</v>
      </c>
      <c r="E315" s="12" t="s">
        <v>205</v>
      </c>
      <c r="F315" s="10" t="s">
        <v>965</v>
      </c>
      <c r="G315" s="12"/>
      <c r="H315" s="53">
        <f>H316</f>
        <v>0</v>
      </c>
    </row>
    <row r="316" spans="1:9" s="128" customFormat="1" hidden="1" x14ac:dyDescent="0.25">
      <c r="A316" s="27">
        <v>70743202</v>
      </c>
      <c r="B316" s="26" t="s">
        <v>541</v>
      </c>
      <c r="C316" s="12" t="s">
        <v>165</v>
      </c>
      <c r="D316" s="12" t="s">
        <v>205</v>
      </c>
      <c r="E316" s="12" t="s">
        <v>205</v>
      </c>
      <c r="F316" s="10" t="s">
        <v>262</v>
      </c>
      <c r="G316" s="12"/>
      <c r="H316" s="53">
        <f>H317</f>
        <v>0</v>
      </c>
    </row>
    <row r="317" spans="1:9" s="128" customFormat="1" hidden="1" x14ac:dyDescent="0.25">
      <c r="A317" s="27">
        <v>70743202001</v>
      </c>
      <c r="B317" s="26" t="s">
        <v>1435</v>
      </c>
      <c r="C317" s="12" t="s">
        <v>165</v>
      </c>
      <c r="D317" s="12" t="s">
        <v>205</v>
      </c>
      <c r="E317" s="12" t="s">
        <v>205</v>
      </c>
      <c r="F317" s="10" t="s">
        <v>262</v>
      </c>
      <c r="G317" s="12" t="s">
        <v>1394</v>
      </c>
      <c r="H317" s="53"/>
    </row>
    <row r="318" spans="1:9" s="28" customFormat="1" x14ac:dyDescent="0.25">
      <c r="A318" s="27">
        <v>10</v>
      </c>
      <c r="B318" s="35" t="s">
        <v>1745</v>
      </c>
      <c r="C318" s="12" t="s">
        <v>165</v>
      </c>
      <c r="D318" s="12" t="s">
        <v>768</v>
      </c>
      <c r="E318" s="12"/>
      <c r="F318" s="10"/>
      <c r="G318" s="12"/>
      <c r="H318" s="53">
        <f>H319</f>
        <v>120000</v>
      </c>
    </row>
    <row r="319" spans="1:9" s="28" customFormat="1" x14ac:dyDescent="0.25">
      <c r="A319" s="27">
        <v>1003</v>
      </c>
      <c r="B319" s="26" t="s">
        <v>1322</v>
      </c>
      <c r="C319" s="12" t="s">
        <v>165</v>
      </c>
      <c r="D319" s="12">
        <v>10</v>
      </c>
      <c r="E319" s="12" t="s">
        <v>193</v>
      </c>
      <c r="F319" s="10"/>
      <c r="G319" s="12"/>
      <c r="H319" s="53">
        <f>H320</f>
        <v>120000</v>
      </c>
      <c r="I319" s="43"/>
    </row>
    <row r="320" spans="1:9" s="28" customFormat="1" x14ac:dyDescent="0.25">
      <c r="A320" s="27">
        <v>1003100</v>
      </c>
      <c r="B320" s="26" t="s">
        <v>1184</v>
      </c>
      <c r="C320" s="12" t="s">
        <v>165</v>
      </c>
      <c r="D320" s="12">
        <v>10</v>
      </c>
      <c r="E320" s="12" t="s">
        <v>193</v>
      </c>
      <c r="F320" s="10" t="s">
        <v>1680</v>
      </c>
      <c r="G320" s="12"/>
      <c r="H320" s="53">
        <f>H321</f>
        <v>120000</v>
      </c>
      <c r="I320" s="43"/>
    </row>
    <row r="321" spans="1:10" s="28" customFormat="1" ht="31.5" customHeight="1" x14ac:dyDescent="0.25">
      <c r="A321" s="27">
        <v>100310011</v>
      </c>
      <c r="B321" s="26" t="s">
        <v>246</v>
      </c>
      <c r="C321" s="12" t="s">
        <v>165</v>
      </c>
      <c r="D321" s="12">
        <v>10</v>
      </c>
      <c r="E321" s="12" t="s">
        <v>193</v>
      </c>
      <c r="F321" s="10" t="s">
        <v>1370</v>
      </c>
      <c r="G321" s="10"/>
      <c r="H321" s="53">
        <f>H322+H323</f>
        <v>120000</v>
      </c>
    </row>
    <row r="322" spans="1:10" s="28" customFormat="1" ht="31.5" customHeight="1" x14ac:dyDescent="0.25">
      <c r="A322" s="27">
        <v>100310011021</v>
      </c>
      <c r="B322" s="65" t="s">
        <v>1488</v>
      </c>
      <c r="C322" s="12" t="s">
        <v>165</v>
      </c>
      <c r="D322" s="12">
        <v>10</v>
      </c>
      <c r="E322" s="12" t="s">
        <v>193</v>
      </c>
      <c r="F322" s="10" t="s">
        <v>1370</v>
      </c>
      <c r="G322" s="10" t="s">
        <v>568</v>
      </c>
      <c r="H322" s="53">
        <v>80000</v>
      </c>
    </row>
    <row r="323" spans="1:10" s="28" customFormat="1" ht="32.25" customHeight="1" x14ac:dyDescent="0.25">
      <c r="A323" s="27">
        <v>100310011099</v>
      </c>
      <c r="B323" s="65" t="s">
        <v>1601</v>
      </c>
      <c r="C323" s="12" t="s">
        <v>165</v>
      </c>
      <c r="D323" s="12">
        <v>10</v>
      </c>
      <c r="E323" s="12" t="s">
        <v>193</v>
      </c>
      <c r="F323" s="10" t="s">
        <v>1370</v>
      </c>
      <c r="G323" s="10" t="s">
        <v>1689</v>
      </c>
      <c r="H323" s="53">
        <v>40000</v>
      </c>
    </row>
    <row r="324" spans="1:10" s="28" customFormat="1" x14ac:dyDescent="0.25">
      <c r="A324" s="27">
        <v>11</v>
      </c>
      <c r="B324" s="35" t="s">
        <v>219</v>
      </c>
      <c r="C324" s="12" t="s">
        <v>165</v>
      </c>
      <c r="D324" s="12">
        <v>11</v>
      </c>
      <c r="E324" s="12"/>
      <c r="F324" s="10"/>
      <c r="G324" s="10"/>
      <c r="H324" s="53">
        <f>H325</f>
        <v>66000</v>
      </c>
    </row>
    <row r="325" spans="1:10" s="46" customFormat="1" ht="31.5" x14ac:dyDescent="0.25">
      <c r="A325" s="27">
        <v>1102</v>
      </c>
      <c r="B325" s="26" t="s">
        <v>463</v>
      </c>
      <c r="C325" s="12" t="s">
        <v>165</v>
      </c>
      <c r="D325" s="6">
        <v>11</v>
      </c>
      <c r="E325" s="6" t="s">
        <v>567</v>
      </c>
      <c r="F325" s="10"/>
      <c r="G325" s="10"/>
      <c r="H325" s="53">
        <f>H326</f>
        <v>66000</v>
      </c>
      <c r="I325" s="45"/>
      <c r="J325" s="47"/>
    </row>
    <row r="326" spans="1:10" s="69" customFormat="1" x14ac:dyDescent="0.25">
      <c r="A326" s="27">
        <v>1102100</v>
      </c>
      <c r="B326" s="26" t="s">
        <v>1184</v>
      </c>
      <c r="C326" s="12" t="s">
        <v>165</v>
      </c>
      <c r="D326" s="6">
        <v>11</v>
      </c>
      <c r="E326" s="6" t="s">
        <v>567</v>
      </c>
      <c r="F326" s="10" t="s">
        <v>1680</v>
      </c>
      <c r="G326" s="10"/>
      <c r="H326" s="53">
        <f>H327</f>
        <v>66000</v>
      </c>
    </row>
    <row r="327" spans="1:10" s="69" customFormat="1" ht="31.5" x14ac:dyDescent="0.25">
      <c r="A327" s="27">
        <v>110210011</v>
      </c>
      <c r="B327" s="26" t="s">
        <v>246</v>
      </c>
      <c r="C327" s="12" t="s">
        <v>165</v>
      </c>
      <c r="D327" s="6">
        <v>11</v>
      </c>
      <c r="E327" s="6" t="s">
        <v>567</v>
      </c>
      <c r="F327" s="10" t="s">
        <v>1370</v>
      </c>
      <c r="G327" s="10"/>
      <c r="H327" s="53">
        <f>H328</f>
        <v>66000</v>
      </c>
    </row>
    <row r="328" spans="1:10" s="69" customFormat="1" ht="63" x14ac:dyDescent="0.25">
      <c r="A328" s="27">
        <v>110210011020</v>
      </c>
      <c r="B328" s="65" t="s">
        <v>544</v>
      </c>
      <c r="C328" s="12" t="s">
        <v>165</v>
      </c>
      <c r="D328" s="6">
        <v>11</v>
      </c>
      <c r="E328" s="6" t="s">
        <v>567</v>
      </c>
      <c r="F328" s="10" t="s">
        <v>1370</v>
      </c>
      <c r="G328" s="12" t="s">
        <v>1422</v>
      </c>
      <c r="H328" s="53">
        <v>66000</v>
      </c>
    </row>
    <row r="329" spans="1:10" s="28" customFormat="1" x14ac:dyDescent="0.25">
      <c r="A329" s="27"/>
      <c r="B329" s="26"/>
      <c r="C329" s="12"/>
      <c r="D329" s="12"/>
      <c r="E329" s="12"/>
      <c r="F329" s="10"/>
      <c r="G329" s="12"/>
      <c r="H329" s="53"/>
    </row>
    <row r="330" spans="1:10" s="3" customFormat="1" ht="17.25" customHeight="1" x14ac:dyDescent="0.25">
      <c r="A330" s="40">
        <v>0</v>
      </c>
      <c r="B330" s="41" t="s">
        <v>766</v>
      </c>
      <c r="C330" s="42" t="s">
        <v>767</v>
      </c>
      <c r="D330" s="31"/>
      <c r="E330" s="31"/>
      <c r="F330" s="31"/>
      <c r="G330" s="31"/>
      <c r="H330" s="187">
        <f>H331+H340+H345+H350+H366+H383+H425+H444+H452</f>
        <v>10241117</v>
      </c>
    </row>
    <row r="331" spans="1:10" s="28" customFormat="1" x14ac:dyDescent="0.25">
      <c r="A331" s="29">
        <v>1</v>
      </c>
      <c r="B331" s="35" t="s">
        <v>482</v>
      </c>
      <c r="C331" s="12" t="s">
        <v>767</v>
      </c>
      <c r="D331" s="12" t="s">
        <v>566</v>
      </c>
      <c r="E331" s="12"/>
      <c r="F331" s="12"/>
      <c r="G331" s="12"/>
      <c r="H331" s="53">
        <f>H332</f>
        <v>720230</v>
      </c>
    </row>
    <row r="332" spans="1:10" s="28" customFormat="1" x14ac:dyDescent="0.25">
      <c r="A332" s="29">
        <v>114</v>
      </c>
      <c r="B332" s="26" t="s">
        <v>287</v>
      </c>
      <c r="C332" s="12" t="s">
        <v>767</v>
      </c>
      <c r="D332" s="12" t="s">
        <v>566</v>
      </c>
      <c r="E332" s="12">
        <v>14</v>
      </c>
      <c r="F332" s="12"/>
      <c r="G332" s="12"/>
      <c r="H332" s="53">
        <f>H333+H336</f>
        <v>720230</v>
      </c>
    </row>
    <row r="333" spans="1:10" s="28" customFormat="1" x14ac:dyDescent="0.25">
      <c r="A333" s="27">
        <v>114001</v>
      </c>
      <c r="B333" s="26" t="s">
        <v>637</v>
      </c>
      <c r="C333" s="12" t="s">
        <v>767</v>
      </c>
      <c r="D333" s="12" t="s">
        <v>566</v>
      </c>
      <c r="E333" s="12">
        <v>14</v>
      </c>
      <c r="F333" s="10" t="s">
        <v>1096</v>
      </c>
      <c r="G333" s="12"/>
      <c r="H333" s="53">
        <f>H334</f>
        <v>230</v>
      </c>
    </row>
    <row r="334" spans="1:10" s="147" customFormat="1" ht="21" customHeight="1" x14ac:dyDescent="0.25">
      <c r="A334" s="188">
        <v>11400166</v>
      </c>
      <c r="B334" s="38" t="s">
        <v>1690</v>
      </c>
      <c r="C334" s="12" t="s">
        <v>767</v>
      </c>
      <c r="D334" s="25" t="s">
        <v>566</v>
      </c>
      <c r="E334" s="25">
        <v>14</v>
      </c>
      <c r="F334" s="25" t="s">
        <v>331</v>
      </c>
      <c r="G334" s="189"/>
      <c r="H334" s="53">
        <f>H335</f>
        <v>230</v>
      </c>
    </row>
    <row r="335" spans="1:10" s="147" customFormat="1" x14ac:dyDescent="0.25">
      <c r="A335" s="188">
        <v>11400166013</v>
      </c>
      <c r="B335" s="38" t="s">
        <v>1335</v>
      </c>
      <c r="C335" s="12" t="s">
        <v>767</v>
      </c>
      <c r="D335" s="25" t="s">
        <v>566</v>
      </c>
      <c r="E335" s="25">
        <v>14</v>
      </c>
      <c r="F335" s="25" t="s">
        <v>331</v>
      </c>
      <c r="G335" s="25" t="s">
        <v>972</v>
      </c>
      <c r="H335" s="53">
        <v>230</v>
      </c>
    </row>
    <row r="336" spans="1:10" s="28" customFormat="1" ht="31.5" x14ac:dyDescent="0.25">
      <c r="A336" s="27">
        <v>114102</v>
      </c>
      <c r="B336" s="26" t="s">
        <v>106</v>
      </c>
      <c r="C336" s="12" t="s">
        <v>767</v>
      </c>
      <c r="D336" s="12" t="s">
        <v>566</v>
      </c>
      <c r="E336" s="12">
        <v>14</v>
      </c>
      <c r="F336" s="10" t="s">
        <v>234</v>
      </c>
      <c r="G336" s="10"/>
      <c r="H336" s="53">
        <f>H337</f>
        <v>720000</v>
      </c>
    </row>
    <row r="337" spans="1:8" s="28" customFormat="1" ht="63" x14ac:dyDescent="0.25">
      <c r="A337" s="27">
        <v>11410201</v>
      </c>
      <c r="B337" s="26" t="s">
        <v>942</v>
      </c>
      <c r="C337" s="12" t="s">
        <v>767</v>
      </c>
      <c r="D337" s="12" t="s">
        <v>566</v>
      </c>
      <c r="E337" s="12">
        <v>14</v>
      </c>
      <c r="F337" s="10" t="s">
        <v>1178</v>
      </c>
      <c r="G337" s="10"/>
      <c r="H337" s="53">
        <f>H338</f>
        <v>720000</v>
      </c>
    </row>
    <row r="338" spans="1:8" s="28" customFormat="1" ht="47.25" x14ac:dyDescent="0.25">
      <c r="A338" s="27">
        <v>1141020101</v>
      </c>
      <c r="B338" s="26" t="s">
        <v>1025</v>
      </c>
      <c r="C338" s="12" t="s">
        <v>767</v>
      </c>
      <c r="D338" s="12" t="s">
        <v>566</v>
      </c>
      <c r="E338" s="12">
        <v>14</v>
      </c>
      <c r="F338" s="10" t="s">
        <v>1179</v>
      </c>
      <c r="G338" s="10"/>
      <c r="H338" s="53">
        <f>H339</f>
        <v>720000</v>
      </c>
    </row>
    <row r="339" spans="1:8" s="28" customFormat="1" x14ac:dyDescent="0.25">
      <c r="A339" s="27">
        <v>1141020101003</v>
      </c>
      <c r="B339" s="26" t="s">
        <v>256</v>
      </c>
      <c r="C339" s="12" t="s">
        <v>767</v>
      </c>
      <c r="D339" s="12" t="s">
        <v>566</v>
      </c>
      <c r="E339" s="12">
        <v>14</v>
      </c>
      <c r="F339" s="10" t="s">
        <v>1179</v>
      </c>
      <c r="G339" s="80" t="s">
        <v>539</v>
      </c>
      <c r="H339" s="53">
        <v>720000</v>
      </c>
    </row>
    <row r="340" spans="1:8" s="28" customFormat="1" x14ac:dyDescent="0.25">
      <c r="A340" s="27">
        <v>2</v>
      </c>
      <c r="B340" s="35" t="s">
        <v>271</v>
      </c>
      <c r="C340" s="12" t="s">
        <v>767</v>
      </c>
      <c r="D340" s="12" t="s">
        <v>567</v>
      </c>
      <c r="E340" s="31"/>
      <c r="F340" s="31"/>
      <c r="G340" s="31"/>
      <c r="H340" s="53">
        <f>H341</f>
        <v>1565</v>
      </c>
    </row>
    <row r="341" spans="1:8" s="28" customFormat="1" x14ac:dyDescent="0.25">
      <c r="A341" s="27">
        <v>204</v>
      </c>
      <c r="B341" s="26" t="s">
        <v>1054</v>
      </c>
      <c r="C341" s="12" t="s">
        <v>767</v>
      </c>
      <c r="D341" s="12" t="s">
        <v>567</v>
      </c>
      <c r="E341" s="12" t="s">
        <v>1181</v>
      </c>
      <c r="F341" s="31"/>
      <c r="G341" s="31"/>
      <c r="H341" s="53">
        <f>H342</f>
        <v>1565</v>
      </c>
    </row>
    <row r="342" spans="1:8" s="28" customFormat="1" ht="31.5" x14ac:dyDescent="0.25">
      <c r="A342" s="27">
        <v>204209</v>
      </c>
      <c r="B342" s="26" t="s">
        <v>141</v>
      </c>
      <c r="C342" s="12" t="s">
        <v>767</v>
      </c>
      <c r="D342" s="12" t="s">
        <v>567</v>
      </c>
      <c r="E342" s="12" t="s">
        <v>1181</v>
      </c>
      <c r="F342" s="10" t="s">
        <v>270</v>
      </c>
      <c r="G342" s="31"/>
      <c r="H342" s="53">
        <f>H343</f>
        <v>1565</v>
      </c>
    </row>
    <row r="343" spans="1:8" s="28" customFormat="1" ht="31.5" x14ac:dyDescent="0.25">
      <c r="A343" s="27">
        <v>20420901</v>
      </c>
      <c r="B343" s="26" t="s">
        <v>1408</v>
      </c>
      <c r="C343" s="12" t="s">
        <v>767</v>
      </c>
      <c r="D343" s="12" t="s">
        <v>567</v>
      </c>
      <c r="E343" s="12" t="s">
        <v>1181</v>
      </c>
      <c r="F343" s="10" t="s">
        <v>956</v>
      </c>
      <c r="G343" s="31"/>
      <c r="H343" s="53">
        <f>H344</f>
        <v>1565</v>
      </c>
    </row>
    <row r="344" spans="1:8" s="28" customFormat="1" x14ac:dyDescent="0.25">
      <c r="A344" s="27">
        <v>20420901012</v>
      </c>
      <c r="B344" s="65" t="s">
        <v>1012</v>
      </c>
      <c r="C344" s="12" t="s">
        <v>767</v>
      </c>
      <c r="D344" s="12" t="s">
        <v>567</v>
      </c>
      <c r="E344" s="12" t="s">
        <v>1181</v>
      </c>
      <c r="F344" s="10" t="s">
        <v>956</v>
      </c>
      <c r="G344" s="12" t="s">
        <v>1224</v>
      </c>
      <c r="H344" s="53">
        <v>1565</v>
      </c>
    </row>
    <row r="345" spans="1:8" s="28" customFormat="1" ht="19.5" customHeight="1" x14ac:dyDescent="0.25">
      <c r="A345" s="27">
        <v>3</v>
      </c>
      <c r="B345" s="35" t="s">
        <v>1049</v>
      </c>
      <c r="C345" s="12" t="s">
        <v>767</v>
      </c>
      <c r="D345" s="12" t="s">
        <v>193</v>
      </c>
      <c r="E345" s="12"/>
      <c r="F345" s="10"/>
      <c r="G345" s="12"/>
      <c r="H345" s="53">
        <f>H346</f>
        <v>93</v>
      </c>
    </row>
    <row r="346" spans="1:8" s="28" customFormat="1" ht="47.25" x14ac:dyDescent="0.25">
      <c r="A346" s="27">
        <v>309</v>
      </c>
      <c r="B346" s="26" t="s">
        <v>133</v>
      </c>
      <c r="C346" s="12" t="s">
        <v>767</v>
      </c>
      <c r="D346" s="12" t="s">
        <v>193</v>
      </c>
      <c r="E346" s="12" t="s">
        <v>406</v>
      </c>
      <c r="F346" s="10"/>
      <c r="G346" s="12"/>
      <c r="H346" s="53">
        <f>H347</f>
        <v>93</v>
      </c>
    </row>
    <row r="347" spans="1:8" s="28" customFormat="1" x14ac:dyDescent="0.25">
      <c r="A347" s="27">
        <v>309219</v>
      </c>
      <c r="B347" s="26" t="s">
        <v>1098</v>
      </c>
      <c r="C347" s="12" t="s">
        <v>767</v>
      </c>
      <c r="D347" s="12" t="s">
        <v>193</v>
      </c>
      <c r="E347" s="12" t="s">
        <v>406</v>
      </c>
      <c r="F347" s="10" t="s">
        <v>620</v>
      </c>
      <c r="G347" s="12"/>
      <c r="H347" s="53">
        <f>H348</f>
        <v>93</v>
      </c>
    </row>
    <row r="348" spans="1:8" s="28" customFormat="1" ht="31.5" x14ac:dyDescent="0.25">
      <c r="A348" s="27">
        <v>30921901</v>
      </c>
      <c r="B348" s="26" t="s">
        <v>591</v>
      </c>
      <c r="C348" s="12" t="s">
        <v>767</v>
      </c>
      <c r="D348" s="12" t="s">
        <v>193</v>
      </c>
      <c r="E348" s="12" t="s">
        <v>406</v>
      </c>
      <c r="F348" s="10" t="s">
        <v>269</v>
      </c>
      <c r="G348" s="12"/>
      <c r="H348" s="53">
        <f>H349</f>
        <v>93</v>
      </c>
    </row>
    <row r="349" spans="1:8" s="28" customFormat="1" x14ac:dyDescent="0.25">
      <c r="A349" s="27">
        <v>30921901012</v>
      </c>
      <c r="B349" s="65" t="s">
        <v>1012</v>
      </c>
      <c r="C349" s="12" t="s">
        <v>767</v>
      </c>
      <c r="D349" s="12" t="s">
        <v>193</v>
      </c>
      <c r="E349" s="12" t="s">
        <v>406</v>
      </c>
      <c r="F349" s="10" t="s">
        <v>269</v>
      </c>
      <c r="G349" s="12" t="s">
        <v>1224</v>
      </c>
      <c r="H349" s="53">
        <v>93</v>
      </c>
    </row>
    <row r="350" spans="1:8" s="28" customFormat="1" x14ac:dyDescent="0.25">
      <c r="A350" s="29">
        <v>4</v>
      </c>
      <c r="B350" s="35" t="s">
        <v>993</v>
      </c>
      <c r="C350" s="12" t="s">
        <v>767</v>
      </c>
      <c r="D350" s="12" t="s">
        <v>1181</v>
      </c>
      <c r="E350" s="12"/>
      <c r="F350" s="12"/>
      <c r="G350" s="12"/>
      <c r="H350" s="53">
        <f>H351+H356</f>
        <v>2682745</v>
      </c>
    </row>
    <row r="351" spans="1:8" s="28" customFormat="1" x14ac:dyDescent="0.25">
      <c r="A351" s="29">
        <v>401</v>
      </c>
      <c r="B351" s="26" t="s">
        <v>378</v>
      </c>
      <c r="C351" s="12" t="s">
        <v>767</v>
      </c>
      <c r="D351" s="12" t="s">
        <v>1181</v>
      </c>
      <c r="E351" s="12" t="s">
        <v>566</v>
      </c>
      <c r="F351" s="10"/>
      <c r="G351" s="10"/>
      <c r="H351" s="53">
        <f>H352</f>
        <v>294515</v>
      </c>
    </row>
    <row r="352" spans="1:8" s="28" customFormat="1" ht="47.25" x14ac:dyDescent="0.25">
      <c r="A352" s="27">
        <v>401002</v>
      </c>
      <c r="B352" s="26" t="s">
        <v>1657</v>
      </c>
      <c r="C352" s="12" t="s">
        <v>767</v>
      </c>
      <c r="D352" s="12" t="s">
        <v>1181</v>
      </c>
      <c r="E352" s="12" t="s">
        <v>566</v>
      </c>
      <c r="F352" s="12" t="s">
        <v>200</v>
      </c>
      <c r="G352" s="12"/>
      <c r="H352" s="53">
        <f>H353</f>
        <v>294515</v>
      </c>
    </row>
    <row r="353" spans="1:8" s="28" customFormat="1" x14ac:dyDescent="0.25">
      <c r="A353" s="27">
        <v>40100204</v>
      </c>
      <c r="B353" s="26" t="s">
        <v>638</v>
      </c>
      <c r="C353" s="12" t="s">
        <v>767</v>
      </c>
      <c r="D353" s="12" t="s">
        <v>1181</v>
      </c>
      <c r="E353" s="12" t="s">
        <v>566</v>
      </c>
      <c r="F353" s="12" t="s">
        <v>797</v>
      </c>
      <c r="G353" s="12"/>
      <c r="H353" s="53">
        <f>SUM(H354:H355)</f>
        <v>294515</v>
      </c>
    </row>
    <row r="354" spans="1:8" s="131" customFormat="1" x14ac:dyDescent="0.25">
      <c r="A354" s="27">
        <v>40100204012</v>
      </c>
      <c r="B354" s="38" t="s">
        <v>1012</v>
      </c>
      <c r="C354" s="12" t="s">
        <v>767</v>
      </c>
      <c r="D354" s="12" t="s">
        <v>1181</v>
      </c>
      <c r="E354" s="12" t="s">
        <v>566</v>
      </c>
      <c r="F354" s="25" t="s">
        <v>797</v>
      </c>
      <c r="G354" s="25" t="s">
        <v>1224</v>
      </c>
      <c r="H354" s="185">
        <v>293955</v>
      </c>
    </row>
    <row r="355" spans="1:8" s="28" customFormat="1" ht="63" x14ac:dyDescent="0.25">
      <c r="A355" s="27">
        <v>40100204902</v>
      </c>
      <c r="B355" s="26" t="s">
        <v>1100</v>
      </c>
      <c r="C355" s="12" t="s">
        <v>767</v>
      </c>
      <c r="D355" s="12" t="s">
        <v>1181</v>
      </c>
      <c r="E355" s="12" t="s">
        <v>566</v>
      </c>
      <c r="F355" s="12" t="s">
        <v>797</v>
      </c>
      <c r="G355" s="12">
        <v>902</v>
      </c>
      <c r="H355" s="53">
        <v>560</v>
      </c>
    </row>
    <row r="356" spans="1:8" x14ac:dyDescent="0.25">
      <c r="A356" s="29">
        <v>412</v>
      </c>
      <c r="B356" s="26" t="s">
        <v>1253</v>
      </c>
      <c r="C356" s="12" t="s">
        <v>767</v>
      </c>
      <c r="D356" s="12" t="s">
        <v>1181</v>
      </c>
      <c r="E356" s="12">
        <v>12</v>
      </c>
      <c r="F356" s="10"/>
      <c r="G356" s="12"/>
      <c r="H356" s="194">
        <f>H357+H363</f>
        <v>2388230</v>
      </c>
    </row>
    <row r="357" spans="1:8" ht="31.5" x14ac:dyDescent="0.25">
      <c r="A357" s="27">
        <v>412340</v>
      </c>
      <c r="B357" s="26" t="s">
        <v>481</v>
      </c>
      <c r="C357" s="12" t="s">
        <v>767</v>
      </c>
      <c r="D357" s="12" t="s">
        <v>1181</v>
      </c>
      <c r="E357" s="12">
        <v>12</v>
      </c>
      <c r="F357" s="10" t="s">
        <v>1015</v>
      </c>
      <c r="G357" s="23"/>
      <c r="H357" s="53">
        <f>H358+H361</f>
        <v>2294230</v>
      </c>
    </row>
    <row r="358" spans="1:8" s="147" customFormat="1" x14ac:dyDescent="0.25">
      <c r="A358" s="188">
        <v>41234004</v>
      </c>
      <c r="B358" s="193" t="s">
        <v>1215</v>
      </c>
      <c r="C358" s="25" t="s">
        <v>767</v>
      </c>
      <c r="D358" s="25" t="s">
        <v>1181</v>
      </c>
      <c r="E358" s="25">
        <v>12</v>
      </c>
      <c r="F358" s="11" t="s">
        <v>1753</v>
      </c>
      <c r="G358" s="11"/>
      <c r="H358" s="53">
        <f>SUM(H359:H360)</f>
        <v>1300133</v>
      </c>
    </row>
    <row r="359" spans="1:8" s="147" customFormat="1" x14ac:dyDescent="0.25">
      <c r="A359" s="188">
        <v>41234004006</v>
      </c>
      <c r="B359" s="193" t="s">
        <v>84</v>
      </c>
      <c r="C359" s="25" t="s">
        <v>767</v>
      </c>
      <c r="D359" s="25" t="s">
        <v>1181</v>
      </c>
      <c r="E359" s="25">
        <v>12</v>
      </c>
      <c r="F359" s="11" t="s">
        <v>1753</v>
      </c>
      <c r="G359" s="25" t="s">
        <v>165</v>
      </c>
      <c r="H359" s="53">
        <v>305903</v>
      </c>
    </row>
    <row r="360" spans="1:8" s="147" customFormat="1" x14ac:dyDescent="0.25">
      <c r="A360" s="188">
        <v>41234004013</v>
      </c>
      <c r="B360" s="193" t="s">
        <v>1335</v>
      </c>
      <c r="C360" s="25" t="s">
        <v>767</v>
      </c>
      <c r="D360" s="25" t="s">
        <v>1181</v>
      </c>
      <c r="E360" s="25">
        <v>12</v>
      </c>
      <c r="F360" s="11" t="s">
        <v>1753</v>
      </c>
      <c r="G360" s="25" t="s">
        <v>972</v>
      </c>
      <c r="H360" s="53">
        <v>994230</v>
      </c>
    </row>
    <row r="361" spans="1:8" s="131" customFormat="1" ht="33" customHeight="1" x14ac:dyDescent="0.25">
      <c r="A361" s="188">
        <v>41234010</v>
      </c>
      <c r="B361" s="38" t="s">
        <v>547</v>
      </c>
      <c r="C361" s="25" t="s">
        <v>767</v>
      </c>
      <c r="D361" s="25" t="s">
        <v>1181</v>
      </c>
      <c r="E361" s="25">
        <v>12</v>
      </c>
      <c r="F361" s="11" t="s">
        <v>1026</v>
      </c>
      <c r="G361" s="177"/>
      <c r="H361" s="53">
        <f>H362</f>
        <v>994097</v>
      </c>
    </row>
    <row r="362" spans="1:8" s="131" customFormat="1" x14ac:dyDescent="0.25">
      <c r="A362" s="188">
        <v>41234010006</v>
      </c>
      <c r="B362" s="38" t="s">
        <v>84</v>
      </c>
      <c r="C362" s="25" t="s">
        <v>767</v>
      </c>
      <c r="D362" s="25" t="s">
        <v>1181</v>
      </c>
      <c r="E362" s="25">
        <v>12</v>
      </c>
      <c r="F362" s="11" t="s">
        <v>1026</v>
      </c>
      <c r="G362" s="25" t="s">
        <v>165</v>
      </c>
      <c r="H362" s="53">
        <v>994097</v>
      </c>
    </row>
    <row r="363" spans="1:8" s="67" customFormat="1" x14ac:dyDescent="0.25">
      <c r="A363" s="27">
        <v>412522</v>
      </c>
      <c r="B363" s="190" t="s">
        <v>153</v>
      </c>
      <c r="C363" s="12" t="s">
        <v>767</v>
      </c>
      <c r="D363" s="12" t="s">
        <v>1181</v>
      </c>
      <c r="E363" s="12">
        <v>12</v>
      </c>
      <c r="F363" s="10" t="s">
        <v>611</v>
      </c>
      <c r="G363" s="12"/>
      <c r="H363" s="53">
        <f>H364</f>
        <v>94000</v>
      </c>
    </row>
    <row r="364" spans="1:8" s="67" customFormat="1" ht="31.5" x14ac:dyDescent="0.25">
      <c r="A364" s="195">
        <v>41252203</v>
      </c>
      <c r="B364" s="190" t="s">
        <v>730</v>
      </c>
      <c r="C364" s="12" t="s">
        <v>767</v>
      </c>
      <c r="D364" s="12" t="s">
        <v>1181</v>
      </c>
      <c r="E364" s="12">
        <v>12</v>
      </c>
      <c r="F364" s="10" t="s">
        <v>365</v>
      </c>
      <c r="G364" s="12"/>
      <c r="H364" s="53">
        <f>H365</f>
        <v>94000</v>
      </c>
    </row>
    <row r="365" spans="1:8" s="68" customFormat="1" x14ac:dyDescent="0.25">
      <c r="A365" s="27">
        <v>41252203012</v>
      </c>
      <c r="B365" s="65" t="s">
        <v>1012</v>
      </c>
      <c r="C365" s="12" t="s">
        <v>767</v>
      </c>
      <c r="D365" s="12" t="s">
        <v>1181</v>
      </c>
      <c r="E365" s="12">
        <v>12</v>
      </c>
      <c r="F365" s="10" t="s">
        <v>365</v>
      </c>
      <c r="G365" s="12" t="s">
        <v>1224</v>
      </c>
      <c r="H365" s="53">
        <v>94000</v>
      </c>
    </row>
    <row r="366" spans="1:8" s="28" customFormat="1" x14ac:dyDescent="0.25">
      <c r="A366" s="29">
        <v>5</v>
      </c>
      <c r="B366" s="35" t="s">
        <v>173</v>
      </c>
      <c r="C366" s="12" t="s">
        <v>767</v>
      </c>
      <c r="D366" s="12" t="s">
        <v>175</v>
      </c>
      <c r="E366" s="12"/>
      <c r="F366" s="12"/>
      <c r="G366" s="12"/>
      <c r="H366" s="53">
        <f>H372</f>
        <v>283200</v>
      </c>
    </row>
    <row r="367" spans="1:8" s="28" customFormat="1" hidden="1" x14ac:dyDescent="0.25">
      <c r="A367" s="29">
        <v>501</v>
      </c>
      <c r="B367" s="37" t="s">
        <v>196</v>
      </c>
      <c r="C367" s="12" t="s">
        <v>767</v>
      </c>
      <c r="D367" s="12" t="s">
        <v>175</v>
      </c>
      <c r="E367" s="12" t="s">
        <v>566</v>
      </c>
      <c r="F367" s="10"/>
      <c r="G367" s="10"/>
      <c r="H367" s="53">
        <f>H368</f>
        <v>0</v>
      </c>
    </row>
    <row r="368" spans="1:8" s="69" customFormat="1" hidden="1" x14ac:dyDescent="0.25">
      <c r="A368" s="27">
        <v>501522</v>
      </c>
      <c r="B368" s="190" t="s">
        <v>153</v>
      </c>
      <c r="C368" s="12" t="s">
        <v>767</v>
      </c>
      <c r="D368" s="12" t="s">
        <v>175</v>
      </c>
      <c r="E368" s="12" t="s">
        <v>566</v>
      </c>
      <c r="F368" s="10" t="s">
        <v>611</v>
      </c>
      <c r="G368" s="12"/>
      <c r="H368" s="53">
        <f>H369</f>
        <v>0</v>
      </c>
    </row>
    <row r="369" spans="1:9" s="69" customFormat="1" ht="18.75" hidden="1" customHeight="1" x14ac:dyDescent="0.25">
      <c r="A369" s="195">
        <v>50152202</v>
      </c>
      <c r="B369" s="190" t="s">
        <v>883</v>
      </c>
      <c r="C369" s="12" t="s">
        <v>767</v>
      </c>
      <c r="D369" s="12" t="s">
        <v>175</v>
      </c>
      <c r="E369" s="12" t="s">
        <v>566</v>
      </c>
      <c r="F369" s="10" t="s">
        <v>1169</v>
      </c>
      <c r="G369" s="12"/>
      <c r="H369" s="53">
        <f>H370</f>
        <v>0</v>
      </c>
    </row>
    <row r="370" spans="1:9" s="67" customFormat="1" ht="32.25" hidden="1" customHeight="1" x14ac:dyDescent="0.25">
      <c r="A370" s="195">
        <v>5015220202</v>
      </c>
      <c r="B370" s="190" t="s">
        <v>1720</v>
      </c>
      <c r="C370" s="12" t="s">
        <v>767</v>
      </c>
      <c r="D370" s="12" t="s">
        <v>175</v>
      </c>
      <c r="E370" s="12" t="s">
        <v>566</v>
      </c>
      <c r="F370" s="10" t="s">
        <v>247</v>
      </c>
      <c r="G370" s="12"/>
      <c r="H370" s="53">
        <f>H371</f>
        <v>0</v>
      </c>
    </row>
    <row r="371" spans="1:9" s="68" customFormat="1" hidden="1" x14ac:dyDescent="0.25">
      <c r="A371" s="27">
        <v>5015220202006</v>
      </c>
      <c r="B371" s="26" t="s">
        <v>84</v>
      </c>
      <c r="C371" s="12" t="s">
        <v>767</v>
      </c>
      <c r="D371" s="12" t="s">
        <v>175</v>
      </c>
      <c r="E371" s="12" t="s">
        <v>566</v>
      </c>
      <c r="F371" s="10" t="s">
        <v>247</v>
      </c>
      <c r="G371" s="12" t="s">
        <v>165</v>
      </c>
      <c r="H371" s="53"/>
    </row>
    <row r="372" spans="1:9" s="28" customFormat="1" x14ac:dyDescent="0.25">
      <c r="A372" s="29">
        <v>502</v>
      </c>
      <c r="B372" s="26" t="s">
        <v>297</v>
      </c>
      <c r="C372" s="12" t="s">
        <v>767</v>
      </c>
      <c r="D372" s="12" t="s">
        <v>175</v>
      </c>
      <c r="E372" s="12" t="s">
        <v>567</v>
      </c>
      <c r="F372" s="10"/>
      <c r="G372" s="10"/>
      <c r="H372" s="53">
        <f>H373+H377</f>
        <v>283200</v>
      </c>
    </row>
    <row r="373" spans="1:9" s="28" customFormat="1" ht="31.5" x14ac:dyDescent="0.25">
      <c r="A373" s="27">
        <v>502102</v>
      </c>
      <c r="B373" s="26" t="s">
        <v>106</v>
      </c>
      <c r="C373" s="12" t="s">
        <v>767</v>
      </c>
      <c r="D373" s="6" t="s">
        <v>175</v>
      </c>
      <c r="E373" s="6" t="s">
        <v>567</v>
      </c>
      <c r="F373" s="10" t="s">
        <v>234</v>
      </c>
      <c r="G373" s="10"/>
      <c r="H373" s="53">
        <f>H374</f>
        <v>108000</v>
      </c>
    </row>
    <row r="374" spans="1:9" s="28" customFormat="1" ht="63" x14ac:dyDescent="0.25">
      <c r="A374" s="27">
        <v>50210201</v>
      </c>
      <c r="B374" s="26" t="s">
        <v>942</v>
      </c>
      <c r="C374" s="12" t="s">
        <v>767</v>
      </c>
      <c r="D374" s="6" t="s">
        <v>175</v>
      </c>
      <c r="E374" s="6" t="s">
        <v>567</v>
      </c>
      <c r="F374" s="10" t="s">
        <v>1178</v>
      </c>
      <c r="G374" s="10"/>
      <c r="H374" s="53">
        <f>H375</f>
        <v>108000</v>
      </c>
    </row>
    <row r="375" spans="1:9" s="28" customFormat="1" ht="47.25" x14ac:dyDescent="0.25">
      <c r="A375" s="27">
        <v>5021020101</v>
      </c>
      <c r="B375" s="26" t="s">
        <v>1025</v>
      </c>
      <c r="C375" s="12" t="s">
        <v>767</v>
      </c>
      <c r="D375" s="6" t="s">
        <v>175</v>
      </c>
      <c r="E375" s="6" t="s">
        <v>567</v>
      </c>
      <c r="F375" s="10" t="s">
        <v>1179</v>
      </c>
      <c r="G375" s="10"/>
      <c r="H375" s="53">
        <f>H376</f>
        <v>108000</v>
      </c>
    </row>
    <row r="376" spans="1:9" s="28" customFormat="1" x14ac:dyDescent="0.25">
      <c r="A376" s="27">
        <v>5021020101003</v>
      </c>
      <c r="B376" s="26" t="s">
        <v>256</v>
      </c>
      <c r="C376" s="12" t="s">
        <v>767</v>
      </c>
      <c r="D376" s="6" t="s">
        <v>175</v>
      </c>
      <c r="E376" s="6" t="s">
        <v>567</v>
      </c>
      <c r="F376" s="10" t="s">
        <v>1179</v>
      </c>
      <c r="G376" s="80" t="s">
        <v>539</v>
      </c>
      <c r="H376" s="53">
        <v>108000</v>
      </c>
    </row>
    <row r="377" spans="1:9" s="28" customFormat="1" x14ac:dyDescent="0.25">
      <c r="A377" s="27">
        <v>502522</v>
      </c>
      <c r="B377" s="190" t="s">
        <v>153</v>
      </c>
      <c r="C377" s="12" t="s">
        <v>767</v>
      </c>
      <c r="D377" s="12" t="s">
        <v>175</v>
      </c>
      <c r="E377" s="12" t="s">
        <v>567</v>
      </c>
      <c r="F377" s="10" t="s">
        <v>611</v>
      </c>
      <c r="G377" s="12"/>
      <c r="H377" s="53">
        <f>H378</f>
        <v>175200</v>
      </c>
    </row>
    <row r="378" spans="1:9" s="28" customFormat="1" ht="19.5" customHeight="1" x14ac:dyDescent="0.25">
      <c r="A378" s="195">
        <v>50252202</v>
      </c>
      <c r="B378" s="190" t="s">
        <v>883</v>
      </c>
      <c r="C378" s="12" t="s">
        <v>767</v>
      </c>
      <c r="D378" s="12" t="s">
        <v>175</v>
      </c>
      <c r="E378" s="12" t="s">
        <v>567</v>
      </c>
      <c r="F378" s="10" t="s">
        <v>1169</v>
      </c>
      <c r="G378" s="12"/>
      <c r="H378" s="53">
        <f>H379+H381</f>
        <v>175200</v>
      </c>
    </row>
    <row r="379" spans="1:9" s="28" customFormat="1" ht="32.25" customHeight="1" x14ac:dyDescent="0.25">
      <c r="A379" s="195">
        <v>5025220201</v>
      </c>
      <c r="B379" s="190" t="s">
        <v>832</v>
      </c>
      <c r="C379" s="12" t="s">
        <v>767</v>
      </c>
      <c r="D379" s="12" t="s">
        <v>175</v>
      </c>
      <c r="E379" s="12" t="s">
        <v>567</v>
      </c>
      <c r="F379" s="10" t="s">
        <v>364</v>
      </c>
      <c r="G379" s="12"/>
      <c r="H379" s="53">
        <f>H380</f>
        <v>115300</v>
      </c>
    </row>
    <row r="380" spans="1:9" s="28" customFormat="1" x14ac:dyDescent="0.25">
      <c r="A380" s="195">
        <v>5025220201003</v>
      </c>
      <c r="B380" s="26" t="s">
        <v>256</v>
      </c>
      <c r="C380" s="12" t="s">
        <v>767</v>
      </c>
      <c r="D380" s="12" t="s">
        <v>175</v>
      </c>
      <c r="E380" s="12" t="s">
        <v>567</v>
      </c>
      <c r="F380" s="10" t="s">
        <v>364</v>
      </c>
      <c r="G380" s="80" t="s">
        <v>539</v>
      </c>
      <c r="H380" s="53">
        <v>115300</v>
      </c>
    </row>
    <row r="381" spans="1:9" s="28" customFormat="1" ht="32.25" customHeight="1" x14ac:dyDescent="0.25">
      <c r="A381" s="195">
        <v>5025220203</v>
      </c>
      <c r="B381" s="190" t="s">
        <v>933</v>
      </c>
      <c r="C381" s="12" t="s">
        <v>767</v>
      </c>
      <c r="D381" s="12" t="s">
        <v>175</v>
      </c>
      <c r="E381" s="12" t="s">
        <v>567</v>
      </c>
      <c r="F381" s="10" t="s">
        <v>206</v>
      </c>
      <c r="G381" s="12"/>
      <c r="H381" s="53">
        <f>H382</f>
        <v>59900</v>
      </c>
    </row>
    <row r="382" spans="1:9" s="28" customFormat="1" x14ac:dyDescent="0.25">
      <c r="A382" s="195">
        <v>5025220203006</v>
      </c>
      <c r="B382" s="26" t="s">
        <v>84</v>
      </c>
      <c r="C382" s="12" t="s">
        <v>767</v>
      </c>
      <c r="D382" s="12" t="s">
        <v>175</v>
      </c>
      <c r="E382" s="12" t="s">
        <v>567</v>
      </c>
      <c r="F382" s="10" t="s">
        <v>206</v>
      </c>
      <c r="G382" s="12" t="s">
        <v>165</v>
      </c>
      <c r="H382" s="53">
        <v>59900</v>
      </c>
    </row>
    <row r="383" spans="1:9" s="28" customFormat="1" x14ac:dyDescent="0.25">
      <c r="A383" s="29">
        <v>7</v>
      </c>
      <c r="B383" s="35" t="s">
        <v>174</v>
      </c>
      <c r="C383" s="12" t="s">
        <v>767</v>
      </c>
      <c r="D383" s="12" t="s">
        <v>205</v>
      </c>
      <c r="E383" s="10"/>
      <c r="F383" s="10"/>
      <c r="G383" s="10"/>
      <c r="H383" s="53">
        <f>H384+H389+H411+H416+H421</f>
        <v>783113</v>
      </c>
      <c r="I383" s="43"/>
    </row>
    <row r="384" spans="1:9" s="28" customFormat="1" x14ac:dyDescent="0.25">
      <c r="A384" s="29">
        <v>702</v>
      </c>
      <c r="B384" s="26" t="s">
        <v>734</v>
      </c>
      <c r="C384" s="12" t="s">
        <v>767</v>
      </c>
      <c r="D384" s="24" t="s">
        <v>205</v>
      </c>
      <c r="E384" s="24" t="s">
        <v>567</v>
      </c>
      <c r="F384" s="10"/>
      <c r="G384" s="10"/>
      <c r="H384" s="53">
        <f>H385</f>
        <v>16320</v>
      </c>
      <c r="I384" s="43"/>
    </row>
    <row r="385" spans="1:9" s="28" customFormat="1" ht="31.5" x14ac:dyDescent="0.25">
      <c r="A385" s="27">
        <v>702102</v>
      </c>
      <c r="B385" s="26" t="s">
        <v>106</v>
      </c>
      <c r="C385" s="12" t="s">
        <v>767</v>
      </c>
      <c r="D385" s="24" t="s">
        <v>205</v>
      </c>
      <c r="E385" s="24" t="s">
        <v>567</v>
      </c>
      <c r="F385" s="10" t="s">
        <v>234</v>
      </c>
      <c r="G385" s="10"/>
      <c r="H385" s="53">
        <f>H386</f>
        <v>16320</v>
      </c>
      <c r="I385" s="43"/>
    </row>
    <row r="386" spans="1:9" s="28" customFormat="1" ht="63" x14ac:dyDescent="0.25">
      <c r="A386" s="27">
        <v>70210201</v>
      </c>
      <c r="B386" s="26" t="s">
        <v>942</v>
      </c>
      <c r="C386" s="12" t="s">
        <v>767</v>
      </c>
      <c r="D386" s="24" t="s">
        <v>205</v>
      </c>
      <c r="E386" s="24" t="s">
        <v>567</v>
      </c>
      <c r="F386" s="10" t="s">
        <v>1178</v>
      </c>
      <c r="G386" s="10"/>
      <c r="H386" s="53">
        <f>H387</f>
        <v>16320</v>
      </c>
      <c r="I386" s="43"/>
    </row>
    <row r="387" spans="1:9" s="28" customFormat="1" ht="47.25" x14ac:dyDescent="0.25">
      <c r="A387" s="27">
        <v>7021020101</v>
      </c>
      <c r="B387" s="26" t="s">
        <v>1025</v>
      </c>
      <c r="C387" s="12" t="s">
        <v>767</v>
      </c>
      <c r="D387" s="24" t="s">
        <v>205</v>
      </c>
      <c r="E387" s="24" t="s">
        <v>567</v>
      </c>
      <c r="F387" s="10" t="s">
        <v>1179</v>
      </c>
      <c r="G387" s="10"/>
      <c r="H387" s="53">
        <f>H388</f>
        <v>16320</v>
      </c>
      <c r="I387" s="43"/>
    </row>
    <row r="388" spans="1:9" s="28" customFormat="1" x14ac:dyDescent="0.25">
      <c r="A388" s="27">
        <v>7021020101003</v>
      </c>
      <c r="B388" s="26" t="s">
        <v>256</v>
      </c>
      <c r="C388" s="12" t="s">
        <v>767</v>
      </c>
      <c r="D388" s="24" t="s">
        <v>205</v>
      </c>
      <c r="E388" s="24" t="s">
        <v>567</v>
      </c>
      <c r="F388" s="10" t="s">
        <v>1179</v>
      </c>
      <c r="G388" s="80" t="s">
        <v>539</v>
      </c>
      <c r="H388" s="53">
        <v>16320</v>
      </c>
      <c r="I388" s="43"/>
    </row>
    <row r="389" spans="1:9" s="28" customFormat="1" x14ac:dyDescent="0.25">
      <c r="A389" s="29">
        <v>704</v>
      </c>
      <c r="B389" s="26" t="s">
        <v>973</v>
      </c>
      <c r="C389" s="12" t="s">
        <v>767</v>
      </c>
      <c r="D389" s="12" t="s">
        <v>205</v>
      </c>
      <c r="E389" s="12" t="s">
        <v>1181</v>
      </c>
      <c r="F389" s="10"/>
      <c r="G389" s="10"/>
      <c r="H389" s="53">
        <f>H390+H394</f>
        <v>251895</v>
      </c>
    </row>
    <row r="390" spans="1:9" s="28" customFormat="1" ht="31.5" x14ac:dyDescent="0.25">
      <c r="A390" s="27">
        <v>704102</v>
      </c>
      <c r="B390" s="26" t="s">
        <v>106</v>
      </c>
      <c r="C390" s="12" t="s">
        <v>767</v>
      </c>
      <c r="D390" s="12" t="s">
        <v>205</v>
      </c>
      <c r="E390" s="12" t="s">
        <v>1181</v>
      </c>
      <c r="F390" s="10" t="s">
        <v>234</v>
      </c>
      <c r="G390" s="10"/>
      <c r="H390" s="53">
        <f>H391</f>
        <v>30220</v>
      </c>
      <c r="I390" s="43"/>
    </row>
    <row r="391" spans="1:9" s="28" customFormat="1" ht="63" x14ac:dyDescent="0.25">
      <c r="A391" s="27">
        <v>70410201</v>
      </c>
      <c r="B391" s="26" t="s">
        <v>942</v>
      </c>
      <c r="C391" s="12" t="s">
        <v>767</v>
      </c>
      <c r="D391" s="12" t="s">
        <v>205</v>
      </c>
      <c r="E391" s="12" t="s">
        <v>1181</v>
      </c>
      <c r="F391" s="10" t="s">
        <v>1178</v>
      </c>
      <c r="G391" s="10"/>
      <c r="H391" s="53">
        <f>H392</f>
        <v>30220</v>
      </c>
      <c r="I391" s="43"/>
    </row>
    <row r="392" spans="1:9" s="28" customFormat="1" ht="47.25" x14ac:dyDescent="0.25">
      <c r="A392" s="27">
        <v>7041020101</v>
      </c>
      <c r="B392" s="26" t="s">
        <v>1025</v>
      </c>
      <c r="C392" s="12" t="s">
        <v>767</v>
      </c>
      <c r="D392" s="12" t="s">
        <v>205</v>
      </c>
      <c r="E392" s="12" t="s">
        <v>1181</v>
      </c>
      <c r="F392" s="10" t="s">
        <v>1179</v>
      </c>
      <c r="G392" s="10"/>
      <c r="H392" s="53">
        <f>H393</f>
        <v>30220</v>
      </c>
      <c r="I392" s="43"/>
    </row>
    <row r="393" spans="1:9" s="28" customFormat="1" x14ac:dyDescent="0.25">
      <c r="A393" s="27">
        <v>7041020101003</v>
      </c>
      <c r="B393" s="26" t="s">
        <v>256</v>
      </c>
      <c r="C393" s="12" t="s">
        <v>767</v>
      </c>
      <c r="D393" s="12" t="s">
        <v>205</v>
      </c>
      <c r="E393" s="12" t="s">
        <v>1181</v>
      </c>
      <c r="F393" s="10" t="s">
        <v>1179</v>
      </c>
      <c r="G393" s="80" t="s">
        <v>539</v>
      </c>
      <c r="H393" s="53">
        <v>30220</v>
      </c>
      <c r="I393" s="43"/>
    </row>
    <row r="394" spans="1:9" s="28" customFormat="1" x14ac:dyDescent="0.25">
      <c r="A394" s="27">
        <v>704427</v>
      </c>
      <c r="B394" s="26" t="s">
        <v>974</v>
      </c>
      <c r="C394" s="12" t="s">
        <v>767</v>
      </c>
      <c r="D394" s="6" t="s">
        <v>205</v>
      </c>
      <c r="E394" s="6" t="s">
        <v>1181</v>
      </c>
      <c r="F394" s="19" t="s">
        <v>867</v>
      </c>
      <c r="G394" s="6"/>
      <c r="H394" s="53">
        <f>H395</f>
        <v>221675</v>
      </c>
    </row>
    <row r="395" spans="1:9" s="28" customFormat="1" x14ac:dyDescent="0.25">
      <c r="A395" s="27">
        <v>70442799</v>
      </c>
      <c r="B395" s="26" t="s">
        <v>624</v>
      </c>
      <c r="C395" s="12" t="s">
        <v>767</v>
      </c>
      <c r="D395" s="6" t="s">
        <v>205</v>
      </c>
      <c r="E395" s="6" t="s">
        <v>1181</v>
      </c>
      <c r="F395" s="19" t="s">
        <v>263</v>
      </c>
      <c r="G395" s="6"/>
      <c r="H395" s="53">
        <f>H396+H398+H400+H402+H404+H406+H408+H410</f>
        <v>221675</v>
      </c>
    </row>
    <row r="396" spans="1:9" s="28" customFormat="1" ht="31.5" x14ac:dyDescent="0.25">
      <c r="A396" s="27">
        <v>7044279901</v>
      </c>
      <c r="B396" s="26" t="s">
        <v>9</v>
      </c>
      <c r="C396" s="12" t="s">
        <v>767</v>
      </c>
      <c r="D396" s="6" t="s">
        <v>205</v>
      </c>
      <c r="E396" s="6" t="s">
        <v>1181</v>
      </c>
      <c r="F396" s="19" t="s">
        <v>264</v>
      </c>
      <c r="G396" s="6"/>
      <c r="H396" s="53">
        <f>H397</f>
        <v>13607</v>
      </c>
    </row>
    <row r="397" spans="1:9" s="28" customFormat="1" x14ac:dyDescent="0.25">
      <c r="A397" s="27">
        <v>7044279901001</v>
      </c>
      <c r="B397" s="26" t="s">
        <v>1435</v>
      </c>
      <c r="C397" s="12" t="s">
        <v>767</v>
      </c>
      <c r="D397" s="6" t="s">
        <v>205</v>
      </c>
      <c r="E397" s="6" t="s">
        <v>1181</v>
      </c>
      <c r="F397" s="19" t="s">
        <v>264</v>
      </c>
      <c r="G397" s="12" t="s">
        <v>1394</v>
      </c>
      <c r="H397" s="53">
        <v>13607</v>
      </c>
    </row>
    <row r="398" spans="1:9" s="28" customFormat="1" ht="31.5" x14ac:dyDescent="0.25">
      <c r="A398" s="27">
        <v>7044279902</v>
      </c>
      <c r="B398" s="26" t="s">
        <v>10</v>
      </c>
      <c r="C398" s="12" t="s">
        <v>767</v>
      </c>
      <c r="D398" s="6" t="s">
        <v>205</v>
      </c>
      <c r="E398" s="6" t="s">
        <v>1181</v>
      </c>
      <c r="F398" s="19" t="s">
        <v>265</v>
      </c>
      <c r="G398" s="6"/>
      <c r="H398" s="53">
        <f>H399</f>
        <v>952</v>
      </c>
    </row>
    <row r="399" spans="1:9" s="28" customFormat="1" x14ac:dyDescent="0.25">
      <c r="A399" s="27">
        <v>7044279902001</v>
      </c>
      <c r="B399" s="26" t="s">
        <v>1435</v>
      </c>
      <c r="C399" s="12" t="s">
        <v>767</v>
      </c>
      <c r="D399" s="6" t="s">
        <v>205</v>
      </c>
      <c r="E399" s="6" t="s">
        <v>1181</v>
      </c>
      <c r="F399" s="19" t="s">
        <v>265</v>
      </c>
      <c r="G399" s="6" t="s">
        <v>1394</v>
      </c>
      <c r="H399" s="53">
        <v>952</v>
      </c>
    </row>
    <row r="400" spans="1:9" s="28" customFormat="1" ht="31.5" x14ac:dyDescent="0.25">
      <c r="A400" s="27">
        <v>7044279904</v>
      </c>
      <c r="B400" s="149" t="s">
        <v>998</v>
      </c>
      <c r="C400" s="12" t="s">
        <v>767</v>
      </c>
      <c r="D400" s="6" t="s">
        <v>205</v>
      </c>
      <c r="E400" s="6" t="s">
        <v>1181</v>
      </c>
      <c r="F400" s="19" t="s">
        <v>414</v>
      </c>
      <c r="G400" s="6"/>
      <c r="H400" s="53">
        <f>H401</f>
        <v>420</v>
      </c>
    </row>
    <row r="401" spans="1:8" s="28" customFormat="1" x14ac:dyDescent="0.25">
      <c r="A401" s="27">
        <v>7044279904001</v>
      </c>
      <c r="B401" s="26" t="s">
        <v>1435</v>
      </c>
      <c r="C401" s="12" t="s">
        <v>767</v>
      </c>
      <c r="D401" s="6" t="s">
        <v>205</v>
      </c>
      <c r="E401" s="6" t="s">
        <v>1181</v>
      </c>
      <c r="F401" s="19" t="s">
        <v>414</v>
      </c>
      <c r="G401" s="6" t="s">
        <v>1394</v>
      </c>
      <c r="H401" s="53">
        <v>420</v>
      </c>
    </row>
    <row r="402" spans="1:8" s="28" customFormat="1" ht="47.25" x14ac:dyDescent="0.25">
      <c r="A402" s="27">
        <v>7044279907</v>
      </c>
      <c r="B402" s="149" t="s">
        <v>681</v>
      </c>
      <c r="C402" s="12" t="s">
        <v>767</v>
      </c>
      <c r="D402" s="6" t="s">
        <v>205</v>
      </c>
      <c r="E402" s="6" t="s">
        <v>1181</v>
      </c>
      <c r="F402" s="19" t="s">
        <v>415</v>
      </c>
      <c r="G402" s="6"/>
      <c r="H402" s="53">
        <f>H403</f>
        <v>76</v>
      </c>
    </row>
    <row r="403" spans="1:8" s="28" customFormat="1" x14ac:dyDescent="0.25">
      <c r="A403" s="27">
        <v>7044279907001</v>
      </c>
      <c r="B403" s="26" t="s">
        <v>1435</v>
      </c>
      <c r="C403" s="12" t="s">
        <v>767</v>
      </c>
      <c r="D403" s="6" t="s">
        <v>205</v>
      </c>
      <c r="E403" s="6" t="s">
        <v>1181</v>
      </c>
      <c r="F403" s="19" t="s">
        <v>415</v>
      </c>
      <c r="G403" s="6" t="s">
        <v>1394</v>
      </c>
      <c r="H403" s="53">
        <v>76</v>
      </c>
    </row>
    <row r="404" spans="1:8" s="28" customFormat="1" ht="47.25" x14ac:dyDescent="0.25">
      <c r="A404" s="27">
        <v>7044279908</v>
      </c>
      <c r="B404" s="149" t="s">
        <v>1597</v>
      </c>
      <c r="C404" s="12" t="s">
        <v>767</v>
      </c>
      <c r="D404" s="6" t="s">
        <v>205</v>
      </c>
      <c r="E404" s="6" t="s">
        <v>1181</v>
      </c>
      <c r="F404" s="19" t="s">
        <v>416</v>
      </c>
      <c r="G404" s="6"/>
      <c r="H404" s="53">
        <f>H405</f>
        <v>1512</v>
      </c>
    </row>
    <row r="405" spans="1:8" s="28" customFormat="1" x14ac:dyDescent="0.25">
      <c r="A405" s="27">
        <v>7044279908001</v>
      </c>
      <c r="B405" s="26" t="s">
        <v>1435</v>
      </c>
      <c r="C405" s="12" t="s">
        <v>767</v>
      </c>
      <c r="D405" s="6" t="s">
        <v>205</v>
      </c>
      <c r="E405" s="6" t="s">
        <v>1181</v>
      </c>
      <c r="F405" s="19" t="s">
        <v>416</v>
      </c>
      <c r="G405" s="6" t="s">
        <v>1394</v>
      </c>
      <c r="H405" s="53">
        <v>1512</v>
      </c>
    </row>
    <row r="406" spans="1:8" s="28" customFormat="1" ht="31.5" x14ac:dyDescent="0.25">
      <c r="A406" s="27">
        <v>7044279912</v>
      </c>
      <c r="B406" s="149" t="s">
        <v>441</v>
      </c>
      <c r="C406" s="12" t="s">
        <v>767</v>
      </c>
      <c r="D406" s="6" t="s">
        <v>205</v>
      </c>
      <c r="E406" s="6" t="s">
        <v>1181</v>
      </c>
      <c r="F406" s="19" t="s">
        <v>413</v>
      </c>
      <c r="G406" s="6"/>
      <c r="H406" s="53">
        <f>H407</f>
        <v>2267</v>
      </c>
    </row>
    <row r="407" spans="1:8" s="28" customFormat="1" x14ac:dyDescent="0.25">
      <c r="A407" s="27">
        <v>7044279912001</v>
      </c>
      <c r="B407" s="26" t="s">
        <v>1435</v>
      </c>
      <c r="C407" s="12" t="s">
        <v>767</v>
      </c>
      <c r="D407" s="6" t="s">
        <v>205</v>
      </c>
      <c r="E407" s="6" t="s">
        <v>1181</v>
      </c>
      <c r="F407" s="19" t="s">
        <v>413</v>
      </c>
      <c r="G407" s="6" t="s">
        <v>1394</v>
      </c>
      <c r="H407" s="53">
        <v>2267</v>
      </c>
    </row>
    <row r="408" spans="1:8" s="28" customFormat="1" ht="36.75" customHeight="1" x14ac:dyDescent="0.25">
      <c r="A408" s="27">
        <v>7044279999</v>
      </c>
      <c r="B408" s="26" t="s">
        <v>1089</v>
      </c>
      <c r="C408" s="12" t="s">
        <v>767</v>
      </c>
      <c r="D408" s="6" t="s">
        <v>205</v>
      </c>
      <c r="E408" s="6" t="s">
        <v>1181</v>
      </c>
      <c r="F408" s="19" t="s">
        <v>266</v>
      </c>
      <c r="G408" s="6"/>
      <c r="H408" s="53">
        <f>H409</f>
        <v>198843</v>
      </c>
    </row>
    <row r="409" spans="1:8" s="28" customFormat="1" x14ac:dyDescent="0.25">
      <c r="A409" s="27">
        <v>7044279999001</v>
      </c>
      <c r="B409" s="26" t="s">
        <v>1435</v>
      </c>
      <c r="C409" s="12" t="s">
        <v>767</v>
      </c>
      <c r="D409" s="6" t="s">
        <v>205</v>
      </c>
      <c r="E409" s="6" t="s">
        <v>1181</v>
      </c>
      <c r="F409" s="19" t="s">
        <v>266</v>
      </c>
      <c r="G409" s="6" t="s">
        <v>1394</v>
      </c>
      <c r="H409" s="230">
        <f>189343+9500</f>
        <v>198843</v>
      </c>
    </row>
    <row r="410" spans="1:8" s="28" customFormat="1" ht="47.25" x14ac:dyDescent="0.25">
      <c r="A410" s="27">
        <v>70442799910</v>
      </c>
      <c r="B410" s="26" t="s">
        <v>307</v>
      </c>
      <c r="C410" s="12" t="s">
        <v>767</v>
      </c>
      <c r="D410" s="6" t="s">
        <v>205</v>
      </c>
      <c r="E410" s="6" t="s">
        <v>1181</v>
      </c>
      <c r="F410" s="19" t="s">
        <v>263</v>
      </c>
      <c r="G410" s="6">
        <v>910</v>
      </c>
      <c r="H410" s="53">
        <v>3998</v>
      </c>
    </row>
    <row r="411" spans="1:8" s="28" customFormat="1" ht="31.5" x14ac:dyDescent="0.25">
      <c r="A411" s="29">
        <v>705</v>
      </c>
      <c r="B411" s="26" t="s">
        <v>244</v>
      </c>
      <c r="C411" s="12" t="s">
        <v>767</v>
      </c>
      <c r="D411" s="12" t="s">
        <v>205</v>
      </c>
      <c r="E411" s="12" t="s">
        <v>175</v>
      </c>
      <c r="F411" s="12"/>
      <c r="G411" s="12"/>
      <c r="H411" s="53">
        <f>H412</f>
        <v>7119</v>
      </c>
    </row>
    <row r="412" spans="1:8" s="28" customFormat="1" ht="19.5" customHeight="1" x14ac:dyDescent="0.25">
      <c r="A412" s="27">
        <v>705429</v>
      </c>
      <c r="B412" s="26" t="s">
        <v>204</v>
      </c>
      <c r="C412" s="12" t="s">
        <v>767</v>
      </c>
      <c r="D412" s="12" t="s">
        <v>205</v>
      </c>
      <c r="E412" s="12" t="s">
        <v>175</v>
      </c>
      <c r="F412" s="10" t="s">
        <v>398</v>
      </c>
      <c r="G412" s="12"/>
      <c r="H412" s="53">
        <f>H413</f>
        <v>7119</v>
      </c>
    </row>
    <row r="413" spans="1:8" s="28" customFormat="1" ht="18.75" customHeight="1" x14ac:dyDescent="0.25">
      <c r="A413" s="27">
        <v>70542999</v>
      </c>
      <c r="B413" s="26" t="s">
        <v>624</v>
      </c>
      <c r="C413" s="12" t="s">
        <v>767</v>
      </c>
      <c r="D413" s="12" t="s">
        <v>205</v>
      </c>
      <c r="E413" s="12" t="s">
        <v>175</v>
      </c>
      <c r="F413" s="10" t="s">
        <v>1592</v>
      </c>
      <c r="G413" s="12"/>
      <c r="H413" s="53">
        <f>H414</f>
        <v>7119</v>
      </c>
    </row>
    <row r="414" spans="1:8" s="28" customFormat="1" ht="31.5" x14ac:dyDescent="0.25">
      <c r="A414" s="27">
        <v>7054299999</v>
      </c>
      <c r="B414" s="26" t="s">
        <v>648</v>
      </c>
      <c r="C414" s="12" t="s">
        <v>767</v>
      </c>
      <c r="D414" s="12" t="s">
        <v>205</v>
      </c>
      <c r="E414" s="12" t="s">
        <v>175</v>
      </c>
      <c r="F414" s="10" t="s">
        <v>1593</v>
      </c>
      <c r="G414" s="12"/>
      <c r="H414" s="53">
        <f>H415</f>
        <v>7119</v>
      </c>
    </row>
    <row r="415" spans="1:8" s="28" customFormat="1" ht="22.5" customHeight="1" x14ac:dyDescent="0.25">
      <c r="A415" s="27">
        <v>7054299999001</v>
      </c>
      <c r="B415" s="26" t="s">
        <v>1435</v>
      </c>
      <c r="C415" s="12" t="s">
        <v>767</v>
      </c>
      <c r="D415" s="12" t="s">
        <v>205</v>
      </c>
      <c r="E415" s="12" t="s">
        <v>175</v>
      </c>
      <c r="F415" s="10" t="s">
        <v>1593</v>
      </c>
      <c r="G415" s="6" t="s">
        <v>1394</v>
      </c>
      <c r="H415" s="53">
        <v>7119</v>
      </c>
    </row>
    <row r="416" spans="1:8" s="28" customFormat="1" x14ac:dyDescent="0.25">
      <c r="A416" s="27">
        <v>706</v>
      </c>
      <c r="B416" s="15" t="s">
        <v>458</v>
      </c>
      <c r="C416" s="12" t="s">
        <v>767</v>
      </c>
      <c r="D416" s="24" t="s">
        <v>205</v>
      </c>
      <c r="E416" s="24" t="s">
        <v>1746</v>
      </c>
      <c r="F416" s="10"/>
      <c r="G416" s="12"/>
      <c r="H416" s="53">
        <f>H417</f>
        <v>507500</v>
      </c>
    </row>
    <row r="417" spans="1:9" s="28" customFormat="1" ht="31.5" x14ac:dyDescent="0.25">
      <c r="A417" s="27">
        <v>706102</v>
      </c>
      <c r="B417" s="26" t="s">
        <v>106</v>
      </c>
      <c r="C417" s="12" t="s">
        <v>767</v>
      </c>
      <c r="D417" s="12" t="s">
        <v>205</v>
      </c>
      <c r="E417" s="12" t="s">
        <v>1746</v>
      </c>
      <c r="F417" s="10" t="s">
        <v>234</v>
      </c>
      <c r="G417" s="10"/>
      <c r="H417" s="53">
        <f>H418</f>
        <v>507500</v>
      </c>
    </row>
    <row r="418" spans="1:9" s="28" customFormat="1" ht="63" x14ac:dyDescent="0.25">
      <c r="A418" s="27">
        <v>70610201</v>
      </c>
      <c r="B418" s="26" t="s">
        <v>942</v>
      </c>
      <c r="C418" s="12" t="s">
        <v>767</v>
      </c>
      <c r="D418" s="12" t="s">
        <v>205</v>
      </c>
      <c r="E418" s="12" t="s">
        <v>1746</v>
      </c>
      <c r="F418" s="10" t="s">
        <v>1178</v>
      </c>
      <c r="G418" s="10"/>
      <c r="H418" s="53">
        <f>H419</f>
        <v>507500</v>
      </c>
      <c r="I418" s="43"/>
    </row>
    <row r="419" spans="1:9" s="28" customFormat="1" ht="47.25" x14ac:dyDescent="0.25">
      <c r="A419" s="27">
        <v>7061020101</v>
      </c>
      <c r="B419" s="26" t="s">
        <v>1025</v>
      </c>
      <c r="C419" s="12" t="s">
        <v>767</v>
      </c>
      <c r="D419" s="12" t="s">
        <v>205</v>
      </c>
      <c r="E419" s="12" t="s">
        <v>1746</v>
      </c>
      <c r="F419" s="10" t="s">
        <v>1179</v>
      </c>
      <c r="G419" s="10"/>
      <c r="H419" s="53">
        <f>H420</f>
        <v>507500</v>
      </c>
      <c r="I419" s="43"/>
    </row>
    <row r="420" spans="1:9" s="28" customFormat="1" x14ac:dyDescent="0.25">
      <c r="A420" s="27">
        <v>7061020101003</v>
      </c>
      <c r="B420" s="26" t="s">
        <v>256</v>
      </c>
      <c r="C420" s="12" t="s">
        <v>767</v>
      </c>
      <c r="D420" s="12" t="s">
        <v>205</v>
      </c>
      <c r="E420" s="12" t="s">
        <v>1746</v>
      </c>
      <c r="F420" s="10" t="s">
        <v>1179</v>
      </c>
      <c r="G420" s="80" t="s">
        <v>539</v>
      </c>
      <c r="H420" s="53">
        <v>507500</v>
      </c>
      <c r="I420" s="43"/>
    </row>
    <row r="421" spans="1:9" s="128" customFormat="1" x14ac:dyDescent="0.25">
      <c r="A421" s="29">
        <v>707</v>
      </c>
      <c r="B421" s="26" t="s">
        <v>699</v>
      </c>
      <c r="C421" s="12" t="s">
        <v>767</v>
      </c>
      <c r="D421" s="12" t="s">
        <v>205</v>
      </c>
      <c r="E421" s="12" t="s">
        <v>205</v>
      </c>
      <c r="F421" s="10"/>
      <c r="G421" s="10"/>
      <c r="H421" s="53">
        <f>H422</f>
        <v>279</v>
      </c>
    </row>
    <row r="422" spans="1:9" s="128" customFormat="1" ht="21" customHeight="1" x14ac:dyDescent="0.25">
      <c r="A422" s="27">
        <v>707432</v>
      </c>
      <c r="B422" s="26" t="s">
        <v>1482</v>
      </c>
      <c r="C422" s="12" t="s">
        <v>767</v>
      </c>
      <c r="D422" s="12" t="s">
        <v>205</v>
      </c>
      <c r="E422" s="12" t="s">
        <v>205</v>
      </c>
      <c r="F422" s="10" t="s">
        <v>965</v>
      </c>
      <c r="G422" s="12"/>
      <c r="H422" s="53">
        <f>H423</f>
        <v>279</v>
      </c>
    </row>
    <row r="423" spans="1:9" s="128" customFormat="1" x14ac:dyDescent="0.25">
      <c r="A423" s="27">
        <v>70743202</v>
      </c>
      <c r="B423" s="26" t="s">
        <v>541</v>
      </c>
      <c r="C423" s="12" t="s">
        <v>767</v>
      </c>
      <c r="D423" s="12" t="s">
        <v>205</v>
      </c>
      <c r="E423" s="12" t="s">
        <v>205</v>
      </c>
      <c r="F423" s="10" t="s">
        <v>262</v>
      </c>
      <c r="G423" s="12"/>
      <c r="H423" s="53">
        <f>H424</f>
        <v>279</v>
      </c>
    </row>
    <row r="424" spans="1:9" s="128" customFormat="1" x14ac:dyDescent="0.25">
      <c r="A424" s="27">
        <v>70743202001</v>
      </c>
      <c r="B424" s="26" t="s">
        <v>1435</v>
      </c>
      <c r="C424" s="12" t="s">
        <v>767</v>
      </c>
      <c r="D424" s="12" t="s">
        <v>205</v>
      </c>
      <c r="E424" s="12" t="s">
        <v>205</v>
      </c>
      <c r="F424" s="10" t="s">
        <v>262</v>
      </c>
      <c r="G424" s="12" t="s">
        <v>1394</v>
      </c>
      <c r="H424" s="53">
        <v>279</v>
      </c>
    </row>
    <row r="425" spans="1:9" s="28" customFormat="1" x14ac:dyDescent="0.25">
      <c r="A425" s="27">
        <v>9</v>
      </c>
      <c r="B425" s="35" t="s">
        <v>450</v>
      </c>
      <c r="C425" s="12" t="s">
        <v>767</v>
      </c>
      <c r="D425" s="12" t="s">
        <v>406</v>
      </c>
      <c r="E425" s="12"/>
      <c r="F425" s="57"/>
      <c r="G425" s="12"/>
      <c r="H425" s="53">
        <f>H426+H431+H436</f>
        <v>1235590</v>
      </c>
    </row>
    <row r="426" spans="1:9" s="28" customFormat="1" x14ac:dyDescent="0.25">
      <c r="A426" s="27">
        <v>901</v>
      </c>
      <c r="B426" s="26" t="s">
        <v>528</v>
      </c>
      <c r="C426" s="12" t="s">
        <v>767</v>
      </c>
      <c r="D426" s="12" t="s">
        <v>406</v>
      </c>
      <c r="E426" s="12" t="s">
        <v>566</v>
      </c>
      <c r="F426" s="57"/>
      <c r="G426" s="12"/>
      <c r="H426" s="53">
        <f>H427</f>
        <v>820590</v>
      </c>
    </row>
    <row r="427" spans="1:9" s="28" customFormat="1" ht="31.5" x14ac:dyDescent="0.25">
      <c r="A427" s="27">
        <v>901102</v>
      </c>
      <c r="B427" s="26" t="s">
        <v>106</v>
      </c>
      <c r="C427" s="12" t="s">
        <v>767</v>
      </c>
      <c r="D427" s="12" t="s">
        <v>406</v>
      </c>
      <c r="E427" s="12" t="s">
        <v>566</v>
      </c>
      <c r="F427" s="10" t="s">
        <v>234</v>
      </c>
      <c r="G427" s="10"/>
      <c r="H427" s="53">
        <f>H428</f>
        <v>820590</v>
      </c>
    </row>
    <row r="428" spans="1:9" s="28" customFormat="1" ht="63" x14ac:dyDescent="0.25">
      <c r="A428" s="27">
        <v>90110201</v>
      </c>
      <c r="B428" s="26" t="s">
        <v>942</v>
      </c>
      <c r="C428" s="12" t="s">
        <v>767</v>
      </c>
      <c r="D428" s="12" t="s">
        <v>406</v>
      </c>
      <c r="E428" s="12" t="s">
        <v>566</v>
      </c>
      <c r="F428" s="10" t="s">
        <v>1178</v>
      </c>
      <c r="G428" s="10"/>
      <c r="H428" s="53">
        <f>H429</f>
        <v>820590</v>
      </c>
      <c r="I428" s="43"/>
    </row>
    <row r="429" spans="1:9" s="28" customFormat="1" ht="47.25" x14ac:dyDescent="0.25">
      <c r="A429" s="27">
        <v>9011020101</v>
      </c>
      <c r="B429" s="26" t="s">
        <v>1025</v>
      </c>
      <c r="C429" s="12" t="s">
        <v>767</v>
      </c>
      <c r="D429" s="12" t="s">
        <v>406</v>
      </c>
      <c r="E429" s="12" t="s">
        <v>566</v>
      </c>
      <c r="F429" s="10" t="s">
        <v>1179</v>
      </c>
      <c r="G429" s="10"/>
      <c r="H429" s="53">
        <f>H430</f>
        <v>820590</v>
      </c>
      <c r="I429" s="43"/>
    </row>
    <row r="430" spans="1:9" s="28" customFormat="1" x14ac:dyDescent="0.25">
      <c r="A430" s="27">
        <v>9011020101003</v>
      </c>
      <c r="B430" s="26" t="s">
        <v>256</v>
      </c>
      <c r="C430" s="12" t="s">
        <v>767</v>
      </c>
      <c r="D430" s="12" t="s">
        <v>406</v>
      </c>
      <c r="E430" s="12" t="s">
        <v>566</v>
      </c>
      <c r="F430" s="10" t="s">
        <v>1179</v>
      </c>
      <c r="G430" s="80" t="s">
        <v>539</v>
      </c>
      <c r="H430" s="53">
        <v>820590</v>
      </c>
      <c r="I430" s="43"/>
    </row>
    <row r="431" spans="1:9" s="147" customFormat="1" x14ac:dyDescent="0.25">
      <c r="A431" s="160">
        <v>908</v>
      </c>
      <c r="B431" s="38" t="s">
        <v>504</v>
      </c>
      <c r="C431" s="25" t="s">
        <v>767</v>
      </c>
      <c r="D431" s="25" t="s">
        <v>406</v>
      </c>
      <c r="E431" s="24" t="s">
        <v>290</v>
      </c>
      <c r="F431" s="25"/>
      <c r="G431" s="25"/>
      <c r="H431" s="53">
        <f>H432</f>
        <v>370000</v>
      </c>
    </row>
    <row r="432" spans="1:9" s="147" customFormat="1" ht="31.5" x14ac:dyDescent="0.25">
      <c r="A432" s="188">
        <v>908102</v>
      </c>
      <c r="B432" s="38" t="s">
        <v>106</v>
      </c>
      <c r="C432" s="25" t="s">
        <v>767</v>
      </c>
      <c r="D432" s="25" t="s">
        <v>406</v>
      </c>
      <c r="E432" s="24" t="s">
        <v>290</v>
      </c>
      <c r="F432" s="11" t="s">
        <v>234</v>
      </c>
      <c r="G432" s="11"/>
      <c r="H432" s="53">
        <f>H433</f>
        <v>370000</v>
      </c>
    </row>
    <row r="433" spans="1:9" s="147" customFormat="1" ht="63" x14ac:dyDescent="0.25">
      <c r="A433" s="188">
        <v>90810201</v>
      </c>
      <c r="B433" s="38" t="s">
        <v>942</v>
      </c>
      <c r="C433" s="25" t="s">
        <v>767</v>
      </c>
      <c r="D433" s="25" t="s">
        <v>406</v>
      </c>
      <c r="E433" s="24" t="s">
        <v>290</v>
      </c>
      <c r="F433" s="11" t="s">
        <v>1178</v>
      </c>
      <c r="G433" s="11"/>
      <c r="H433" s="53">
        <f>H434</f>
        <v>370000</v>
      </c>
      <c r="I433" s="152"/>
    </row>
    <row r="434" spans="1:9" s="147" customFormat="1" ht="47.25" x14ac:dyDescent="0.25">
      <c r="A434" s="188">
        <v>9081020101</v>
      </c>
      <c r="B434" s="38" t="s">
        <v>1025</v>
      </c>
      <c r="C434" s="25" t="s">
        <v>767</v>
      </c>
      <c r="D434" s="25" t="s">
        <v>406</v>
      </c>
      <c r="E434" s="24" t="s">
        <v>290</v>
      </c>
      <c r="F434" s="11" t="s">
        <v>1179</v>
      </c>
      <c r="G434" s="11"/>
      <c r="H434" s="53">
        <f>H435</f>
        <v>370000</v>
      </c>
      <c r="I434" s="152"/>
    </row>
    <row r="435" spans="1:9" s="147" customFormat="1" x14ac:dyDescent="0.25">
      <c r="A435" s="188">
        <v>9081020101003</v>
      </c>
      <c r="B435" s="38" t="s">
        <v>256</v>
      </c>
      <c r="C435" s="25" t="s">
        <v>767</v>
      </c>
      <c r="D435" s="25" t="s">
        <v>406</v>
      </c>
      <c r="E435" s="24" t="s">
        <v>290</v>
      </c>
      <c r="F435" s="11" t="s">
        <v>1179</v>
      </c>
      <c r="G435" s="80" t="s">
        <v>539</v>
      </c>
      <c r="H435" s="53">
        <v>370000</v>
      </c>
      <c r="I435" s="152"/>
    </row>
    <row r="436" spans="1:9" s="28" customFormat="1" ht="31.5" x14ac:dyDescent="0.25">
      <c r="A436" s="29">
        <v>910</v>
      </c>
      <c r="B436" s="26" t="s">
        <v>877</v>
      </c>
      <c r="C436" s="12" t="s">
        <v>767</v>
      </c>
      <c r="D436" s="12" t="s">
        <v>406</v>
      </c>
      <c r="E436" s="12">
        <v>10</v>
      </c>
      <c r="F436" s="12"/>
      <c r="G436" s="12"/>
      <c r="H436" s="53">
        <f>H437+H441</f>
        <v>45000</v>
      </c>
    </row>
    <row r="437" spans="1:9" s="28" customFormat="1" ht="31.5" x14ac:dyDescent="0.25">
      <c r="A437" s="27">
        <v>910102</v>
      </c>
      <c r="B437" s="26" t="s">
        <v>106</v>
      </c>
      <c r="C437" s="12" t="s">
        <v>767</v>
      </c>
      <c r="D437" s="12" t="s">
        <v>406</v>
      </c>
      <c r="E437" s="12">
        <v>10</v>
      </c>
      <c r="F437" s="10" t="s">
        <v>234</v>
      </c>
      <c r="G437" s="10"/>
      <c r="H437" s="53">
        <f>H438</f>
        <v>45000</v>
      </c>
    </row>
    <row r="438" spans="1:9" s="28" customFormat="1" ht="63" x14ac:dyDescent="0.25">
      <c r="A438" s="27">
        <v>91010201</v>
      </c>
      <c r="B438" s="26" t="s">
        <v>942</v>
      </c>
      <c r="C438" s="12" t="s">
        <v>767</v>
      </c>
      <c r="D438" s="12" t="s">
        <v>406</v>
      </c>
      <c r="E438" s="12">
        <v>10</v>
      </c>
      <c r="F438" s="10" t="s">
        <v>1178</v>
      </c>
      <c r="G438" s="10"/>
      <c r="H438" s="53">
        <f>H439</f>
        <v>45000</v>
      </c>
      <c r="I438" s="43"/>
    </row>
    <row r="439" spans="1:9" s="28" customFormat="1" ht="47.25" x14ac:dyDescent="0.25">
      <c r="A439" s="27">
        <v>9101020101</v>
      </c>
      <c r="B439" s="26" t="s">
        <v>1025</v>
      </c>
      <c r="C439" s="12" t="s">
        <v>767</v>
      </c>
      <c r="D439" s="12" t="s">
        <v>406</v>
      </c>
      <c r="E439" s="12">
        <v>10</v>
      </c>
      <c r="F439" s="10" t="s">
        <v>1179</v>
      </c>
      <c r="G439" s="10"/>
      <c r="H439" s="53">
        <f>H440</f>
        <v>45000</v>
      </c>
      <c r="I439" s="43"/>
    </row>
    <row r="440" spans="1:9" s="28" customFormat="1" x14ac:dyDescent="0.25">
      <c r="A440" s="27">
        <v>9101020101003</v>
      </c>
      <c r="B440" s="26" t="s">
        <v>256</v>
      </c>
      <c r="C440" s="12" t="s">
        <v>767</v>
      </c>
      <c r="D440" s="12" t="s">
        <v>406</v>
      </c>
      <c r="E440" s="12">
        <v>10</v>
      </c>
      <c r="F440" s="10" t="s">
        <v>1179</v>
      </c>
      <c r="G440" s="80" t="s">
        <v>539</v>
      </c>
      <c r="H440" s="53">
        <v>45000</v>
      </c>
      <c r="I440" s="43"/>
    </row>
    <row r="441" spans="1:9" s="28" customFormat="1" ht="31.5" hidden="1" x14ac:dyDescent="0.25">
      <c r="A441" s="29">
        <v>910485</v>
      </c>
      <c r="B441" s="26" t="s">
        <v>732</v>
      </c>
      <c r="C441" s="12" t="s">
        <v>767</v>
      </c>
      <c r="D441" s="12" t="s">
        <v>406</v>
      </c>
      <c r="E441" s="12">
        <v>10</v>
      </c>
      <c r="F441" s="10" t="s">
        <v>1213</v>
      </c>
      <c r="G441" s="10"/>
      <c r="H441" s="53">
        <f>H442</f>
        <v>0</v>
      </c>
    </row>
    <row r="442" spans="1:9" s="28" customFormat="1" ht="31.5" hidden="1" x14ac:dyDescent="0.25">
      <c r="A442" s="29">
        <v>91048597</v>
      </c>
      <c r="B442" s="26" t="s">
        <v>1718</v>
      </c>
      <c r="C442" s="12" t="s">
        <v>767</v>
      </c>
      <c r="D442" s="12" t="s">
        <v>406</v>
      </c>
      <c r="E442" s="12">
        <v>10</v>
      </c>
      <c r="F442" s="10" t="s">
        <v>1360</v>
      </c>
      <c r="G442" s="10"/>
      <c r="H442" s="53">
        <f>H443</f>
        <v>0</v>
      </c>
    </row>
    <row r="443" spans="1:9" s="28" customFormat="1" hidden="1" x14ac:dyDescent="0.25">
      <c r="A443" s="29">
        <v>91048597006</v>
      </c>
      <c r="B443" s="26" t="s">
        <v>84</v>
      </c>
      <c r="C443" s="12" t="s">
        <v>767</v>
      </c>
      <c r="D443" s="12" t="s">
        <v>406</v>
      </c>
      <c r="E443" s="12">
        <v>10</v>
      </c>
      <c r="F443" s="10" t="s">
        <v>1360</v>
      </c>
      <c r="G443" s="12" t="s">
        <v>165</v>
      </c>
      <c r="H443" s="230">
        <f>58095-58095</f>
        <v>0</v>
      </c>
    </row>
    <row r="444" spans="1:9" s="28" customFormat="1" hidden="1" x14ac:dyDescent="0.25">
      <c r="A444" s="27">
        <v>10</v>
      </c>
      <c r="B444" s="35" t="s">
        <v>1745</v>
      </c>
      <c r="C444" s="12" t="s">
        <v>767</v>
      </c>
      <c r="D444" s="12" t="s">
        <v>768</v>
      </c>
      <c r="E444" s="12"/>
      <c r="F444" s="10"/>
      <c r="G444" s="12"/>
      <c r="H444" s="53">
        <f>H445+H446+H449</f>
        <v>0</v>
      </c>
    </row>
    <row r="445" spans="1:9" s="28" customFormat="1" hidden="1" x14ac:dyDescent="0.25">
      <c r="A445" s="27">
        <v>1003</v>
      </c>
      <c r="B445" s="26" t="s">
        <v>1322</v>
      </c>
      <c r="C445" s="12" t="s">
        <v>767</v>
      </c>
      <c r="D445" s="12">
        <v>10</v>
      </c>
      <c r="E445" s="12" t="s">
        <v>193</v>
      </c>
      <c r="F445" s="10"/>
      <c r="G445" s="12"/>
      <c r="H445" s="53"/>
      <c r="I445" s="43"/>
    </row>
    <row r="446" spans="1:9" s="28" customFormat="1" hidden="1" x14ac:dyDescent="0.25">
      <c r="A446" s="27">
        <v>1004</v>
      </c>
      <c r="B446" s="26" t="s">
        <v>961</v>
      </c>
      <c r="C446" s="12" t="s">
        <v>767</v>
      </c>
      <c r="D446" s="12" t="s">
        <v>768</v>
      </c>
      <c r="E446" s="12" t="s">
        <v>1181</v>
      </c>
      <c r="F446" s="10"/>
      <c r="G446" s="12"/>
      <c r="H446" s="53">
        <f>H447</f>
        <v>0</v>
      </c>
    </row>
    <row r="447" spans="1:9" s="28" customFormat="1" hidden="1" x14ac:dyDescent="0.25">
      <c r="A447" s="27">
        <v>1004102</v>
      </c>
      <c r="B447" s="26" t="s">
        <v>622</v>
      </c>
      <c r="C447" s="12" t="s">
        <v>767</v>
      </c>
      <c r="D447" s="12" t="s">
        <v>768</v>
      </c>
      <c r="E447" s="12" t="s">
        <v>1181</v>
      </c>
      <c r="F447" s="10" t="s">
        <v>234</v>
      </c>
      <c r="G447" s="12"/>
      <c r="H447" s="53">
        <f>H448</f>
        <v>0</v>
      </c>
    </row>
    <row r="448" spans="1:9" s="28" customFormat="1" hidden="1" x14ac:dyDescent="0.25">
      <c r="A448" s="27">
        <v>1004102214</v>
      </c>
      <c r="B448" s="26" t="s">
        <v>698</v>
      </c>
      <c r="C448" s="12" t="s">
        <v>767</v>
      </c>
      <c r="D448" s="12" t="s">
        <v>768</v>
      </c>
      <c r="E448" s="12" t="s">
        <v>1181</v>
      </c>
      <c r="F448" s="10" t="s">
        <v>234</v>
      </c>
      <c r="G448" s="12">
        <v>214</v>
      </c>
      <c r="H448" s="53"/>
    </row>
    <row r="449" spans="1:8" s="28" customFormat="1" hidden="1" x14ac:dyDescent="0.25">
      <c r="A449" s="27">
        <v>1006</v>
      </c>
      <c r="B449" s="26" t="s">
        <v>1595</v>
      </c>
      <c r="C449" s="12" t="s">
        <v>767</v>
      </c>
      <c r="D449" s="12" t="s">
        <v>768</v>
      </c>
      <c r="E449" s="12" t="s">
        <v>1746</v>
      </c>
      <c r="F449" s="10"/>
      <c r="G449" s="12"/>
      <c r="H449" s="53">
        <f>H450</f>
        <v>0</v>
      </c>
    </row>
    <row r="450" spans="1:8" s="28" customFormat="1" hidden="1" x14ac:dyDescent="0.25">
      <c r="A450" s="27">
        <v>1006102</v>
      </c>
      <c r="B450" s="26" t="s">
        <v>622</v>
      </c>
      <c r="C450" s="12" t="s">
        <v>767</v>
      </c>
      <c r="D450" s="12" t="s">
        <v>768</v>
      </c>
      <c r="E450" s="12" t="s">
        <v>1746</v>
      </c>
      <c r="F450" s="10" t="s">
        <v>234</v>
      </c>
      <c r="G450" s="12"/>
      <c r="H450" s="53">
        <f>H451</f>
        <v>0</v>
      </c>
    </row>
    <row r="451" spans="1:8" s="28" customFormat="1" hidden="1" x14ac:dyDescent="0.25">
      <c r="A451" s="27">
        <v>1006102214</v>
      </c>
      <c r="B451" s="26" t="s">
        <v>698</v>
      </c>
      <c r="C451" s="12" t="s">
        <v>767</v>
      </c>
      <c r="D451" s="12" t="s">
        <v>768</v>
      </c>
      <c r="E451" s="12" t="s">
        <v>1746</v>
      </c>
      <c r="F451" s="10" t="s">
        <v>234</v>
      </c>
      <c r="G451" s="12">
        <v>214</v>
      </c>
      <c r="H451" s="53"/>
    </row>
    <row r="452" spans="1:8" s="28" customFormat="1" x14ac:dyDescent="0.25">
      <c r="A452" s="27">
        <v>11</v>
      </c>
      <c r="B452" s="26" t="s">
        <v>219</v>
      </c>
      <c r="C452" s="12" t="s">
        <v>767</v>
      </c>
      <c r="D452" s="12">
        <v>11</v>
      </c>
      <c r="E452" s="12"/>
      <c r="F452" s="10"/>
      <c r="G452" s="12"/>
      <c r="H452" s="53">
        <f>H453+H461</f>
        <v>4534581</v>
      </c>
    </row>
    <row r="453" spans="1:8" s="28" customFormat="1" ht="31.5" x14ac:dyDescent="0.25">
      <c r="A453" s="27">
        <v>1102</v>
      </c>
      <c r="B453" s="26" t="s">
        <v>463</v>
      </c>
      <c r="C453" s="12" t="s">
        <v>767</v>
      </c>
      <c r="D453" s="12">
        <v>11</v>
      </c>
      <c r="E453" s="12" t="s">
        <v>567</v>
      </c>
      <c r="F453" s="10"/>
      <c r="G453" s="12"/>
      <c r="H453" s="53">
        <f>H454+H458</f>
        <v>4375200</v>
      </c>
    </row>
    <row r="454" spans="1:8" s="28" customFormat="1" ht="31.5" x14ac:dyDescent="0.25">
      <c r="A454" s="27">
        <v>1102102</v>
      </c>
      <c r="B454" s="26" t="s">
        <v>106</v>
      </c>
      <c r="C454" s="12" t="s">
        <v>767</v>
      </c>
      <c r="D454" s="12">
        <v>11</v>
      </c>
      <c r="E454" s="12" t="s">
        <v>567</v>
      </c>
      <c r="F454" s="10" t="s">
        <v>234</v>
      </c>
      <c r="G454" s="12"/>
      <c r="H454" s="53">
        <f>H455</f>
        <v>4000000</v>
      </c>
    </row>
    <row r="455" spans="1:8" s="28" customFormat="1" ht="63" x14ac:dyDescent="0.25">
      <c r="A455" s="27">
        <v>110210201</v>
      </c>
      <c r="B455" s="26" t="s">
        <v>942</v>
      </c>
      <c r="C455" s="12" t="s">
        <v>767</v>
      </c>
      <c r="D455" s="12">
        <v>11</v>
      </c>
      <c r="E455" s="12" t="s">
        <v>567</v>
      </c>
      <c r="F455" s="10" t="s">
        <v>1178</v>
      </c>
      <c r="G455" s="12"/>
      <c r="H455" s="53">
        <f>H456</f>
        <v>4000000</v>
      </c>
    </row>
    <row r="456" spans="1:8" s="28" customFormat="1" ht="31.5" x14ac:dyDescent="0.25">
      <c r="A456" s="27">
        <v>11021020102</v>
      </c>
      <c r="B456" s="26" t="s">
        <v>813</v>
      </c>
      <c r="C456" s="12" t="s">
        <v>767</v>
      </c>
      <c r="D456" s="12">
        <v>11</v>
      </c>
      <c r="E456" s="12" t="s">
        <v>567</v>
      </c>
      <c r="F456" s="10" t="s">
        <v>740</v>
      </c>
      <c r="G456" s="12"/>
      <c r="H456" s="53">
        <f>H457</f>
        <v>4000000</v>
      </c>
    </row>
    <row r="457" spans="1:8" s="28" customFormat="1" ht="50.25" customHeight="1" x14ac:dyDescent="0.25">
      <c r="A457" s="27">
        <v>11021020102903</v>
      </c>
      <c r="B457" s="26" t="s">
        <v>812</v>
      </c>
      <c r="C457" s="12" t="s">
        <v>767</v>
      </c>
      <c r="D457" s="12">
        <v>11</v>
      </c>
      <c r="E457" s="12" t="s">
        <v>567</v>
      </c>
      <c r="F457" s="10" t="s">
        <v>740</v>
      </c>
      <c r="G457" s="12">
        <v>903</v>
      </c>
      <c r="H457" s="53">
        <v>4000000</v>
      </c>
    </row>
    <row r="458" spans="1:8" s="28" customFormat="1" ht="31.5" x14ac:dyDescent="0.25">
      <c r="A458" s="27">
        <v>1102104</v>
      </c>
      <c r="B458" s="26" t="s">
        <v>636</v>
      </c>
      <c r="C458" s="12" t="s">
        <v>767</v>
      </c>
      <c r="D458" s="12">
        <v>11</v>
      </c>
      <c r="E458" s="12" t="s">
        <v>567</v>
      </c>
      <c r="F458" s="10" t="s">
        <v>207</v>
      </c>
      <c r="G458" s="10"/>
      <c r="H458" s="53">
        <f>H459</f>
        <v>375200</v>
      </c>
    </row>
    <row r="459" spans="1:8" s="28" customFormat="1" ht="31.5" x14ac:dyDescent="0.25">
      <c r="A459" s="27">
        <v>110210403</v>
      </c>
      <c r="B459" s="26" t="s">
        <v>832</v>
      </c>
      <c r="C459" s="12" t="s">
        <v>767</v>
      </c>
      <c r="D459" s="12">
        <v>11</v>
      </c>
      <c r="E459" s="12" t="s">
        <v>567</v>
      </c>
      <c r="F459" s="10" t="s">
        <v>126</v>
      </c>
      <c r="G459" s="10"/>
      <c r="H459" s="53">
        <f>H460</f>
        <v>375200</v>
      </c>
    </row>
    <row r="460" spans="1:8" s="28" customFormat="1" x14ac:dyDescent="0.25">
      <c r="A460" s="27">
        <v>110210403003</v>
      </c>
      <c r="B460" s="26" t="s">
        <v>256</v>
      </c>
      <c r="C460" s="12" t="s">
        <v>767</v>
      </c>
      <c r="D460" s="12">
        <v>11</v>
      </c>
      <c r="E460" s="12" t="s">
        <v>567</v>
      </c>
      <c r="F460" s="10" t="s">
        <v>126</v>
      </c>
      <c r="G460" s="12" t="s">
        <v>539</v>
      </c>
      <c r="H460" s="53">
        <v>375200</v>
      </c>
    </row>
    <row r="461" spans="1:8" s="28" customFormat="1" ht="31.5" x14ac:dyDescent="0.25">
      <c r="A461" s="27">
        <v>1103</v>
      </c>
      <c r="B461" s="26" t="s">
        <v>277</v>
      </c>
      <c r="C461" s="12" t="s">
        <v>767</v>
      </c>
      <c r="D461" s="12">
        <v>11</v>
      </c>
      <c r="E461" s="12" t="s">
        <v>193</v>
      </c>
      <c r="F461" s="10"/>
      <c r="G461" s="12"/>
      <c r="H461" s="53">
        <f>H462</f>
        <v>159381</v>
      </c>
    </row>
    <row r="462" spans="1:8" s="28" customFormat="1" x14ac:dyDescent="0.25">
      <c r="A462" s="27">
        <v>1103521</v>
      </c>
      <c r="B462" s="196" t="s">
        <v>219</v>
      </c>
      <c r="C462" s="12" t="s">
        <v>767</v>
      </c>
      <c r="D462" s="6">
        <v>11</v>
      </c>
      <c r="E462" s="6" t="s">
        <v>193</v>
      </c>
      <c r="F462" s="19" t="s">
        <v>1734</v>
      </c>
      <c r="G462" s="197"/>
      <c r="H462" s="53">
        <f>H463+H466</f>
        <v>159381</v>
      </c>
    </row>
    <row r="463" spans="1:8" s="28" customFormat="1" ht="47.25" x14ac:dyDescent="0.25">
      <c r="A463" s="27">
        <v>110352102</v>
      </c>
      <c r="B463" s="196" t="s">
        <v>88</v>
      </c>
      <c r="C463" s="12" t="s">
        <v>767</v>
      </c>
      <c r="D463" s="6">
        <v>11</v>
      </c>
      <c r="E463" s="6" t="s">
        <v>193</v>
      </c>
      <c r="F463" s="19" t="s">
        <v>1080</v>
      </c>
      <c r="G463" s="197"/>
      <c r="H463" s="53">
        <f>H464</f>
        <v>159381</v>
      </c>
    </row>
    <row r="464" spans="1:8" s="28" customFormat="1" ht="96" customHeight="1" x14ac:dyDescent="0.25">
      <c r="A464" s="27">
        <v>11035210203</v>
      </c>
      <c r="B464" s="196" t="s">
        <v>647</v>
      </c>
      <c r="C464" s="12" t="s">
        <v>767</v>
      </c>
      <c r="D464" s="6">
        <v>11</v>
      </c>
      <c r="E464" s="6" t="s">
        <v>193</v>
      </c>
      <c r="F464" s="19" t="s">
        <v>128</v>
      </c>
      <c r="G464" s="197"/>
      <c r="H464" s="53">
        <f>H465</f>
        <v>159381</v>
      </c>
    </row>
    <row r="465" spans="1:8" s="28" customFormat="1" x14ac:dyDescent="0.25">
      <c r="A465" s="27">
        <v>11035210203009</v>
      </c>
      <c r="B465" s="196" t="s">
        <v>1565</v>
      </c>
      <c r="C465" s="12" t="s">
        <v>767</v>
      </c>
      <c r="D465" s="6">
        <v>11</v>
      </c>
      <c r="E465" s="6" t="s">
        <v>193</v>
      </c>
      <c r="F465" s="19" t="s">
        <v>128</v>
      </c>
      <c r="G465" s="197" t="s">
        <v>569</v>
      </c>
      <c r="H465" s="53">
        <v>159381</v>
      </c>
    </row>
    <row r="466" spans="1:8" s="28" customFormat="1" x14ac:dyDescent="0.25">
      <c r="A466" s="29"/>
      <c r="B466" s="37"/>
      <c r="C466" s="12"/>
      <c r="D466" s="12"/>
      <c r="E466" s="12"/>
      <c r="F466" s="10"/>
      <c r="G466" s="12"/>
      <c r="H466" s="53"/>
    </row>
    <row r="467" spans="1:8" s="3" customFormat="1" x14ac:dyDescent="0.25">
      <c r="A467" s="40">
        <v>0</v>
      </c>
      <c r="B467" s="41" t="s">
        <v>769</v>
      </c>
      <c r="C467" s="42" t="s">
        <v>404</v>
      </c>
      <c r="D467" s="31"/>
      <c r="E467" s="31"/>
      <c r="F467" s="31"/>
      <c r="G467" s="31"/>
      <c r="H467" s="187">
        <f>H468+H495+H500+H505+H514+H532</f>
        <v>66650100</v>
      </c>
    </row>
    <row r="468" spans="1:8" s="128" customFormat="1" x14ac:dyDescent="0.25">
      <c r="A468" s="29">
        <v>1</v>
      </c>
      <c r="B468" s="35" t="s">
        <v>482</v>
      </c>
      <c r="C468" s="12" t="s">
        <v>404</v>
      </c>
      <c r="D468" s="12" t="s">
        <v>566</v>
      </c>
      <c r="E468" s="12"/>
      <c r="F468" s="42"/>
      <c r="G468" s="12"/>
      <c r="H468" s="53">
        <f>H469+H475+H479+H483</f>
        <v>12363707</v>
      </c>
    </row>
    <row r="469" spans="1:8" s="28" customFormat="1" ht="37.5" customHeight="1" x14ac:dyDescent="0.25">
      <c r="A469" s="29">
        <v>106</v>
      </c>
      <c r="B469" s="26" t="s">
        <v>1042</v>
      </c>
      <c r="C469" s="12" t="s">
        <v>404</v>
      </c>
      <c r="D469" s="12" t="s">
        <v>566</v>
      </c>
      <c r="E469" s="12" t="s">
        <v>1746</v>
      </c>
      <c r="F469" s="10"/>
      <c r="G469" s="10"/>
      <c r="H469" s="53">
        <f>H470</f>
        <v>2203799</v>
      </c>
    </row>
    <row r="470" spans="1:8" s="28" customFormat="1" ht="47.25" x14ac:dyDescent="0.25">
      <c r="A470" s="27">
        <v>106002</v>
      </c>
      <c r="B470" s="26" t="s">
        <v>1657</v>
      </c>
      <c r="C470" s="12" t="s">
        <v>404</v>
      </c>
      <c r="D470" s="12" t="s">
        <v>566</v>
      </c>
      <c r="E470" s="12" t="s">
        <v>1746</v>
      </c>
      <c r="F470" s="12" t="s">
        <v>200</v>
      </c>
      <c r="G470" s="12"/>
      <c r="H470" s="53">
        <f>H471</f>
        <v>2203799</v>
      </c>
    </row>
    <row r="471" spans="1:8" s="28" customFormat="1" x14ac:dyDescent="0.25">
      <c r="A471" s="27">
        <v>10600204</v>
      </c>
      <c r="B471" s="26" t="s">
        <v>638</v>
      </c>
      <c r="C471" s="12" t="s">
        <v>404</v>
      </c>
      <c r="D471" s="12" t="s">
        <v>566</v>
      </c>
      <c r="E471" s="12" t="s">
        <v>1746</v>
      </c>
      <c r="F471" s="12" t="s">
        <v>797</v>
      </c>
      <c r="G471" s="12"/>
      <c r="H471" s="53">
        <f>SUM(H472:H474)</f>
        <v>2203799</v>
      </c>
    </row>
    <row r="472" spans="1:8" s="131" customFormat="1" x14ac:dyDescent="0.25">
      <c r="A472" s="27">
        <v>10600204012</v>
      </c>
      <c r="B472" s="38" t="s">
        <v>1012</v>
      </c>
      <c r="C472" s="12" t="s">
        <v>404</v>
      </c>
      <c r="D472" s="12" t="s">
        <v>566</v>
      </c>
      <c r="E472" s="12" t="s">
        <v>1746</v>
      </c>
      <c r="F472" s="25" t="s">
        <v>797</v>
      </c>
      <c r="G472" s="25" t="s">
        <v>1224</v>
      </c>
      <c r="H472" s="185">
        <f>2054749+141000</f>
        <v>2195749</v>
      </c>
    </row>
    <row r="473" spans="1:8" s="28" customFormat="1" x14ac:dyDescent="0.25">
      <c r="A473" s="27">
        <v>10600204013</v>
      </c>
      <c r="B473" s="26" t="s">
        <v>1335</v>
      </c>
      <c r="C473" s="12" t="s">
        <v>404</v>
      </c>
      <c r="D473" s="12" t="s">
        <v>566</v>
      </c>
      <c r="E473" s="12" t="s">
        <v>1746</v>
      </c>
      <c r="F473" s="25" t="s">
        <v>797</v>
      </c>
      <c r="G473" s="12" t="s">
        <v>972</v>
      </c>
      <c r="H473" s="53">
        <v>3000</v>
      </c>
    </row>
    <row r="474" spans="1:8" s="28" customFormat="1" ht="63" x14ac:dyDescent="0.25">
      <c r="A474" s="27">
        <v>10600204902</v>
      </c>
      <c r="B474" s="26" t="s">
        <v>1100</v>
      </c>
      <c r="C474" s="12" t="s">
        <v>404</v>
      </c>
      <c r="D474" s="12" t="s">
        <v>566</v>
      </c>
      <c r="E474" s="12" t="s">
        <v>1746</v>
      </c>
      <c r="F474" s="12" t="s">
        <v>797</v>
      </c>
      <c r="G474" s="12">
        <v>902</v>
      </c>
      <c r="H474" s="53">
        <v>5050</v>
      </c>
    </row>
    <row r="475" spans="1:8" s="28" customFormat="1" x14ac:dyDescent="0.25">
      <c r="A475" s="29">
        <v>111</v>
      </c>
      <c r="B475" s="26" t="s">
        <v>1748</v>
      </c>
      <c r="C475" s="12" t="s">
        <v>404</v>
      </c>
      <c r="D475" s="12" t="s">
        <v>566</v>
      </c>
      <c r="E475" s="12">
        <v>11</v>
      </c>
      <c r="F475" s="42"/>
      <c r="G475" s="12"/>
      <c r="H475" s="53">
        <f>H476</f>
        <v>8537000</v>
      </c>
    </row>
    <row r="476" spans="1:8" s="28" customFormat="1" x14ac:dyDescent="0.25">
      <c r="A476" s="27">
        <v>111065</v>
      </c>
      <c r="B476" s="26" t="s">
        <v>765</v>
      </c>
      <c r="C476" s="12" t="s">
        <v>404</v>
      </c>
      <c r="D476" s="12" t="s">
        <v>566</v>
      </c>
      <c r="E476" s="12">
        <v>11</v>
      </c>
      <c r="F476" s="12" t="s">
        <v>1191</v>
      </c>
      <c r="G476" s="12"/>
      <c r="H476" s="53">
        <f>H477</f>
        <v>8537000</v>
      </c>
    </row>
    <row r="477" spans="1:8" s="28" customFormat="1" ht="31.5" x14ac:dyDescent="0.25">
      <c r="A477" s="27">
        <v>11106502</v>
      </c>
      <c r="B477" s="26" t="s">
        <v>847</v>
      </c>
      <c r="C477" s="12" t="s">
        <v>404</v>
      </c>
      <c r="D477" s="12" t="s">
        <v>566</v>
      </c>
      <c r="E477" s="12">
        <v>11</v>
      </c>
      <c r="F477" s="12" t="s">
        <v>1035</v>
      </c>
      <c r="G477" s="12"/>
      <c r="H477" s="53">
        <f>H478</f>
        <v>8537000</v>
      </c>
    </row>
    <row r="478" spans="1:8" s="28" customFormat="1" x14ac:dyDescent="0.25">
      <c r="A478" s="27">
        <v>11106502013</v>
      </c>
      <c r="B478" s="26" t="s">
        <v>1335</v>
      </c>
      <c r="C478" s="12" t="s">
        <v>404</v>
      </c>
      <c r="D478" s="12" t="s">
        <v>566</v>
      </c>
      <c r="E478" s="12">
        <v>11</v>
      </c>
      <c r="F478" s="12" t="s">
        <v>1035</v>
      </c>
      <c r="G478" s="12" t="s">
        <v>972</v>
      </c>
      <c r="H478" s="53">
        <v>8537000</v>
      </c>
    </row>
    <row r="479" spans="1:8" s="28" customFormat="1" x14ac:dyDescent="0.25">
      <c r="A479" s="29">
        <v>112</v>
      </c>
      <c r="B479" s="26" t="s">
        <v>39</v>
      </c>
      <c r="C479" s="12" t="s">
        <v>404</v>
      </c>
      <c r="D479" s="12" t="s">
        <v>566</v>
      </c>
      <c r="E479" s="12">
        <v>12</v>
      </c>
      <c r="F479" s="12"/>
      <c r="G479" s="12"/>
      <c r="H479" s="53">
        <f>H480</f>
        <v>1555107</v>
      </c>
    </row>
    <row r="480" spans="1:8" s="28" customFormat="1" x14ac:dyDescent="0.25">
      <c r="A480" s="29">
        <v>112070</v>
      </c>
      <c r="B480" s="26" t="s">
        <v>39</v>
      </c>
      <c r="C480" s="12" t="s">
        <v>404</v>
      </c>
      <c r="D480" s="12" t="s">
        <v>566</v>
      </c>
      <c r="E480" s="12">
        <v>12</v>
      </c>
      <c r="F480" s="12" t="s">
        <v>957</v>
      </c>
      <c r="G480" s="12"/>
      <c r="H480" s="53">
        <f>H481</f>
        <v>1555107</v>
      </c>
    </row>
    <row r="481" spans="1:8" s="28" customFormat="1" ht="31.5" x14ac:dyDescent="0.25">
      <c r="A481" s="29">
        <v>11207004</v>
      </c>
      <c r="B481" s="26" t="s">
        <v>1397</v>
      </c>
      <c r="C481" s="12" t="s">
        <v>404</v>
      </c>
      <c r="D481" s="12" t="s">
        <v>566</v>
      </c>
      <c r="E481" s="12">
        <v>12</v>
      </c>
      <c r="F481" s="12" t="s">
        <v>1398</v>
      </c>
      <c r="G481" s="12"/>
      <c r="H481" s="53">
        <f>H482</f>
        <v>1555107</v>
      </c>
    </row>
    <row r="482" spans="1:8" s="28" customFormat="1" x14ac:dyDescent="0.25">
      <c r="A482" s="29">
        <v>11207004013</v>
      </c>
      <c r="B482" s="26" t="s">
        <v>1335</v>
      </c>
      <c r="C482" s="12" t="s">
        <v>404</v>
      </c>
      <c r="D482" s="12" t="s">
        <v>566</v>
      </c>
      <c r="E482" s="12">
        <v>12</v>
      </c>
      <c r="F482" s="12" t="s">
        <v>1398</v>
      </c>
      <c r="G482" s="12" t="s">
        <v>972</v>
      </c>
      <c r="H482" s="53">
        <f>1500000+55107</f>
        <v>1555107</v>
      </c>
    </row>
    <row r="483" spans="1:8" s="28" customFormat="1" x14ac:dyDescent="0.25">
      <c r="A483" s="29">
        <v>114</v>
      </c>
      <c r="B483" s="26" t="s">
        <v>287</v>
      </c>
      <c r="C483" s="12" t="s">
        <v>404</v>
      </c>
      <c r="D483" s="12" t="s">
        <v>566</v>
      </c>
      <c r="E483" s="12">
        <v>14</v>
      </c>
      <c r="F483" s="12"/>
      <c r="G483" s="12"/>
      <c r="H483" s="53">
        <f>H484+H487+H490+H493</f>
        <v>67801</v>
      </c>
    </row>
    <row r="484" spans="1:8" s="28" customFormat="1" x14ac:dyDescent="0.25">
      <c r="A484" s="27">
        <v>114001</v>
      </c>
      <c r="B484" s="26" t="s">
        <v>637</v>
      </c>
      <c r="C484" s="12" t="s">
        <v>404</v>
      </c>
      <c r="D484" s="12" t="s">
        <v>566</v>
      </c>
      <c r="E484" s="12">
        <v>14</v>
      </c>
      <c r="F484" s="10" t="s">
        <v>1096</v>
      </c>
      <c r="G484" s="12"/>
      <c r="H484" s="53">
        <f>H485</f>
        <v>801</v>
      </c>
    </row>
    <row r="485" spans="1:8" s="147" customFormat="1" ht="31.5" x14ac:dyDescent="0.25">
      <c r="A485" s="188">
        <v>11400164</v>
      </c>
      <c r="B485" s="38" t="s">
        <v>872</v>
      </c>
      <c r="C485" s="12" t="s">
        <v>404</v>
      </c>
      <c r="D485" s="25" t="s">
        <v>566</v>
      </c>
      <c r="E485" s="25">
        <v>14</v>
      </c>
      <c r="F485" s="25" t="s">
        <v>997</v>
      </c>
      <c r="G485" s="189"/>
      <c r="H485" s="53">
        <f>H486</f>
        <v>801</v>
      </c>
    </row>
    <row r="486" spans="1:8" s="147" customFormat="1" x14ac:dyDescent="0.25">
      <c r="A486" s="188">
        <v>11400164013</v>
      </c>
      <c r="B486" s="38" t="s">
        <v>1335</v>
      </c>
      <c r="C486" s="12" t="s">
        <v>404</v>
      </c>
      <c r="D486" s="25" t="s">
        <v>566</v>
      </c>
      <c r="E486" s="25">
        <v>14</v>
      </c>
      <c r="F486" s="25" t="s">
        <v>997</v>
      </c>
      <c r="G486" s="25" t="s">
        <v>972</v>
      </c>
      <c r="H486" s="53">
        <v>801</v>
      </c>
    </row>
    <row r="487" spans="1:8" s="28" customFormat="1" ht="31.5" customHeight="1" x14ac:dyDescent="0.25">
      <c r="A487" s="27">
        <v>114090</v>
      </c>
      <c r="B487" s="26" t="s">
        <v>1697</v>
      </c>
      <c r="C487" s="12" t="s">
        <v>404</v>
      </c>
      <c r="D487" s="6" t="s">
        <v>566</v>
      </c>
      <c r="E487" s="12">
        <v>14</v>
      </c>
      <c r="F487" s="12" t="s">
        <v>629</v>
      </c>
      <c r="G487" s="12"/>
      <c r="H487" s="53">
        <f>H488</f>
        <v>55000</v>
      </c>
    </row>
    <row r="488" spans="1:8" s="28" customFormat="1" ht="34.5" customHeight="1" x14ac:dyDescent="0.25">
      <c r="A488" s="27">
        <v>11409003</v>
      </c>
      <c r="B488" s="26" t="s">
        <v>1032</v>
      </c>
      <c r="C488" s="12" t="s">
        <v>404</v>
      </c>
      <c r="D488" s="6" t="s">
        <v>566</v>
      </c>
      <c r="E488" s="12">
        <v>14</v>
      </c>
      <c r="F488" s="12" t="s">
        <v>910</v>
      </c>
      <c r="G488" s="10"/>
      <c r="H488" s="53">
        <f>H489</f>
        <v>55000</v>
      </c>
    </row>
    <row r="489" spans="1:8" s="28" customFormat="1" x14ac:dyDescent="0.25">
      <c r="A489" s="27">
        <v>11409003012</v>
      </c>
      <c r="B489" s="38" t="s">
        <v>1012</v>
      </c>
      <c r="C489" s="12" t="s">
        <v>404</v>
      </c>
      <c r="D489" s="6" t="s">
        <v>566</v>
      </c>
      <c r="E489" s="12">
        <v>14</v>
      </c>
      <c r="F489" s="12" t="s">
        <v>910</v>
      </c>
      <c r="G489" s="12" t="s">
        <v>1224</v>
      </c>
      <c r="H489" s="53">
        <v>55000</v>
      </c>
    </row>
    <row r="490" spans="1:8" s="147" customFormat="1" ht="31.5" x14ac:dyDescent="0.25">
      <c r="A490" s="188">
        <v>114092</v>
      </c>
      <c r="B490" s="38" t="s">
        <v>1433</v>
      </c>
      <c r="C490" s="25" t="s">
        <v>404</v>
      </c>
      <c r="D490" s="24" t="s">
        <v>566</v>
      </c>
      <c r="E490" s="25">
        <v>14</v>
      </c>
      <c r="F490" s="11" t="s">
        <v>1704</v>
      </c>
      <c r="G490" s="25"/>
      <c r="H490" s="53">
        <f>H491</f>
        <v>2000</v>
      </c>
    </row>
    <row r="491" spans="1:8" s="147" customFormat="1" x14ac:dyDescent="0.25">
      <c r="A491" s="188">
        <v>11409203</v>
      </c>
      <c r="B491" s="38" t="s">
        <v>1406</v>
      </c>
      <c r="C491" s="25" t="s">
        <v>404</v>
      </c>
      <c r="D491" s="24" t="s">
        <v>566</v>
      </c>
      <c r="E491" s="25">
        <v>14</v>
      </c>
      <c r="F491" s="11" t="s">
        <v>888</v>
      </c>
      <c r="G491" s="25"/>
      <c r="H491" s="53">
        <f>H492</f>
        <v>2000</v>
      </c>
    </row>
    <row r="492" spans="1:8" s="147" customFormat="1" x14ac:dyDescent="0.25">
      <c r="A492" s="188">
        <v>11409203012</v>
      </c>
      <c r="B492" s="38" t="s">
        <v>1012</v>
      </c>
      <c r="C492" s="25" t="s">
        <v>404</v>
      </c>
      <c r="D492" s="24" t="s">
        <v>566</v>
      </c>
      <c r="E492" s="25">
        <v>14</v>
      </c>
      <c r="F492" s="11" t="s">
        <v>888</v>
      </c>
      <c r="G492" s="25" t="s">
        <v>1224</v>
      </c>
      <c r="H492" s="53">
        <v>2000</v>
      </c>
    </row>
    <row r="493" spans="1:8" s="28" customFormat="1" x14ac:dyDescent="0.25">
      <c r="A493" s="27">
        <v>114806</v>
      </c>
      <c r="B493" s="26" t="s">
        <v>1522</v>
      </c>
      <c r="C493" s="12" t="s">
        <v>404</v>
      </c>
      <c r="D493" s="12" t="s">
        <v>566</v>
      </c>
      <c r="E493" s="12">
        <v>14</v>
      </c>
      <c r="F493" s="10" t="s">
        <v>453</v>
      </c>
      <c r="G493" s="12"/>
      <c r="H493" s="53">
        <f>H494</f>
        <v>10000</v>
      </c>
    </row>
    <row r="494" spans="1:8" s="28" customFormat="1" x14ac:dyDescent="0.25">
      <c r="A494" s="27">
        <v>114806013</v>
      </c>
      <c r="B494" s="26" t="s">
        <v>1335</v>
      </c>
      <c r="C494" s="12" t="s">
        <v>404</v>
      </c>
      <c r="D494" s="12" t="s">
        <v>566</v>
      </c>
      <c r="E494" s="12">
        <v>14</v>
      </c>
      <c r="F494" s="19" t="s">
        <v>453</v>
      </c>
      <c r="G494" s="12" t="s">
        <v>972</v>
      </c>
      <c r="H494" s="53">
        <v>10000</v>
      </c>
    </row>
    <row r="495" spans="1:8" s="28" customFormat="1" x14ac:dyDescent="0.25">
      <c r="A495" s="27">
        <v>2</v>
      </c>
      <c r="B495" s="35" t="s">
        <v>271</v>
      </c>
      <c r="C495" s="12" t="s">
        <v>404</v>
      </c>
      <c r="D495" s="12" t="s">
        <v>567</v>
      </c>
      <c r="E495" s="31"/>
      <c r="F495" s="31"/>
      <c r="G495" s="31"/>
      <c r="H495" s="53">
        <f>H496</f>
        <v>60</v>
      </c>
    </row>
    <row r="496" spans="1:8" s="28" customFormat="1" x14ac:dyDescent="0.25">
      <c r="A496" s="27">
        <v>204</v>
      </c>
      <c r="B496" s="26" t="s">
        <v>1054</v>
      </c>
      <c r="C496" s="12" t="s">
        <v>404</v>
      </c>
      <c r="D496" s="12" t="s">
        <v>567</v>
      </c>
      <c r="E496" s="12" t="s">
        <v>1181</v>
      </c>
      <c r="F496" s="31"/>
      <c r="G496" s="31"/>
      <c r="H496" s="53">
        <f>H497</f>
        <v>60</v>
      </c>
    </row>
    <row r="497" spans="1:8" s="28" customFormat="1" ht="31.5" x14ac:dyDescent="0.25">
      <c r="A497" s="27">
        <v>204209</v>
      </c>
      <c r="B497" s="26" t="s">
        <v>141</v>
      </c>
      <c r="C497" s="12" t="s">
        <v>404</v>
      </c>
      <c r="D497" s="12" t="s">
        <v>567</v>
      </c>
      <c r="E497" s="12" t="s">
        <v>1181</v>
      </c>
      <c r="F497" s="10" t="s">
        <v>270</v>
      </c>
      <c r="G497" s="31"/>
      <c r="H497" s="53">
        <f>H498</f>
        <v>60</v>
      </c>
    </row>
    <row r="498" spans="1:8" s="28" customFormat="1" ht="31.5" x14ac:dyDescent="0.25">
      <c r="A498" s="27">
        <v>20420901</v>
      </c>
      <c r="B498" s="26" t="s">
        <v>1408</v>
      </c>
      <c r="C498" s="12" t="s">
        <v>404</v>
      </c>
      <c r="D498" s="12" t="s">
        <v>567</v>
      </c>
      <c r="E498" s="12" t="s">
        <v>1181</v>
      </c>
      <c r="F498" s="10" t="s">
        <v>956</v>
      </c>
      <c r="G498" s="31"/>
      <c r="H498" s="53">
        <f>H499</f>
        <v>60</v>
      </c>
    </row>
    <row r="499" spans="1:8" s="28" customFormat="1" x14ac:dyDescent="0.25">
      <c r="A499" s="27">
        <v>20420901012</v>
      </c>
      <c r="B499" s="65" t="s">
        <v>1012</v>
      </c>
      <c r="C499" s="12" t="s">
        <v>404</v>
      </c>
      <c r="D499" s="12" t="s">
        <v>567</v>
      </c>
      <c r="E499" s="12" t="s">
        <v>1181</v>
      </c>
      <c r="F499" s="10" t="s">
        <v>956</v>
      </c>
      <c r="G499" s="12" t="s">
        <v>1224</v>
      </c>
      <c r="H499" s="53">
        <v>60</v>
      </c>
    </row>
    <row r="500" spans="1:8" s="28" customFormat="1" ht="19.5" customHeight="1" x14ac:dyDescent="0.25">
      <c r="A500" s="27">
        <v>3</v>
      </c>
      <c r="B500" s="35" t="s">
        <v>1049</v>
      </c>
      <c r="C500" s="12" t="s">
        <v>404</v>
      </c>
      <c r="D500" s="12" t="s">
        <v>193</v>
      </c>
      <c r="E500" s="12"/>
      <c r="F500" s="10"/>
      <c r="G500" s="12"/>
      <c r="H500" s="53">
        <f>H501</f>
        <v>500</v>
      </c>
    </row>
    <row r="501" spans="1:8" s="28" customFormat="1" ht="47.25" x14ac:dyDescent="0.25">
      <c r="A501" s="27">
        <v>309</v>
      </c>
      <c r="B501" s="26" t="s">
        <v>133</v>
      </c>
      <c r="C501" s="12" t="s">
        <v>404</v>
      </c>
      <c r="D501" s="12" t="s">
        <v>193</v>
      </c>
      <c r="E501" s="12" t="s">
        <v>406</v>
      </c>
      <c r="F501" s="10"/>
      <c r="G501" s="12"/>
      <c r="H501" s="53">
        <f>H502</f>
        <v>500</v>
      </c>
    </row>
    <row r="502" spans="1:8" s="28" customFormat="1" x14ac:dyDescent="0.25">
      <c r="A502" s="27">
        <v>309219</v>
      </c>
      <c r="B502" s="26" t="s">
        <v>1098</v>
      </c>
      <c r="C502" s="12" t="s">
        <v>404</v>
      </c>
      <c r="D502" s="12" t="s">
        <v>193</v>
      </c>
      <c r="E502" s="12" t="s">
        <v>406</v>
      </c>
      <c r="F502" s="10" t="s">
        <v>620</v>
      </c>
      <c r="G502" s="12"/>
      <c r="H502" s="53">
        <f>H503</f>
        <v>500</v>
      </c>
    </row>
    <row r="503" spans="1:8" s="28" customFormat="1" ht="31.5" x14ac:dyDescent="0.25">
      <c r="A503" s="27">
        <v>30921901</v>
      </c>
      <c r="B503" s="26" t="s">
        <v>591</v>
      </c>
      <c r="C503" s="12" t="s">
        <v>404</v>
      </c>
      <c r="D503" s="12" t="s">
        <v>193</v>
      </c>
      <c r="E503" s="12" t="s">
        <v>406</v>
      </c>
      <c r="F503" s="10" t="s">
        <v>269</v>
      </c>
      <c r="G503" s="12"/>
      <c r="H503" s="53">
        <f>H504</f>
        <v>500</v>
      </c>
    </row>
    <row r="504" spans="1:8" s="28" customFormat="1" x14ac:dyDescent="0.25">
      <c r="A504" s="27">
        <v>30921901012</v>
      </c>
      <c r="B504" s="65" t="s">
        <v>1012</v>
      </c>
      <c r="C504" s="12" t="s">
        <v>404</v>
      </c>
      <c r="D504" s="12" t="s">
        <v>193</v>
      </c>
      <c r="E504" s="12" t="s">
        <v>406</v>
      </c>
      <c r="F504" s="10" t="s">
        <v>269</v>
      </c>
      <c r="G504" s="12" t="s">
        <v>1224</v>
      </c>
      <c r="H504" s="53">
        <v>500</v>
      </c>
    </row>
    <row r="505" spans="1:8" s="28" customFormat="1" x14ac:dyDescent="0.25">
      <c r="A505" s="29">
        <v>4</v>
      </c>
      <c r="B505" s="35" t="s">
        <v>993</v>
      </c>
      <c r="C505" s="12" t="s">
        <v>404</v>
      </c>
      <c r="D505" s="12" t="s">
        <v>1181</v>
      </c>
      <c r="E505" s="10"/>
      <c r="F505" s="10"/>
      <c r="G505" s="10"/>
      <c r="H505" s="53">
        <f>H506+H507+H511</f>
        <v>899084</v>
      </c>
    </row>
    <row r="506" spans="1:8" s="28" customFormat="1" hidden="1" x14ac:dyDescent="0.25">
      <c r="A506" s="29">
        <v>405</v>
      </c>
      <c r="B506" s="26" t="s">
        <v>289</v>
      </c>
      <c r="C506" s="12" t="s">
        <v>404</v>
      </c>
      <c r="D506" s="12" t="s">
        <v>1181</v>
      </c>
      <c r="E506" s="12" t="s">
        <v>175</v>
      </c>
      <c r="F506" s="10"/>
      <c r="G506" s="10"/>
      <c r="H506" s="53"/>
    </row>
    <row r="507" spans="1:8" s="28" customFormat="1" x14ac:dyDescent="0.25">
      <c r="A507" s="29">
        <v>410</v>
      </c>
      <c r="B507" s="26" t="s">
        <v>626</v>
      </c>
      <c r="C507" s="12" t="s">
        <v>404</v>
      </c>
      <c r="D507" s="12" t="s">
        <v>1181</v>
      </c>
      <c r="E507" s="12" t="s">
        <v>768</v>
      </c>
      <c r="F507" s="10"/>
      <c r="G507" s="10"/>
      <c r="H507" s="53">
        <f>H508</f>
        <v>99084</v>
      </c>
    </row>
    <row r="508" spans="1:8" s="28" customFormat="1" x14ac:dyDescent="0.25">
      <c r="A508" s="27">
        <v>410330</v>
      </c>
      <c r="B508" s="26" t="s">
        <v>764</v>
      </c>
      <c r="C508" s="12" t="s">
        <v>404</v>
      </c>
      <c r="D508" s="12" t="s">
        <v>1181</v>
      </c>
      <c r="E508" s="12" t="s">
        <v>768</v>
      </c>
      <c r="F508" s="10" t="s">
        <v>1010</v>
      </c>
      <c r="G508" s="10"/>
      <c r="H508" s="53">
        <f>H509</f>
        <v>99084</v>
      </c>
    </row>
    <row r="509" spans="1:8" s="28" customFormat="1" x14ac:dyDescent="0.25">
      <c r="A509" s="27">
        <v>41033082</v>
      </c>
      <c r="B509" s="26" t="s">
        <v>280</v>
      </c>
      <c r="C509" s="12" t="s">
        <v>404</v>
      </c>
      <c r="D509" s="12" t="s">
        <v>1181</v>
      </c>
      <c r="E509" s="12" t="s">
        <v>768</v>
      </c>
      <c r="F509" s="10" t="s">
        <v>749</v>
      </c>
      <c r="G509" s="10"/>
      <c r="H509" s="53">
        <f>H510</f>
        <v>99084</v>
      </c>
    </row>
    <row r="510" spans="1:8" s="28" customFormat="1" x14ac:dyDescent="0.25">
      <c r="A510" s="27">
        <v>41033082012</v>
      </c>
      <c r="B510" s="26" t="s">
        <v>1012</v>
      </c>
      <c r="C510" s="12" t="s">
        <v>404</v>
      </c>
      <c r="D510" s="12" t="s">
        <v>1181</v>
      </c>
      <c r="E510" s="12" t="s">
        <v>768</v>
      </c>
      <c r="F510" s="10" t="s">
        <v>749</v>
      </c>
      <c r="G510" s="12" t="s">
        <v>1224</v>
      </c>
      <c r="H510" s="53">
        <v>99084</v>
      </c>
    </row>
    <row r="511" spans="1:8" s="173" customFormat="1" x14ac:dyDescent="0.25">
      <c r="A511" s="29">
        <v>412</v>
      </c>
      <c r="B511" s="26" t="s">
        <v>1253</v>
      </c>
      <c r="C511" s="12" t="s">
        <v>404</v>
      </c>
      <c r="D511" s="12" t="s">
        <v>1181</v>
      </c>
      <c r="E511" s="10">
        <v>12</v>
      </c>
      <c r="F511" s="10"/>
      <c r="G511" s="12"/>
      <c r="H511" s="53">
        <f>H512</f>
        <v>800000</v>
      </c>
    </row>
    <row r="512" spans="1:8" s="28" customFormat="1" x14ac:dyDescent="0.25">
      <c r="A512" s="27">
        <v>412806</v>
      </c>
      <c r="B512" s="26" t="s">
        <v>1522</v>
      </c>
      <c r="C512" s="12" t="s">
        <v>404</v>
      </c>
      <c r="D512" s="12" t="s">
        <v>1181</v>
      </c>
      <c r="E512" s="10">
        <v>12</v>
      </c>
      <c r="F512" s="10" t="s">
        <v>453</v>
      </c>
      <c r="G512" s="10"/>
      <c r="H512" s="53">
        <f>H513</f>
        <v>800000</v>
      </c>
    </row>
    <row r="513" spans="1:8" s="28" customFormat="1" x14ac:dyDescent="0.25">
      <c r="A513" s="27">
        <v>412806013</v>
      </c>
      <c r="B513" s="26" t="s">
        <v>1335</v>
      </c>
      <c r="C513" s="12" t="s">
        <v>404</v>
      </c>
      <c r="D513" s="12" t="s">
        <v>1181</v>
      </c>
      <c r="E513" s="10">
        <v>12</v>
      </c>
      <c r="F513" s="10" t="s">
        <v>453</v>
      </c>
      <c r="G513" s="12" t="s">
        <v>972</v>
      </c>
      <c r="H513" s="53">
        <f>800000</f>
        <v>800000</v>
      </c>
    </row>
    <row r="514" spans="1:8" s="28" customFormat="1" x14ac:dyDescent="0.25">
      <c r="A514" s="29">
        <v>7</v>
      </c>
      <c r="B514" s="35" t="s">
        <v>174</v>
      </c>
      <c r="C514" s="12" t="s">
        <v>404</v>
      </c>
      <c r="D514" s="12" t="s">
        <v>205</v>
      </c>
      <c r="E514" s="10"/>
      <c r="F514" s="10"/>
      <c r="G514" s="10"/>
      <c r="H514" s="53">
        <f>H515+H528</f>
        <v>252364</v>
      </c>
    </row>
    <row r="515" spans="1:8" s="159" customFormat="1" x14ac:dyDescent="0.25">
      <c r="A515" s="160">
        <v>706</v>
      </c>
      <c r="B515" s="38" t="s">
        <v>458</v>
      </c>
      <c r="C515" s="25" t="s">
        <v>404</v>
      </c>
      <c r="D515" s="25" t="s">
        <v>205</v>
      </c>
      <c r="E515" s="25" t="s">
        <v>1746</v>
      </c>
      <c r="F515" s="11"/>
      <c r="G515" s="11"/>
      <c r="H515" s="53">
        <f>H516</f>
        <v>250874</v>
      </c>
    </row>
    <row r="516" spans="1:8" s="159" customFormat="1" x14ac:dyDescent="0.25">
      <c r="A516" s="188">
        <v>706430</v>
      </c>
      <c r="B516" s="38" t="s">
        <v>119</v>
      </c>
      <c r="C516" s="25" t="s">
        <v>404</v>
      </c>
      <c r="D516" s="24" t="s">
        <v>205</v>
      </c>
      <c r="E516" s="25" t="s">
        <v>1746</v>
      </c>
      <c r="F516" s="80" t="s">
        <v>1014</v>
      </c>
      <c r="G516" s="11"/>
      <c r="H516" s="53">
        <f>H517</f>
        <v>250874</v>
      </c>
    </row>
    <row r="517" spans="1:8" s="159" customFormat="1" x14ac:dyDescent="0.25">
      <c r="A517" s="188">
        <v>70643099</v>
      </c>
      <c r="B517" s="38" t="s">
        <v>624</v>
      </c>
      <c r="C517" s="25" t="s">
        <v>404</v>
      </c>
      <c r="D517" s="24" t="s">
        <v>205</v>
      </c>
      <c r="E517" s="25" t="s">
        <v>1746</v>
      </c>
      <c r="F517" s="80" t="s">
        <v>582</v>
      </c>
      <c r="G517" s="24"/>
      <c r="H517" s="53">
        <f>H518+H520+H522+H524+H526</f>
        <v>250874</v>
      </c>
    </row>
    <row r="518" spans="1:8" s="159" customFormat="1" ht="31.5" x14ac:dyDescent="0.25">
      <c r="A518" s="188">
        <v>7064309901</v>
      </c>
      <c r="B518" s="38" t="s">
        <v>1535</v>
      </c>
      <c r="C518" s="25" t="s">
        <v>404</v>
      </c>
      <c r="D518" s="24" t="s">
        <v>205</v>
      </c>
      <c r="E518" s="25" t="s">
        <v>1746</v>
      </c>
      <c r="F518" s="80" t="s">
        <v>1199</v>
      </c>
      <c r="G518" s="24"/>
      <c r="H518" s="53">
        <f>H519</f>
        <v>11792</v>
      </c>
    </row>
    <row r="519" spans="1:8" s="159" customFormat="1" x14ac:dyDescent="0.25">
      <c r="A519" s="188">
        <v>7064309901001</v>
      </c>
      <c r="B519" s="38" t="s">
        <v>1435</v>
      </c>
      <c r="C519" s="25" t="s">
        <v>404</v>
      </c>
      <c r="D519" s="24" t="s">
        <v>205</v>
      </c>
      <c r="E519" s="25" t="s">
        <v>1746</v>
      </c>
      <c r="F519" s="80" t="s">
        <v>1199</v>
      </c>
      <c r="G519" s="198" t="s">
        <v>1394</v>
      </c>
      <c r="H519" s="53">
        <v>11792</v>
      </c>
    </row>
    <row r="520" spans="1:8" s="159" customFormat="1" x14ac:dyDescent="0.25">
      <c r="A520" s="188">
        <v>7064309902</v>
      </c>
      <c r="B520" s="38" t="s">
        <v>1598</v>
      </c>
      <c r="C520" s="25" t="s">
        <v>404</v>
      </c>
      <c r="D520" s="24" t="s">
        <v>205</v>
      </c>
      <c r="E520" s="25" t="s">
        <v>1746</v>
      </c>
      <c r="F520" s="80" t="s">
        <v>1599</v>
      </c>
      <c r="G520" s="24"/>
      <c r="H520" s="53">
        <f>H521</f>
        <v>301</v>
      </c>
    </row>
    <row r="521" spans="1:8" s="159" customFormat="1" x14ac:dyDescent="0.25">
      <c r="A521" s="188">
        <v>7064309902001</v>
      </c>
      <c r="B521" s="38" t="s">
        <v>1435</v>
      </c>
      <c r="C521" s="25" t="s">
        <v>404</v>
      </c>
      <c r="D521" s="24" t="s">
        <v>205</v>
      </c>
      <c r="E521" s="25" t="s">
        <v>1746</v>
      </c>
      <c r="F521" s="80" t="s">
        <v>1599</v>
      </c>
      <c r="G521" s="198" t="s">
        <v>1394</v>
      </c>
      <c r="H521" s="53">
        <v>301</v>
      </c>
    </row>
    <row r="522" spans="1:8" s="159" customFormat="1" ht="47.25" x14ac:dyDescent="0.25">
      <c r="A522" s="188">
        <v>7064309907</v>
      </c>
      <c r="B522" s="148" t="s">
        <v>681</v>
      </c>
      <c r="C522" s="25" t="s">
        <v>404</v>
      </c>
      <c r="D522" s="24" t="s">
        <v>205</v>
      </c>
      <c r="E522" s="25" t="s">
        <v>1746</v>
      </c>
      <c r="F522" s="80" t="s">
        <v>443</v>
      </c>
      <c r="G522" s="24"/>
      <c r="H522" s="53">
        <f>H523</f>
        <v>33</v>
      </c>
    </row>
    <row r="523" spans="1:8" s="159" customFormat="1" x14ac:dyDescent="0.25">
      <c r="A523" s="188">
        <v>7064309907001</v>
      </c>
      <c r="B523" s="38" t="s">
        <v>1435</v>
      </c>
      <c r="C523" s="25" t="s">
        <v>404</v>
      </c>
      <c r="D523" s="24" t="s">
        <v>205</v>
      </c>
      <c r="E523" s="25" t="s">
        <v>1746</v>
      </c>
      <c r="F523" s="80" t="s">
        <v>443</v>
      </c>
      <c r="G523" s="198" t="s">
        <v>1394</v>
      </c>
      <c r="H523" s="53">
        <v>33</v>
      </c>
    </row>
    <row r="524" spans="1:8" s="159" customFormat="1" ht="31.5" x14ac:dyDescent="0.25">
      <c r="A524" s="188">
        <v>7064309912</v>
      </c>
      <c r="B524" s="148" t="s">
        <v>58</v>
      </c>
      <c r="C524" s="25" t="s">
        <v>404</v>
      </c>
      <c r="D524" s="24" t="s">
        <v>205</v>
      </c>
      <c r="E524" s="25" t="s">
        <v>1746</v>
      </c>
      <c r="F524" s="80" t="s">
        <v>442</v>
      </c>
      <c r="G524" s="24"/>
      <c r="H524" s="53">
        <f>H525</f>
        <v>1063</v>
      </c>
    </row>
    <row r="525" spans="1:8" s="159" customFormat="1" x14ac:dyDescent="0.25">
      <c r="A525" s="188">
        <v>7064309912001</v>
      </c>
      <c r="B525" s="38" t="s">
        <v>1435</v>
      </c>
      <c r="C525" s="25" t="s">
        <v>404</v>
      </c>
      <c r="D525" s="24" t="s">
        <v>205</v>
      </c>
      <c r="E525" s="25" t="s">
        <v>1746</v>
      </c>
      <c r="F525" s="80" t="s">
        <v>442</v>
      </c>
      <c r="G525" s="198" t="s">
        <v>1394</v>
      </c>
      <c r="H525" s="53">
        <v>1063</v>
      </c>
    </row>
    <row r="526" spans="1:8" s="159" customFormat="1" x14ac:dyDescent="0.25">
      <c r="A526" s="188">
        <v>7064309999</v>
      </c>
      <c r="B526" s="38" t="s">
        <v>1503</v>
      </c>
      <c r="C526" s="25" t="s">
        <v>404</v>
      </c>
      <c r="D526" s="24" t="s">
        <v>205</v>
      </c>
      <c r="E526" s="25" t="s">
        <v>1746</v>
      </c>
      <c r="F526" s="80" t="s">
        <v>1388</v>
      </c>
      <c r="G526" s="24"/>
      <c r="H526" s="53">
        <f>H527</f>
        <v>237685</v>
      </c>
    </row>
    <row r="527" spans="1:8" s="159" customFormat="1" x14ac:dyDescent="0.25">
      <c r="A527" s="188">
        <v>7064309999001</v>
      </c>
      <c r="B527" s="38" t="s">
        <v>1435</v>
      </c>
      <c r="C527" s="25" t="s">
        <v>404</v>
      </c>
      <c r="D527" s="24" t="s">
        <v>205</v>
      </c>
      <c r="E527" s="25" t="s">
        <v>1746</v>
      </c>
      <c r="F527" s="80" t="s">
        <v>1388</v>
      </c>
      <c r="G527" s="198" t="s">
        <v>1394</v>
      </c>
      <c r="H527" s="53">
        <v>237685</v>
      </c>
    </row>
    <row r="528" spans="1:8" s="28" customFormat="1" x14ac:dyDescent="0.25">
      <c r="A528" s="29">
        <v>707</v>
      </c>
      <c r="B528" s="26" t="s">
        <v>699</v>
      </c>
      <c r="C528" s="12" t="s">
        <v>404</v>
      </c>
      <c r="D528" s="12" t="s">
        <v>205</v>
      </c>
      <c r="E528" s="12" t="s">
        <v>205</v>
      </c>
      <c r="F528" s="10"/>
      <c r="G528" s="10"/>
      <c r="H528" s="53">
        <f>H529</f>
        <v>1490</v>
      </c>
    </row>
    <row r="529" spans="1:10" s="128" customFormat="1" ht="21" customHeight="1" x14ac:dyDescent="0.25">
      <c r="A529" s="27">
        <v>707432</v>
      </c>
      <c r="B529" s="26" t="s">
        <v>1482</v>
      </c>
      <c r="C529" s="12" t="s">
        <v>404</v>
      </c>
      <c r="D529" s="12" t="s">
        <v>205</v>
      </c>
      <c r="E529" s="12" t="s">
        <v>205</v>
      </c>
      <c r="F529" s="10" t="s">
        <v>965</v>
      </c>
      <c r="G529" s="12"/>
      <c r="H529" s="53">
        <f>H530</f>
        <v>1490</v>
      </c>
    </row>
    <row r="530" spans="1:10" s="128" customFormat="1" x14ac:dyDescent="0.25">
      <c r="A530" s="27">
        <v>70743202</v>
      </c>
      <c r="B530" s="26" t="s">
        <v>541</v>
      </c>
      <c r="C530" s="12" t="s">
        <v>404</v>
      </c>
      <c r="D530" s="12" t="s">
        <v>205</v>
      </c>
      <c r="E530" s="12" t="s">
        <v>205</v>
      </c>
      <c r="F530" s="10" t="s">
        <v>262</v>
      </c>
      <c r="G530" s="12"/>
      <c r="H530" s="53">
        <f>H531</f>
        <v>1490</v>
      </c>
    </row>
    <row r="531" spans="1:10" s="128" customFormat="1" x14ac:dyDescent="0.25">
      <c r="A531" s="27">
        <v>70743202001</v>
      </c>
      <c r="B531" s="26" t="s">
        <v>1435</v>
      </c>
      <c r="C531" s="12" t="s">
        <v>404</v>
      </c>
      <c r="D531" s="12" t="s">
        <v>205</v>
      </c>
      <c r="E531" s="12" t="s">
        <v>205</v>
      </c>
      <c r="F531" s="10" t="s">
        <v>262</v>
      </c>
      <c r="G531" s="12" t="s">
        <v>1394</v>
      </c>
      <c r="H531" s="53">
        <v>1490</v>
      </c>
    </row>
    <row r="532" spans="1:10" s="28" customFormat="1" x14ac:dyDescent="0.25">
      <c r="A532" s="27">
        <v>11</v>
      </c>
      <c r="B532" s="35" t="s">
        <v>219</v>
      </c>
      <c r="C532" s="12" t="s">
        <v>404</v>
      </c>
      <c r="D532" s="12">
        <v>11</v>
      </c>
      <c r="E532" s="12"/>
      <c r="F532" s="10"/>
      <c r="G532" s="10"/>
      <c r="H532" s="53">
        <f>H533+H545+H623+H689</f>
        <v>53134385</v>
      </c>
    </row>
    <row r="533" spans="1:10" s="155" customFormat="1" ht="31.5" x14ac:dyDescent="0.25">
      <c r="A533" s="188">
        <v>1101</v>
      </c>
      <c r="B533" s="38" t="s">
        <v>328</v>
      </c>
      <c r="C533" s="25" t="s">
        <v>404</v>
      </c>
      <c r="D533" s="24">
        <v>11</v>
      </c>
      <c r="E533" s="24" t="s">
        <v>566</v>
      </c>
      <c r="F533" s="11"/>
      <c r="G533" s="11"/>
      <c r="H533" s="53">
        <f>H534+H540</f>
        <v>4713428</v>
      </c>
      <c r="I533" s="153"/>
      <c r="J533" s="154"/>
    </row>
    <row r="534" spans="1:10" s="165" customFormat="1" x14ac:dyDescent="0.25">
      <c r="A534" s="188">
        <v>1101516</v>
      </c>
      <c r="B534" s="38" t="s">
        <v>50</v>
      </c>
      <c r="C534" s="25" t="s">
        <v>404</v>
      </c>
      <c r="D534" s="25">
        <v>11</v>
      </c>
      <c r="E534" s="24" t="s">
        <v>566</v>
      </c>
      <c r="F534" s="11" t="s">
        <v>48</v>
      </c>
      <c r="G534" s="11"/>
      <c r="H534" s="53">
        <f>H535</f>
        <v>3853337</v>
      </c>
    </row>
    <row r="535" spans="1:10" s="165" customFormat="1" x14ac:dyDescent="0.25">
      <c r="A535" s="188">
        <v>110151601</v>
      </c>
      <c r="B535" s="38" t="s">
        <v>50</v>
      </c>
      <c r="C535" s="25" t="s">
        <v>404</v>
      </c>
      <c r="D535" s="25">
        <v>11</v>
      </c>
      <c r="E535" s="24" t="s">
        <v>566</v>
      </c>
      <c r="F535" s="11" t="s">
        <v>49</v>
      </c>
      <c r="G535" s="11"/>
      <c r="H535" s="53">
        <f>H536+H538</f>
        <v>3853337</v>
      </c>
    </row>
    <row r="536" spans="1:10" s="165" customFormat="1" ht="47.25" x14ac:dyDescent="0.25">
      <c r="A536" s="188">
        <v>11015160120</v>
      </c>
      <c r="B536" s="193" t="s">
        <v>713</v>
      </c>
      <c r="C536" s="25" t="s">
        <v>404</v>
      </c>
      <c r="D536" s="25">
        <v>11</v>
      </c>
      <c r="E536" s="24" t="s">
        <v>566</v>
      </c>
      <c r="F536" s="11" t="s">
        <v>714</v>
      </c>
      <c r="G536" s="25"/>
      <c r="H536" s="53">
        <f>H537</f>
        <v>3769237</v>
      </c>
      <c r="J536" s="72"/>
    </row>
    <row r="537" spans="1:10" s="147" customFormat="1" x14ac:dyDescent="0.25">
      <c r="A537" s="188">
        <v>11015160120008</v>
      </c>
      <c r="B537" s="38" t="s">
        <v>51</v>
      </c>
      <c r="C537" s="25" t="s">
        <v>404</v>
      </c>
      <c r="D537" s="24">
        <v>11</v>
      </c>
      <c r="E537" s="24" t="s">
        <v>566</v>
      </c>
      <c r="F537" s="11" t="s">
        <v>714</v>
      </c>
      <c r="G537" s="25" t="s">
        <v>404</v>
      </c>
      <c r="H537" s="230">
        <f>4448220-678983</f>
        <v>3769237</v>
      </c>
      <c r="J537" s="72"/>
    </row>
    <row r="538" spans="1:10" s="165" customFormat="1" ht="78.75" x14ac:dyDescent="0.25">
      <c r="A538" s="188">
        <v>11015160130</v>
      </c>
      <c r="B538" s="193" t="s">
        <v>291</v>
      </c>
      <c r="C538" s="25" t="s">
        <v>404</v>
      </c>
      <c r="D538" s="25">
        <v>11</v>
      </c>
      <c r="E538" s="24" t="s">
        <v>566</v>
      </c>
      <c r="F538" s="11" t="s">
        <v>509</v>
      </c>
      <c r="G538" s="25"/>
      <c r="H538" s="230">
        <f>H539</f>
        <v>84100</v>
      </c>
      <c r="J538" s="72"/>
    </row>
    <row r="539" spans="1:10" s="147" customFormat="1" x14ac:dyDescent="0.25">
      <c r="A539" s="188">
        <v>11015160130008</v>
      </c>
      <c r="B539" s="38" t="s">
        <v>51</v>
      </c>
      <c r="C539" s="25" t="s">
        <v>404</v>
      </c>
      <c r="D539" s="24">
        <v>11</v>
      </c>
      <c r="E539" s="24" t="s">
        <v>566</v>
      </c>
      <c r="F539" s="11" t="s">
        <v>509</v>
      </c>
      <c r="G539" s="25" t="s">
        <v>404</v>
      </c>
      <c r="H539" s="230">
        <v>84100</v>
      </c>
      <c r="J539" s="72"/>
    </row>
    <row r="540" spans="1:10" s="165" customFormat="1" x14ac:dyDescent="0.25">
      <c r="A540" s="188">
        <v>1101517</v>
      </c>
      <c r="B540" s="38" t="s">
        <v>50</v>
      </c>
      <c r="C540" s="25" t="s">
        <v>404</v>
      </c>
      <c r="D540" s="25">
        <v>11</v>
      </c>
      <c r="E540" s="24" t="s">
        <v>566</v>
      </c>
      <c r="F540" s="11" t="s">
        <v>628</v>
      </c>
      <c r="G540" s="11"/>
      <c r="H540" s="53">
        <f>H541+H543</f>
        <v>860091</v>
      </c>
    </row>
    <row r="541" spans="1:10" s="165" customFormat="1" ht="31.5" x14ac:dyDescent="0.25">
      <c r="A541" s="188">
        <v>110151701</v>
      </c>
      <c r="B541" s="38" t="s">
        <v>1020</v>
      </c>
      <c r="C541" s="25" t="s">
        <v>404</v>
      </c>
      <c r="D541" s="25">
        <v>11</v>
      </c>
      <c r="E541" s="24" t="s">
        <v>566</v>
      </c>
      <c r="F541" s="11" t="s">
        <v>717</v>
      </c>
      <c r="G541" s="11"/>
      <c r="H541" s="53">
        <f>H542</f>
        <v>189513</v>
      </c>
    </row>
    <row r="542" spans="1:10" s="147" customFormat="1" x14ac:dyDescent="0.25">
      <c r="A542" s="188">
        <v>110151701007</v>
      </c>
      <c r="B542" s="38" t="s">
        <v>716</v>
      </c>
      <c r="C542" s="25" t="s">
        <v>404</v>
      </c>
      <c r="D542" s="24">
        <v>11</v>
      </c>
      <c r="E542" s="24" t="s">
        <v>566</v>
      </c>
      <c r="F542" s="11" t="s">
        <v>717</v>
      </c>
      <c r="G542" s="25" t="s">
        <v>767</v>
      </c>
      <c r="H542" s="53">
        <v>189513</v>
      </c>
      <c r="J542" s="72"/>
    </row>
    <row r="543" spans="1:10" s="165" customFormat="1" ht="21" customHeight="1" x14ac:dyDescent="0.25">
      <c r="A543" s="188">
        <v>110151702</v>
      </c>
      <c r="B543" s="38" t="s">
        <v>1352</v>
      </c>
      <c r="C543" s="25" t="s">
        <v>404</v>
      </c>
      <c r="D543" s="25">
        <v>11</v>
      </c>
      <c r="E543" s="24" t="s">
        <v>566</v>
      </c>
      <c r="F543" s="11" t="s">
        <v>715</v>
      </c>
      <c r="G543" s="11"/>
      <c r="H543" s="53">
        <f>H544</f>
        <v>670578</v>
      </c>
    </row>
    <row r="544" spans="1:10" s="147" customFormat="1" x14ac:dyDescent="0.25">
      <c r="A544" s="188">
        <v>110151702007</v>
      </c>
      <c r="B544" s="38" t="s">
        <v>716</v>
      </c>
      <c r="C544" s="25" t="s">
        <v>404</v>
      </c>
      <c r="D544" s="24">
        <v>11</v>
      </c>
      <c r="E544" s="24" t="s">
        <v>566</v>
      </c>
      <c r="F544" s="11" t="s">
        <v>715</v>
      </c>
      <c r="G544" s="25" t="s">
        <v>767</v>
      </c>
      <c r="H544" s="230">
        <f>652078+18500</f>
        <v>670578</v>
      </c>
      <c r="J544" s="72"/>
    </row>
    <row r="545" spans="1:10" s="155" customFormat="1" ht="31.5" x14ac:dyDescent="0.25">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25">
      <c r="A546" s="27">
        <v>1102100</v>
      </c>
      <c r="B546" s="26" t="s">
        <v>1184</v>
      </c>
      <c r="C546" s="12" t="s">
        <v>404</v>
      </c>
      <c r="D546" s="12">
        <v>11</v>
      </c>
      <c r="E546" s="12" t="s">
        <v>567</v>
      </c>
      <c r="F546" s="10" t="s">
        <v>1680</v>
      </c>
      <c r="G546" s="10"/>
      <c r="H546" s="53">
        <f>H547</f>
        <v>230000</v>
      </c>
    </row>
    <row r="547" spans="1:10" s="69" customFormat="1" ht="31.5" x14ac:dyDescent="0.25">
      <c r="A547" s="27">
        <v>110210011</v>
      </c>
      <c r="B547" s="26" t="s">
        <v>246</v>
      </c>
      <c r="C547" s="12" t="s">
        <v>404</v>
      </c>
      <c r="D547" s="12">
        <v>11</v>
      </c>
      <c r="E547" s="12" t="s">
        <v>567</v>
      </c>
      <c r="F547" s="10" t="s">
        <v>1370</v>
      </c>
      <c r="G547" s="10"/>
      <c r="H547" s="53">
        <f>H548+H549+H550</f>
        <v>230000</v>
      </c>
    </row>
    <row r="548" spans="1:10" s="69" customFormat="1" ht="39" customHeight="1" x14ac:dyDescent="0.25">
      <c r="A548" s="27">
        <v>110210011021</v>
      </c>
      <c r="B548" s="65" t="s">
        <v>1488</v>
      </c>
      <c r="C548" s="12" t="s">
        <v>404</v>
      </c>
      <c r="D548" s="12">
        <v>11</v>
      </c>
      <c r="E548" s="12" t="s">
        <v>567</v>
      </c>
      <c r="F548" s="10" t="s">
        <v>1370</v>
      </c>
      <c r="G548" s="12" t="s">
        <v>568</v>
      </c>
      <c r="H548" s="53">
        <v>120000</v>
      </c>
      <c r="J548" s="72"/>
    </row>
    <row r="549" spans="1:10" s="28" customFormat="1" ht="31.5" x14ac:dyDescent="0.25">
      <c r="A549" s="27">
        <v>110210011908</v>
      </c>
      <c r="B549" s="26" t="s">
        <v>581</v>
      </c>
      <c r="C549" s="12" t="s">
        <v>404</v>
      </c>
      <c r="D549" s="6">
        <v>11</v>
      </c>
      <c r="E549" s="6" t="s">
        <v>567</v>
      </c>
      <c r="F549" s="10" t="s">
        <v>1370</v>
      </c>
      <c r="G549" s="12">
        <v>908</v>
      </c>
      <c r="H549" s="53">
        <v>74000</v>
      </c>
      <c r="J549" s="72"/>
    </row>
    <row r="550" spans="1:10" s="28" customFormat="1" ht="31.5" x14ac:dyDescent="0.25">
      <c r="A550" s="27">
        <v>110210011909</v>
      </c>
      <c r="B550" s="26" t="s">
        <v>673</v>
      </c>
      <c r="C550" s="12" t="s">
        <v>404</v>
      </c>
      <c r="D550" s="6">
        <v>11</v>
      </c>
      <c r="E550" s="6" t="s">
        <v>567</v>
      </c>
      <c r="F550" s="10" t="s">
        <v>1370</v>
      </c>
      <c r="G550" s="12">
        <v>909</v>
      </c>
      <c r="H550" s="53">
        <v>36000</v>
      </c>
      <c r="J550" s="72"/>
    </row>
    <row r="551" spans="1:10" s="155" customFormat="1" ht="31.5" x14ac:dyDescent="0.25">
      <c r="A551" s="188">
        <v>1102102</v>
      </c>
      <c r="B551" s="38" t="s">
        <v>106</v>
      </c>
      <c r="C551" s="12" t="s">
        <v>404</v>
      </c>
      <c r="D551" s="6">
        <v>11</v>
      </c>
      <c r="E551" s="6" t="s">
        <v>567</v>
      </c>
      <c r="F551" s="10" t="s">
        <v>234</v>
      </c>
      <c r="G551" s="11"/>
      <c r="H551" s="53">
        <f>H552</f>
        <v>2769130</v>
      </c>
      <c r="I551" s="153"/>
      <c r="J551" s="154"/>
    </row>
    <row r="552" spans="1:10" s="155" customFormat="1" ht="63" x14ac:dyDescent="0.25">
      <c r="A552" s="188">
        <v>110210201</v>
      </c>
      <c r="B552" s="38" t="s">
        <v>942</v>
      </c>
      <c r="C552" s="12" t="s">
        <v>404</v>
      </c>
      <c r="D552" s="6">
        <v>11</v>
      </c>
      <c r="E552" s="6" t="s">
        <v>567</v>
      </c>
      <c r="F552" s="10" t="s">
        <v>1178</v>
      </c>
      <c r="G552" s="11"/>
      <c r="H552" s="53">
        <f>H553+H555+H557+H559</f>
        <v>2769130</v>
      </c>
      <c r="I552" s="153"/>
      <c r="J552" s="154"/>
    </row>
    <row r="553" spans="1:10" s="28" customFormat="1" ht="31.5" x14ac:dyDescent="0.25">
      <c r="A553" s="188">
        <v>11021020102</v>
      </c>
      <c r="B553" s="26" t="s">
        <v>813</v>
      </c>
      <c r="C553" s="12" t="s">
        <v>404</v>
      </c>
      <c r="D553" s="6">
        <v>11</v>
      </c>
      <c r="E553" s="6" t="s">
        <v>567</v>
      </c>
      <c r="F553" s="10" t="s">
        <v>740</v>
      </c>
      <c r="G553" s="10"/>
      <c r="H553" s="53">
        <f>H554</f>
        <v>314471</v>
      </c>
      <c r="J553" s="81"/>
    </row>
    <row r="554" spans="1:10" s="28" customFormat="1" ht="31.5" x14ac:dyDescent="0.25">
      <c r="A554" s="188">
        <v>11021020102908</v>
      </c>
      <c r="B554" s="26" t="s">
        <v>581</v>
      </c>
      <c r="C554" s="12" t="s">
        <v>404</v>
      </c>
      <c r="D554" s="6">
        <v>11</v>
      </c>
      <c r="E554" s="6" t="s">
        <v>567</v>
      </c>
      <c r="F554" s="10" t="s">
        <v>740</v>
      </c>
      <c r="G554" s="12">
        <v>908</v>
      </c>
      <c r="H554" s="53">
        <v>314471</v>
      </c>
      <c r="J554" s="72"/>
    </row>
    <row r="555" spans="1:10" s="28" customFormat="1" ht="83.25" customHeight="1" x14ac:dyDescent="0.25">
      <c r="A555" s="188">
        <v>11021020103</v>
      </c>
      <c r="B555" s="26" t="s">
        <v>976</v>
      </c>
      <c r="C555" s="12" t="s">
        <v>404</v>
      </c>
      <c r="D555" s="6">
        <v>11</v>
      </c>
      <c r="E555" s="6" t="s">
        <v>567</v>
      </c>
      <c r="F555" s="10" t="s">
        <v>606</v>
      </c>
      <c r="G555" s="10"/>
      <c r="H555" s="53">
        <f>H556</f>
        <v>679000</v>
      </c>
      <c r="J555" s="81"/>
    </row>
    <row r="556" spans="1:10" s="28" customFormat="1" ht="63" x14ac:dyDescent="0.25">
      <c r="A556" s="188">
        <v>11021020103020</v>
      </c>
      <c r="B556" s="26" t="s">
        <v>544</v>
      </c>
      <c r="C556" s="12" t="s">
        <v>404</v>
      </c>
      <c r="D556" s="6">
        <v>11</v>
      </c>
      <c r="E556" s="6" t="s">
        <v>567</v>
      </c>
      <c r="F556" s="10" t="s">
        <v>606</v>
      </c>
      <c r="G556" s="12" t="s">
        <v>1422</v>
      </c>
      <c r="H556" s="53">
        <v>679000</v>
      </c>
      <c r="J556" s="72"/>
    </row>
    <row r="557" spans="1:10" s="28" customFormat="1" ht="93.75" customHeight="1" x14ac:dyDescent="0.25">
      <c r="A557" s="188">
        <v>11021020104</v>
      </c>
      <c r="B557" s="26" t="s">
        <v>386</v>
      </c>
      <c r="C557" s="12" t="s">
        <v>404</v>
      </c>
      <c r="D557" s="6">
        <v>11</v>
      </c>
      <c r="E557" s="6" t="s">
        <v>567</v>
      </c>
      <c r="F557" s="10" t="s">
        <v>1138</v>
      </c>
      <c r="G557" s="10"/>
      <c r="H557" s="230">
        <f>H558</f>
        <v>1244550</v>
      </c>
      <c r="J557" s="81"/>
    </row>
    <row r="558" spans="1:10" s="28" customFormat="1" ht="63" x14ac:dyDescent="0.25">
      <c r="A558" s="188">
        <v>11021020104020</v>
      </c>
      <c r="B558" s="26" t="s">
        <v>544</v>
      </c>
      <c r="C558" s="12" t="s">
        <v>404</v>
      </c>
      <c r="D558" s="6">
        <v>11</v>
      </c>
      <c r="E558" s="6" t="s">
        <v>567</v>
      </c>
      <c r="F558" s="10" t="s">
        <v>1138</v>
      </c>
      <c r="G558" s="12" t="s">
        <v>1422</v>
      </c>
      <c r="H558" s="230">
        <f>244550+1000000</f>
        <v>1244550</v>
      </c>
      <c r="J558" s="72"/>
    </row>
    <row r="559" spans="1:10" s="28" customFormat="1" ht="80.25" customHeight="1" x14ac:dyDescent="0.25">
      <c r="A559" s="188">
        <v>11021020105</v>
      </c>
      <c r="B559" s="26" t="s">
        <v>869</v>
      </c>
      <c r="C559" s="12" t="s">
        <v>404</v>
      </c>
      <c r="D559" s="6">
        <v>11</v>
      </c>
      <c r="E559" s="6" t="s">
        <v>567</v>
      </c>
      <c r="F559" s="10" t="s">
        <v>1139</v>
      </c>
      <c r="G559" s="10"/>
      <c r="H559" s="53">
        <f>H560</f>
        <v>531109</v>
      </c>
      <c r="J559" s="81"/>
    </row>
    <row r="560" spans="1:10" s="28" customFormat="1" ht="63" x14ac:dyDescent="0.25">
      <c r="A560" s="188">
        <v>11021020105020</v>
      </c>
      <c r="B560" s="26" t="s">
        <v>544</v>
      </c>
      <c r="C560" s="12" t="s">
        <v>404</v>
      </c>
      <c r="D560" s="6">
        <v>11</v>
      </c>
      <c r="E560" s="6" t="s">
        <v>567</v>
      </c>
      <c r="F560" s="10" t="s">
        <v>1139</v>
      </c>
      <c r="G560" s="12" t="s">
        <v>1422</v>
      </c>
      <c r="H560" s="53">
        <v>531109</v>
      </c>
      <c r="J560" s="72"/>
    </row>
    <row r="561" spans="1:10" s="28" customFormat="1" ht="31.5" x14ac:dyDescent="0.25">
      <c r="A561" s="27">
        <v>1102104</v>
      </c>
      <c r="B561" s="26" t="s">
        <v>636</v>
      </c>
      <c r="C561" s="12" t="s">
        <v>404</v>
      </c>
      <c r="D561" s="6">
        <v>11</v>
      </c>
      <c r="E561" s="6" t="s">
        <v>567</v>
      </c>
      <c r="F561" s="10" t="s">
        <v>207</v>
      </c>
      <c r="G561" s="10"/>
      <c r="H561" s="53">
        <f>H562</f>
        <v>75000</v>
      </c>
      <c r="J561" s="81"/>
    </row>
    <row r="562" spans="1:10" s="28" customFormat="1" x14ac:dyDescent="0.25">
      <c r="A562" s="27">
        <v>110210402</v>
      </c>
      <c r="B562" s="26" t="s">
        <v>186</v>
      </c>
      <c r="C562" s="12" t="s">
        <v>404</v>
      </c>
      <c r="D562" s="6">
        <v>11</v>
      </c>
      <c r="E562" s="6" t="s">
        <v>567</v>
      </c>
      <c r="F562" s="10" t="s">
        <v>127</v>
      </c>
      <c r="G562" s="10"/>
      <c r="H562" s="53">
        <f>H563</f>
        <v>75000</v>
      </c>
      <c r="J562" s="81"/>
    </row>
    <row r="563" spans="1:10" s="28" customFormat="1" x14ac:dyDescent="0.25">
      <c r="A563" s="27">
        <v>110210402010</v>
      </c>
      <c r="B563" s="26" t="s">
        <v>783</v>
      </c>
      <c r="C563" s="12" t="s">
        <v>404</v>
      </c>
      <c r="D563" s="6">
        <v>11</v>
      </c>
      <c r="E563" s="6" t="s">
        <v>567</v>
      </c>
      <c r="F563" s="10" t="s">
        <v>127</v>
      </c>
      <c r="G563" s="12" t="s">
        <v>408</v>
      </c>
      <c r="H563" s="53">
        <v>75000</v>
      </c>
      <c r="J563" s="72"/>
    </row>
    <row r="564" spans="1:10" s="28" customFormat="1" ht="31.5" x14ac:dyDescent="0.25">
      <c r="A564" s="27">
        <v>1102450</v>
      </c>
      <c r="B564" s="26" t="s">
        <v>1377</v>
      </c>
      <c r="C564" s="12" t="s">
        <v>404</v>
      </c>
      <c r="D564" s="6">
        <v>11</v>
      </c>
      <c r="E564" s="6" t="s">
        <v>567</v>
      </c>
      <c r="F564" s="19" t="s">
        <v>1074</v>
      </c>
      <c r="G564" s="10"/>
      <c r="H564" s="53">
        <f>H565</f>
        <v>13922</v>
      </c>
      <c r="J564" s="81"/>
    </row>
    <row r="565" spans="1:10" s="28" customFormat="1" ht="31.5" x14ac:dyDescent="0.25">
      <c r="A565" s="27">
        <v>110245006</v>
      </c>
      <c r="B565" s="26" t="s">
        <v>1673</v>
      </c>
      <c r="C565" s="12" t="s">
        <v>404</v>
      </c>
      <c r="D565" s="6">
        <v>11</v>
      </c>
      <c r="E565" s="6" t="s">
        <v>567</v>
      </c>
      <c r="F565" s="19" t="s">
        <v>654</v>
      </c>
      <c r="G565" s="10"/>
      <c r="H565" s="53">
        <f>H566</f>
        <v>13922</v>
      </c>
      <c r="J565" s="81"/>
    </row>
    <row r="566" spans="1:10" s="28" customFormat="1" x14ac:dyDescent="0.25">
      <c r="A566" s="27">
        <v>110245006010</v>
      </c>
      <c r="B566" s="26" t="s">
        <v>783</v>
      </c>
      <c r="C566" s="12" t="s">
        <v>404</v>
      </c>
      <c r="D566" s="6">
        <v>11</v>
      </c>
      <c r="E566" s="6" t="s">
        <v>567</v>
      </c>
      <c r="F566" s="19" t="s">
        <v>654</v>
      </c>
      <c r="G566" s="12" t="s">
        <v>408</v>
      </c>
      <c r="H566" s="53">
        <v>13922</v>
      </c>
      <c r="J566" s="72"/>
    </row>
    <row r="567" spans="1:10" s="147" customFormat="1" x14ac:dyDescent="0.25">
      <c r="A567" s="188">
        <v>1102518</v>
      </c>
      <c r="B567" s="38" t="s">
        <v>1028</v>
      </c>
      <c r="C567" s="25" t="s">
        <v>404</v>
      </c>
      <c r="D567" s="24">
        <v>11</v>
      </c>
      <c r="E567" s="24" t="s">
        <v>567</v>
      </c>
      <c r="F567" s="80" t="s">
        <v>18</v>
      </c>
      <c r="G567" s="25"/>
      <c r="H567" s="53">
        <f>H568</f>
        <v>160000</v>
      </c>
      <c r="J567" s="72"/>
    </row>
    <row r="568" spans="1:10" s="147" customFormat="1" x14ac:dyDescent="0.25">
      <c r="A568" s="188">
        <v>110251802</v>
      </c>
      <c r="B568" s="38" t="s">
        <v>1029</v>
      </c>
      <c r="C568" s="25" t="s">
        <v>404</v>
      </c>
      <c r="D568" s="24">
        <v>11</v>
      </c>
      <c r="E568" s="24" t="s">
        <v>567</v>
      </c>
      <c r="F568" s="80" t="s">
        <v>846</v>
      </c>
      <c r="G568" s="11"/>
      <c r="H568" s="53">
        <f>H569</f>
        <v>160000</v>
      </c>
      <c r="J568" s="156"/>
    </row>
    <row r="569" spans="1:10" s="147" customFormat="1" x14ac:dyDescent="0.25">
      <c r="A569" s="188">
        <v>110251802010</v>
      </c>
      <c r="B569" s="38" t="s">
        <v>783</v>
      </c>
      <c r="C569" s="25" t="s">
        <v>404</v>
      </c>
      <c r="D569" s="24">
        <v>11</v>
      </c>
      <c r="E569" s="24" t="s">
        <v>567</v>
      </c>
      <c r="F569" s="80" t="s">
        <v>846</v>
      </c>
      <c r="G569" s="25" t="s">
        <v>408</v>
      </c>
      <c r="H569" s="53">
        <v>160000</v>
      </c>
      <c r="J569" s="72"/>
    </row>
    <row r="570" spans="1:10" s="28" customFormat="1" x14ac:dyDescent="0.25">
      <c r="A570" s="27">
        <v>1102520</v>
      </c>
      <c r="B570" s="26" t="s">
        <v>279</v>
      </c>
      <c r="C570" s="12" t="s">
        <v>404</v>
      </c>
      <c r="D570" s="6">
        <v>11</v>
      </c>
      <c r="E570" s="6" t="s">
        <v>567</v>
      </c>
      <c r="F570" s="19" t="s">
        <v>627</v>
      </c>
      <c r="G570" s="12"/>
      <c r="H570" s="53">
        <f>H571+H573+H575+H580+H582</f>
        <v>2127833</v>
      </c>
      <c r="J570" s="72"/>
    </row>
    <row r="571" spans="1:10" s="28" customFormat="1" ht="33" customHeight="1" x14ac:dyDescent="0.25">
      <c r="A571" s="27">
        <v>110252003</v>
      </c>
      <c r="B571" s="26" t="s">
        <v>845</v>
      </c>
      <c r="C571" s="12" t="s">
        <v>404</v>
      </c>
      <c r="D571" s="6">
        <v>11</v>
      </c>
      <c r="E571" s="6" t="s">
        <v>567</v>
      </c>
      <c r="F571" s="19" t="s">
        <v>1021</v>
      </c>
      <c r="G571" s="10"/>
      <c r="H571" s="53">
        <f>H572</f>
        <v>151146</v>
      </c>
      <c r="J571" s="81"/>
    </row>
    <row r="572" spans="1:10" s="28" customFormat="1" x14ac:dyDescent="0.25">
      <c r="A572" s="27">
        <v>110252003010</v>
      </c>
      <c r="B572" s="26" t="s">
        <v>783</v>
      </c>
      <c r="C572" s="12" t="s">
        <v>404</v>
      </c>
      <c r="D572" s="6">
        <v>11</v>
      </c>
      <c r="E572" s="6" t="s">
        <v>567</v>
      </c>
      <c r="F572" s="19" t="s">
        <v>1021</v>
      </c>
      <c r="G572" s="12" t="s">
        <v>408</v>
      </c>
      <c r="H572" s="53">
        <v>151146</v>
      </c>
      <c r="J572" s="72"/>
    </row>
    <row r="573" spans="1:10" s="28" customFormat="1" ht="35.25" customHeight="1" x14ac:dyDescent="0.25">
      <c r="A573" s="27">
        <v>110252004</v>
      </c>
      <c r="B573" s="26" t="s">
        <v>1442</v>
      </c>
      <c r="C573" s="12" t="s">
        <v>404</v>
      </c>
      <c r="D573" s="6">
        <v>11</v>
      </c>
      <c r="E573" s="6" t="s">
        <v>567</v>
      </c>
      <c r="F573" s="19" t="s">
        <v>1337</v>
      </c>
      <c r="G573" s="10"/>
      <c r="H573" s="53">
        <f>H574</f>
        <v>770817</v>
      </c>
      <c r="J573" s="81"/>
    </row>
    <row r="574" spans="1:10" s="28" customFormat="1" x14ac:dyDescent="0.25">
      <c r="A574" s="27">
        <v>110252004010</v>
      </c>
      <c r="B574" s="26" t="s">
        <v>783</v>
      </c>
      <c r="C574" s="12" t="s">
        <v>404</v>
      </c>
      <c r="D574" s="6">
        <v>11</v>
      </c>
      <c r="E574" s="6" t="s">
        <v>567</v>
      </c>
      <c r="F574" s="19" t="s">
        <v>1337</v>
      </c>
      <c r="G574" s="12" t="s">
        <v>408</v>
      </c>
      <c r="H574" s="53">
        <v>770817</v>
      </c>
      <c r="J574" s="72"/>
    </row>
    <row r="575" spans="1:10" s="28" customFormat="1" ht="35.25" customHeight="1" x14ac:dyDescent="0.25">
      <c r="A575" s="27">
        <v>110252012</v>
      </c>
      <c r="B575" s="26" t="s">
        <v>630</v>
      </c>
      <c r="C575" s="12" t="s">
        <v>404</v>
      </c>
      <c r="D575" s="6">
        <v>11</v>
      </c>
      <c r="E575" s="6" t="s">
        <v>567</v>
      </c>
      <c r="F575" s="19" t="s">
        <v>483</v>
      </c>
      <c r="G575" s="10"/>
      <c r="H575" s="53">
        <f>H576+H578</f>
        <v>643960</v>
      </c>
      <c r="J575" s="72"/>
    </row>
    <row r="576" spans="1:10" s="28" customFormat="1" ht="63" x14ac:dyDescent="0.25">
      <c r="A576" s="27">
        <v>11025201201</v>
      </c>
      <c r="B576" s="26" t="s">
        <v>535</v>
      </c>
      <c r="C576" s="12" t="s">
        <v>404</v>
      </c>
      <c r="D576" s="6">
        <v>11</v>
      </c>
      <c r="E576" s="6" t="s">
        <v>567</v>
      </c>
      <c r="F576" s="19" t="s">
        <v>484</v>
      </c>
      <c r="G576" s="10"/>
      <c r="H576" s="53">
        <f>H577</f>
        <v>383960</v>
      </c>
      <c r="J576" s="81"/>
    </row>
    <row r="577" spans="1:10" s="28" customFormat="1" x14ac:dyDescent="0.25">
      <c r="A577" s="27">
        <v>11025201201010</v>
      </c>
      <c r="B577" s="26" t="s">
        <v>783</v>
      </c>
      <c r="C577" s="12" t="s">
        <v>404</v>
      </c>
      <c r="D577" s="6">
        <v>11</v>
      </c>
      <c r="E577" s="6" t="s">
        <v>567</v>
      </c>
      <c r="F577" s="19" t="s">
        <v>484</v>
      </c>
      <c r="G577" s="12" t="s">
        <v>408</v>
      </c>
      <c r="H577" s="53">
        <v>383960</v>
      </c>
      <c r="J577" s="72"/>
    </row>
    <row r="578" spans="1:10" s="28" customFormat="1" ht="63" x14ac:dyDescent="0.25">
      <c r="A578" s="27">
        <v>11025201202</v>
      </c>
      <c r="B578" s="26" t="s">
        <v>320</v>
      </c>
      <c r="C578" s="12" t="s">
        <v>404</v>
      </c>
      <c r="D578" s="6">
        <v>11</v>
      </c>
      <c r="E578" s="6" t="s">
        <v>567</v>
      </c>
      <c r="F578" s="19" t="s">
        <v>485</v>
      </c>
      <c r="G578" s="10"/>
      <c r="H578" s="53">
        <f>H579</f>
        <v>260000</v>
      </c>
      <c r="J578" s="81"/>
    </row>
    <row r="579" spans="1:10" s="28" customFormat="1" x14ac:dyDescent="0.25">
      <c r="A579" s="27">
        <v>11025201202010</v>
      </c>
      <c r="B579" s="26" t="s">
        <v>783</v>
      </c>
      <c r="C579" s="12" t="s">
        <v>404</v>
      </c>
      <c r="D579" s="6">
        <v>11</v>
      </c>
      <c r="E579" s="6" t="s">
        <v>567</v>
      </c>
      <c r="F579" s="19" t="s">
        <v>485</v>
      </c>
      <c r="G579" s="12" t="s">
        <v>408</v>
      </c>
      <c r="H579" s="53">
        <v>260000</v>
      </c>
      <c r="J579" s="72"/>
    </row>
    <row r="580" spans="1:10" s="28" customFormat="1" ht="110.25" customHeight="1" x14ac:dyDescent="0.25">
      <c r="A580" s="27">
        <v>110252019</v>
      </c>
      <c r="B580" s="26" t="s">
        <v>1480</v>
      </c>
      <c r="C580" s="12" t="s">
        <v>404</v>
      </c>
      <c r="D580" s="6">
        <v>11</v>
      </c>
      <c r="E580" s="6" t="s">
        <v>567</v>
      </c>
      <c r="F580" s="19" t="s">
        <v>321</v>
      </c>
      <c r="G580" s="10"/>
      <c r="H580" s="53">
        <f>H581</f>
        <v>211910</v>
      </c>
      <c r="J580" s="81"/>
    </row>
    <row r="581" spans="1:10" s="28" customFormat="1" x14ac:dyDescent="0.25">
      <c r="A581" s="27">
        <v>110252019010</v>
      </c>
      <c r="B581" s="26" t="s">
        <v>783</v>
      </c>
      <c r="C581" s="12" t="s">
        <v>404</v>
      </c>
      <c r="D581" s="6">
        <v>11</v>
      </c>
      <c r="E581" s="6" t="s">
        <v>567</v>
      </c>
      <c r="F581" s="19" t="s">
        <v>321</v>
      </c>
      <c r="G581" s="12" t="s">
        <v>408</v>
      </c>
      <c r="H581" s="53">
        <v>211910</v>
      </c>
      <c r="J581" s="72"/>
    </row>
    <row r="582" spans="1:10" s="28" customFormat="1" ht="78.75" x14ac:dyDescent="0.25">
      <c r="A582" s="27">
        <v>110252020</v>
      </c>
      <c r="B582" s="26" t="s">
        <v>657</v>
      </c>
      <c r="C582" s="12" t="s">
        <v>404</v>
      </c>
      <c r="D582" s="6">
        <v>11</v>
      </c>
      <c r="E582" s="6" t="s">
        <v>567</v>
      </c>
      <c r="F582" s="19" t="s">
        <v>833</v>
      </c>
      <c r="G582" s="10"/>
      <c r="H582" s="53">
        <f>H583</f>
        <v>350000</v>
      </c>
      <c r="J582" s="81"/>
    </row>
    <row r="583" spans="1:10" s="28" customFormat="1" x14ac:dyDescent="0.25">
      <c r="A583" s="27">
        <v>110252020010</v>
      </c>
      <c r="B583" s="26" t="s">
        <v>783</v>
      </c>
      <c r="C583" s="12" t="s">
        <v>404</v>
      </c>
      <c r="D583" s="6">
        <v>11</v>
      </c>
      <c r="E583" s="6" t="s">
        <v>567</v>
      </c>
      <c r="F583" s="19" t="s">
        <v>833</v>
      </c>
      <c r="G583" s="12" t="s">
        <v>408</v>
      </c>
      <c r="H583" s="53">
        <v>350000</v>
      </c>
      <c r="J583" s="72"/>
    </row>
    <row r="584" spans="1:10" s="28" customFormat="1" x14ac:dyDescent="0.25">
      <c r="A584" s="27">
        <v>1102521</v>
      </c>
      <c r="B584" s="26" t="s">
        <v>219</v>
      </c>
      <c r="C584" s="12" t="s">
        <v>404</v>
      </c>
      <c r="D584" s="6">
        <v>11</v>
      </c>
      <c r="E584" s="6" t="s">
        <v>567</v>
      </c>
      <c r="F584" s="19" t="s">
        <v>1734</v>
      </c>
      <c r="G584" s="10"/>
      <c r="H584" s="53">
        <f>H585</f>
        <v>5479980</v>
      </c>
      <c r="I584" s="43"/>
    </row>
    <row r="585" spans="1:10" s="28" customFormat="1" ht="47.25" x14ac:dyDescent="0.25">
      <c r="A585" s="27">
        <v>110252101</v>
      </c>
      <c r="B585" s="26" t="s">
        <v>301</v>
      </c>
      <c r="C585" s="12" t="s">
        <v>404</v>
      </c>
      <c r="D585" s="6">
        <v>11</v>
      </c>
      <c r="E585" s="6" t="s">
        <v>567</v>
      </c>
      <c r="F585" s="19" t="s">
        <v>300</v>
      </c>
      <c r="G585" s="10"/>
      <c r="H585" s="53">
        <f>H586+H588+H590+H592+H594+H596+H598+H600+H602+H604</f>
        <v>5479980</v>
      </c>
      <c r="I585" s="43"/>
    </row>
    <row r="586" spans="1:10" s="28" customFormat="1" ht="110.25" x14ac:dyDescent="0.25">
      <c r="A586" s="27">
        <v>11025210101</v>
      </c>
      <c r="B586" s="26" t="s">
        <v>689</v>
      </c>
      <c r="C586" s="12" t="s">
        <v>404</v>
      </c>
      <c r="D586" s="6">
        <v>11</v>
      </c>
      <c r="E586" s="6" t="s">
        <v>567</v>
      </c>
      <c r="F586" s="19" t="s">
        <v>302</v>
      </c>
      <c r="G586" s="10"/>
      <c r="H586" s="53">
        <f>H587</f>
        <v>3112363</v>
      </c>
      <c r="J586" s="81"/>
    </row>
    <row r="587" spans="1:10" s="28" customFormat="1" x14ac:dyDescent="0.25">
      <c r="A587" s="27">
        <v>11025210101010</v>
      </c>
      <c r="B587" s="26" t="s">
        <v>783</v>
      </c>
      <c r="C587" s="12" t="s">
        <v>404</v>
      </c>
      <c r="D587" s="6">
        <v>11</v>
      </c>
      <c r="E587" s="6" t="s">
        <v>567</v>
      </c>
      <c r="F587" s="19" t="s">
        <v>302</v>
      </c>
      <c r="G587" s="12" t="s">
        <v>408</v>
      </c>
      <c r="H587" s="53">
        <v>3112363</v>
      </c>
      <c r="J587" s="72"/>
    </row>
    <row r="588" spans="1:10" s="28" customFormat="1" ht="80.25" customHeight="1" x14ac:dyDescent="0.25">
      <c r="A588" s="27">
        <v>11025210102</v>
      </c>
      <c r="B588" s="26" t="s">
        <v>1090</v>
      </c>
      <c r="C588" s="12" t="s">
        <v>404</v>
      </c>
      <c r="D588" s="6">
        <v>11</v>
      </c>
      <c r="E588" s="6" t="s">
        <v>567</v>
      </c>
      <c r="F588" s="19" t="s">
        <v>690</v>
      </c>
      <c r="G588" s="10"/>
      <c r="H588" s="53">
        <f>H589</f>
        <v>45418</v>
      </c>
      <c r="J588" s="81"/>
    </row>
    <row r="589" spans="1:10" s="28" customFormat="1" x14ac:dyDescent="0.25">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25">
      <c r="A590" s="27">
        <v>11025210103</v>
      </c>
      <c r="B590" s="26" t="s">
        <v>1128</v>
      </c>
      <c r="C590" s="12" t="s">
        <v>404</v>
      </c>
      <c r="D590" s="6">
        <v>11</v>
      </c>
      <c r="E590" s="6" t="s">
        <v>567</v>
      </c>
      <c r="F590" s="19" t="s">
        <v>1359</v>
      </c>
      <c r="G590" s="10"/>
      <c r="H590" s="53">
        <f>H591</f>
        <v>390000</v>
      </c>
      <c r="J590" s="81"/>
    </row>
    <row r="591" spans="1:10" s="28" customFormat="1" x14ac:dyDescent="0.25">
      <c r="A591" s="27">
        <v>11025210103010</v>
      </c>
      <c r="B591" s="26" t="s">
        <v>783</v>
      </c>
      <c r="C591" s="12" t="s">
        <v>404</v>
      </c>
      <c r="D591" s="6">
        <v>11</v>
      </c>
      <c r="E591" s="6" t="s">
        <v>567</v>
      </c>
      <c r="F591" s="19" t="s">
        <v>1359</v>
      </c>
      <c r="G591" s="12" t="s">
        <v>408</v>
      </c>
      <c r="H591" s="53">
        <v>390000</v>
      </c>
      <c r="J591" s="72"/>
    </row>
    <row r="592" spans="1:10" s="28" customFormat="1" ht="73.5" customHeight="1" x14ac:dyDescent="0.25">
      <c r="A592" s="27">
        <v>11025210104</v>
      </c>
      <c r="B592" s="26" t="s">
        <v>756</v>
      </c>
      <c r="C592" s="12" t="s">
        <v>404</v>
      </c>
      <c r="D592" s="6">
        <v>11</v>
      </c>
      <c r="E592" s="6" t="s">
        <v>567</v>
      </c>
      <c r="F592" s="19" t="s">
        <v>1481</v>
      </c>
      <c r="G592" s="10"/>
      <c r="H592" s="53">
        <f>H593</f>
        <v>21400</v>
      </c>
      <c r="J592" s="81"/>
    </row>
    <row r="593" spans="1:10" s="28" customFormat="1" x14ac:dyDescent="0.25">
      <c r="A593" s="27">
        <v>11025210104010</v>
      </c>
      <c r="B593" s="26" t="s">
        <v>783</v>
      </c>
      <c r="C593" s="12" t="s">
        <v>404</v>
      </c>
      <c r="D593" s="6">
        <v>11</v>
      </c>
      <c r="E593" s="6" t="s">
        <v>567</v>
      </c>
      <c r="F593" s="19" t="s">
        <v>1481</v>
      </c>
      <c r="G593" s="12" t="s">
        <v>408</v>
      </c>
      <c r="H593" s="53">
        <v>21400</v>
      </c>
      <c r="J593" s="72"/>
    </row>
    <row r="594" spans="1:10" s="28" customFormat="1" ht="76.5" customHeight="1" x14ac:dyDescent="0.25">
      <c r="A594" s="27">
        <v>11025210105</v>
      </c>
      <c r="B594" s="26" t="s">
        <v>684</v>
      </c>
      <c r="C594" s="12" t="s">
        <v>404</v>
      </c>
      <c r="D594" s="6">
        <v>11</v>
      </c>
      <c r="E594" s="6" t="s">
        <v>567</v>
      </c>
      <c r="F594" s="19" t="s">
        <v>757</v>
      </c>
      <c r="G594" s="10"/>
      <c r="H594" s="53">
        <f>H595</f>
        <v>37000</v>
      </c>
      <c r="J594" s="81"/>
    </row>
    <row r="595" spans="1:10" s="28" customFormat="1" x14ac:dyDescent="0.25">
      <c r="A595" s="27">
        <v>11025210105010</v>
      </c>
      <c r="B595" s="26" t="s">
        <v>783</v>
      </c>
      <c r="C595" s="12" t="s">
        <v>404</v>
      </c>
      <c r="D595" s="6">
        <v>11</v>
      </c>
      <c r="E595" s="6" t="s">
        <v>567</v>
      </c>
      <c r="F595" s="19" t="s">
        <v>757</v>
      </c>
      <c r="G595" s="12" t="s">
        <v>408</v>
      </c>
      <c r="H595" s="53">
        <v>37000</v>
      </c>
      <c r="J595" s="72"/>
    </row>
    <row r="596" spans="1:10" s="28" customFormat="1" ht="78.75" x14ac:dyDescent="0.25">
      <c r="A596" s="27">
        <v>11025210106</v>
      </c>
      <c r="B596" s="26" t="s">
        <v>516</v>
      </c>
      <c r="C596" s="12" t="s">
        <v>404</v>
      </c>
      <c r="D596" s="6">
        <v>11</v>
      </c>
      <c r="E596" s="6" t="s">
        <v>567</v>
      </c>
      <c r="F596" s="19" t="s">
        <v>1504</v>
      </c>
      <c r="G596" s="10"/>
      <c r="H596" s="53">
        <f>H597</f>
        <v>14000</v>
      </c>
      <c r="J596" s="81"/>
    </row>
    <row r="597" spans="1:10" s="28" customFormat="1" x14ac:dyDescent="0.25">
      <c r="A597" s="27">
        <v>11025210106010</v>
      </c>
      <c r="B597" s="26" t="s">
        <v>783</v>
      </c>
      <c r="C597" s="12" t="s">
        <v>404</v>
      </c>
      <c r="D597" s="6">
        <v>11</v>
      </c>
      <c r="E597" s="6" t="s">
        <v>567</v>
      </c>
      <c r="F597" s="19" t="s">
        <v>1504</v>
      </c>
      <c r="G597" s="12" t="s">
        <v>408</v>
      </c>
      <c r="H597" s="53">
        <v>14000</v>
      </c>
      <c r="J597" s="72"/>
    </row>
    <row r="598" spans="1:10" s="28" customFormat="1" ht="63" hidden="1" x14ac:dyDescent="0.25">
      <c r="A598" s="27">
        <v>11025210107</v>
      </c>
      <c r="B598" s="26" t="s">
        <v>1267</v>
      </c>
      <c r="C598" s="12" t="s">
        <v>404</v>
      </c>
      <c r="D598" s="6">
        <v>11</v>
      </c>
      <c r="E598" s="6" t="s">
        <v>567</v>
      </c>
      <c r="F598" s="19" t="s">
        <v>400</v>
      </c>
      <c r="G598" s="10"/>
      <c r="H598" s="53">
        <f>H599</f>
        <v>0</v>
      </c>
      <c r="J598" s="81"/>
    </row>
    <row r="599" spans="1:10" s="28" customFormat="1" hidden="1" x14ac:dyDescent="0.25">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25">
      <c r="A600" s="27">
        <v>11025210108</v>
      </c>
      <c r="B600" s="26" t="s">
        <v>1058</v>
      </c>
      <c r="C600" s="12" t="s">
        <v>404</v>
      </c>
      <c r="D600" s="6">
        <v>11</v>
      </c>
      <c r="E600" s="6" t="s">
        <v>567</v>
      </c>
      <c r="F600" s="19" t="s">
        <v>1268</v>
      </c>
      <c r="G600" s="10"/>
      <c r="H600" s="53">
        <f>H601</f>
        <v>59309</v>
      </c>
      <c r="J600" s="81"/>
    </row>
    <row r="601" spans="1:10" s="28" customFormat="1" x14ac:dyDescent="0.25">
      <c r="A601" s="27">
        <v>11025210108010</v>
      </c>
      <c r="B601" s="26" t="s">
        <v>783</v>
      </c>
      <c r="C601" s="12" t="s">
        <v>404</v>
      </c>
      <c r="D601" s="6">
        <v>11</v>
      </c>
      <c r="E601" s="6" t="s">
        <v>567</v>
      </c>
      <c r="F601" s="19" t="s">
        <v>1268</v>
      </c>
      <c r="G601" s="12" t="s">
        <v>408</v>
      </c>
      <c r="H601" s="53">
        <v>59309</v>
      </c>
      <c r="J601" s="72"/>
    </row>
    <row r="602" spans="1:10" s="28" customFormat="1" ht="78.75" x14ac:dyDescent="0.25">
      <c r="A602" s="27">
        <v>11025210109</v>
      </c>
      <c r="B602" s="26" t="s">
        <v>858</v>
      </c>
      <c r="C602" s="12" t="s">
        <v>404</v>
      </c>
      <c r="D602" s="6">
        <v>11</v>
      </c>
      <c r="E602" s="6" t="s">
        <v>567</v>
      </c>
      <c r="F602" s="19" t="s">
        <v>1159</v>
      </c>
      <c r="G602" s="10"/>
      <c r="H602" s="230">
        <f>H603</f>
        <v>400000</v>
      </c>
      <c r="J602" s="72"/>
    </row>
    <row r="603" spans="1:10" s="28" customFormat="1" x14ac:dyDescent="0.25">
      <c r="A603" s="27">
        <v>11025210109010</v>
      </c>
      <c r="B603" s="26" t="s">
        <v>783</v>
      </c>
      <c r="C603" s="12" t="s">
        <v>404</v>
      </c>
      <c r="D603" s="6">
        <v>11</v>
      </c>
      <c r="E603" s="6" t="s">
        <v>567</v>
      </c>
      <c r="F603" s="19" t="s">
        <v>1159</v>
      </c>
      <c r="G603" s="12" t="s">
        <v>408</v>
      </c>
      <c r="H603" s="230">
        <v>400000</v>
      </c>
      <c r="J603" s="72"/>
    </row>
    <row r="604" spans="1:10" s="28" customFormat="1" ht="126" x14ac:dyDescent="0.25">
      <c r="A604" s="27">
        <v>11025210113</v>
      </c>
      <c r="B604" s="26" t="s">
        <v>2</v>
      </c>
      <c r="C604" s="12" t="s">
        <v>404</v>
      </c>
      <c r="D604" s="6">
        <v>11</v>
      </c>
      <c r="E604" s="6" t="s">
        <v>567</v>
      </c>
      <c r="F604" s="19" t="s">
        <v>245</v>
      </c>
      <c r="G604" s="10"/>
      <c r="H604" s="53">
        <f>H605</f>
        <v>1400490</v>
      </c>
      <c r="J604" s="81"/>
    </row>
    <row r="605" spans="1:10" s="28" customFormat="1" x14ac:dyDescent="0.25">
      <c r="A605" s="27">
        <v>11025210113010</v>
      </c>
      <c r="B605" s="26" t="s">
        <v>783</v>
      </c>
      <c r="C605" s="12" t="s">
        <v>404</v>
      </c>
      <c r="D605" s="6">
        <v>11</v>
      </c>
      <c r="E605" s="6" t="s">
        <v>567</v>
      </c>
      <c r="F605" s="19" t="s">
        <v>245</v>
      </c>
      <c r="G605" s="12" t="s">
        <v>408</v>
      </c>
      <c r="H605" s="53">
        <f>1408490-8000</f>
        <v>1400490</v>
      </c>
      <c r="J605" s="72"/>
    </row>
    <row r="606" spans="1:10" s="28" customFormat="1" x14ac:dyDescent="0.25">
      <c r="A606" s="27">
        <v>1102522</v>
      </c>
      <c r="B606" s="26" t="s">
        <v>153</v>
      </c>
      <c r="C606" s="12" t="s">
        <v>404</v>
      </c>
      <c r="D606" s="6">
        <v>11</v>
      </c>
      <c r="E606" s="6" t="s">
        <v>567</v>
      </c>
      <c r="F606" s="19" t="s">
        <v>611</v>
      </c>
      <c r="G606" s="10"/>
      <c r="H606" s="53">
        <f>H607+H612</f>
        <v>140570</v>
      </c>
      <c r="J606" s="81"/>
    </row>
    <row r="607" spans="1:10" s="28" customFormat="1" x14ac:dyDescent="0.25">
      <c r="A607" s="27">
        <v>110252202</v>
      </c>
      <c r="B607" s="26" t="s">
        <v>883</v>
      </c>
      <c r="C607" s="12" t="s">
        <v>404</v>
      </c>
      <c r="D607" s="6">
        <v>11</v>
      </c>
      <c r="E607" s="6" t="s">
        <v>567</v>
      </c>
      <c r="F607" s="19" t="s">
        <v>1169</v>
      </c>
      <c r="G607" s="10"/>
      <c r="H607" s="53">
        <f>H608+H610</f>
        <v>115530</v>
      </c>
      <c r="J607" s="81"/>
    </row>
    <row r="608" spans="1:10" s="178" customFormat="1" ht="32.25" customHeight="1" x14ac:dyDescent="0.25">
      <c r="A608" s="199">
        <v>11025220202</v>
      </c>
      <c r="B608" s="200" t="s">
        <v>1720</v>
      </c>
      <c r="C608" s="25" t="s">
        <v>404</v>
      </c>
      <c r="D608" s="25">
        <v>11</v>
      </c>
      <c r="E608" s="25" t="s">
        <v>567</v>
      </c>
      <c r="F608" s="11" t="s">
        <v>247</v>
      </c>
      <c r="G608" s="25"/>
      <c r="H608" s="53">
        <f>H609</f>
        <v>35530</v>
      </c>
    </row>
    <row r="609" spans="1:10" s="179" customFormat="1" x14ac:dyDescent="0.25">
      <c r="A609" s="188">
        <v>11025220202010</v>
      </c>
      <c r="B609" s="26" t="s">
        <v>783</v>
      </c>
      <c r="C609" s="25" t="s">
        <v>404</v>
      </c>
      <c r="D609" s="25">
        <v>11</v>
      </c>
      <c r="E609" s="25" t="s">
        <v>567</v>
      </c>
      <c r="F609" s="11" t="s">
        <v>247</v>
      </c>
      <c r="G609" s="12" t="s">
        <v>408</v>
      </c>
      <c r="H609" s="53">
        <v>35530</v>
      </c>
    </row>
    <row r="610" spans="1:10" s="28" customFormat="1" x14ac:dyDescent="0.25">
      <c r="A610" s="27">
        <v>11025220204</v>
      </c>
      <c r="B610" s="26" t="s">
        <v>186</v>
      </c>
      <c r="C610" s="12" t="s">
        <v>404</v>
      </c>
      <c r="D610" s="6">
        <v>11</v>
      </c>
      <c r="E610" s="6" t="s">
        <v>567</v>
      </c>
      <c r="F610" s="19" t="s">
        <v>750</v>
      </c>
      <c r="G610" s="10"/>
      <c r="H610" s="53">
        <f>H611</f>
        <v>80000</v>
      </c>
      <c r="J610" s="81"/>
    </row>
    <row r="611" spans="1:10" s="28" customFormat="1" x14ac:dyDescent="0.25">
      <c r="A611" s="27">
        <v>11025220204010</v>
      </c>
      <c r="B611" s="26" t="s">
        <v>783</v>
      </c>
      <c r="C611" s="12" t="s">
        <v>404</v>
      </c>
      <c r="D611" s="6">
        <v>11</v>
      </c>
      <c r="E611" s="6" t="s">
        <v>567</v>
      </c>
      <c r="F611" s="19" t="s">
        <v>750</v>
      </c>
      <c r="G611" s="12" t="s">
        <v>408</v>
      </c>
      <c r="H611" s="53">
        <v>80000</v>
      </c>
      <c r="J611" s="72"/>
    </row>
    <row r="612" spans="1:10" s="147" customFormat="1" ht="47.25" x14ac:dyDescent="0.25">
      <c r="A612" s="188">
        <v>110252212</v>
      </c>
      <c r="B612" s="38" t="s">
        <v>78</v>
      </c>
      <c r="C612" s="25" t="s">
        <v>404</v>
      </c>
      <c r="D612" s="24">
        <v>11</v>
      </c>
      <c r="E612" s="24" t="s">
        <v>567</v>
      </c>
      <c r="F612" s="80" t="s">
        <v>77</v>
      </c>
      <c r="G612" s="11"/>
      <c r="H612" s="230">
        <f>H613+H615</f>
        <v>25040</v>
      </c>
      <c r="J612" s="156"/>
    </row>
    <row r="613" spans="1:10" s="178" customFormat="1" ht="32.25" customHeight="1" x14ac:dyDescent="0.25">
      <c r="A613" s="188">
        <v>11025221209</v>
      </c>
      <c r="B613" s="200" t="s">
        <v>1284</v>
      </c>
      <c r="C613" s="25" t="s">
        <v>404</v>
      </c>
      <c r="D613" s="25">
        <v>11</v>
      </c>
      <c r="E613" s="25" t="s">
        <v>567</v>
      </c>
      <c r="F613" s="11" t="s">
        <v>796</v>
      </c>
      <c r="G613" s="25"/>
      <c r="H613" s="230">
        <f>H614</f>
        <v>5200</v>
      </c>
    </row>
    <row r="614" spans="1:10" s="179" customFormat="1" x14ac:dyDescent="0.25">
      <c r="A614" s="188">
        <v>11025221209010</v>
      </c>
      <c r="B614" s="38" t="s">
        <v>783</v>
      </c>
      <c r="C614" s="25" t="s">
        <v>404</v>
      </c>
      <c r="D614" s="25">
        <v>11</v>
      </c>
      <c r="E614" s="25" t="s">
        <v>567</v>
      </c>
      <c r="F614" s="11" t="s">
        <v>796</v>
      </c>
      <c r="G614" s="25" t="s">
        <v>408</v>
      </c>
      <c r="H614" s="230">
        <v>5200</v>
      </c>
    </row>
    <row r="615" spans="1:10" s="178" customFormat="1" x14ac:dyDescent="0.25">
      <c r="A615" s="188">
        <v>11025221210</v>
      </c>
      <c r="B615" s="200" t="s">
        <v>1286</v>
      </c>
      <c r="C615" s="25" t="s">
        <v>404</v>
      </c>
      <c r="D615" s="25">
        <v>11</v>
      </c>
      <c r="E615" s="25" t="s">
        <v>567</v>
      </c>
      <c r="F615" s="11" t="s">
        <v>1285</v>
      </c>
      <c r="G615" s="25"/>
      <c r="H615" s="230">
        <f>H616</f>
        <v>19840</v>
      </c>
    </row>
    <row r="616" spans="1:10" s="179" customFormat="1" x14ac:dyDescent="0.25">
      <c r="A616" s="188">
        <v>11025221210010</v>
      </c>
      <c r="B616" s="38" t="s">
        <v>783</v>
      </c>
      <c r="C616" s="25" t="s">
        <v>404</v>
      </c>
      <c r="D616" s="25">
        <v>11</v>
      </c>
      <c r="E616" s="25" t="s">
        <v>567</v>
      </c>
      <c r="F616" s="11" t="s">
        <v>1285</v>
      </c>
      <c r="G616" s="25" t="s">
        <v>408</v>
      </c>
      <c r="H616" s="230">
        <v>19840</v>
      </c>
    </row>
    <row r="617" spans="1:10" s="147" customFormat="1" ht="36.75" customHeight="1" x14ac:dyDescent="0.25">
      <c r="A617" s="188">
        <v>1102523</v>
      </c>
      <c r="B617" s="38" t="s">
        <v>480</v>
      </c>
      <c r="C617" s="25" t="s">
        <v>404</v>
      </c>
      <c r="D617" s="24">
        <v>11</v>
      </c>
      <c r="E617" s="24" t="s">
        <v>567</v>
      </c>
      <c r="F617" s="80" t="s">
        <v>1216</v>
      </c>
      <c r="G617" s="11"/>
      <c r="H617" s="53">
        <f>H618</f>
        <v>1115615</v>
      </c>
      <c r="J617" s="156"/>
    </row>
    <row r="618" spans="1:10" s="147" customFormat="1" x14ac:dyDescent="0.25">
      <c r="A618" s="188">
        <v>110252301</v>
      </c>
      <c r="B618" s="38" t="s">
        <v>672</v>
      </c>
      <c r="C618" s="25" t="s">
        <v>404</v>
      </c>
      <c r="D618" s="24">
        <v>11</v>
      </c>
      <c r="E618" s="24" t="s">
        <v>567</v>
      </c>
      <c r="F618" s="80" t="s">
        <v>318</v>
      </c>
      <c r="G618" s="11"/>
      <c r="H618" s="53">
        <f>H619+H621</f>
        <v>1115615</v>
      </c>
      <c r="J618" s="156"/>
    </row>
    <row r="619" spans="1:10" s="147" customFormat="1" ht="110.25" x14ac:dyDescent="0.25">
      <c r="A619" s="188">
        <v>11025230101</v>
      </c>
      <c r="B619" s="38" t="s">
        <v>1220</v>
      </c>
      <c r="C619" s="25" t="s">
        <v>404</v>
      </c>
      <c r="D619" s="24">
        <v>11</v>
      </c>
      <c r="E619" s="24" t="s">
        <v>567</v>
      </c>
      <c r="F619" s="80" t="s">
        <v>380</v>
      </c>
      <c r="G619" s="11"/>
      <c r="H619" s="53">
        <f>H620</f>
        <v>478581</v>
      </c>
      <c r="J619" s="156"/>
    </row>
    <row r="620" spans="1:10" s="147" customFormat="1" x14ac:dyDescent="0.25">
      <c r="A620" s="188">
        <v>11025230101010</v>
      </c>
      <c r="B620" s="38" t="s">
        <v>783</v>
      </c>
      <c r="C620" s="25" t="s">
        <v>404</v>
      </c>
      <c r="D620" s="24">
        <v>11</v>
      </c>
      <c r="E620" s="24" t="s">
        <v>567</v>
      </c>
      <c r="F620" s="80" t="s">
        <v>380</v>
      </c>
      <c r="G620" s="25" t="s">
        <v>408</v>
      </c>
      <c r="H620" s="53">
        <v>478581</v>
      </c>
      <c r="J620" s="72"/>
    </row>
    <row r="621" spans="1:10" s="147" customFormat="1" ht="94.5" x14ac:dyDescent="0.25">
      <c r="A621" s="188">
        <v>11025230102</v>
      </c>
      <c r="B621" s="38" t="s">
        <v>836</v>
      </c>
      <c r="C621" s="25" t="s">
        <v>404</v>
      </c>
      <c r="D621" s="24">
        <v>11</v>
      </c>
      <c r="E621" s="24" t="s">
        <v>567</v>
      </c>
      <c r="F621" s="80" t="s">
        <v>381</v>
      </c>
      <c r="G621" s="11"/>
      <c r="H621" s="53">
        <f>H622</f>
        <v>637034</v>
      </c>
      <c r="J621" s="156"/>
    </row>
    <row r="622" spans="1:10" s="147" customFormat="1" x14ac:dyDescent="0.25">
      <c r="A622" s="188">
        <v>11025230102010</v>
      </c>
      <c r="B622" s="38" t="s">
        <v>783</v>
      </c>
      <c r="C622" s="25" t="s">
        <v>404</v>
      </c>
      <c r="D622" s="24">
        <v>11</v>
      </c>
      <c r="E622" s="24" t="s">
        <v>567</v>
      </c>
      <c r="F622" s="80" t="s">
        <v>381</v>
      </c>
      <c r="G622" s="25" t="s">
        <v>408</v>
      </c>
      <c r="H622" s="53">
        <v>637034</v>
      </c>
      <c r="J622" s="72"/>
    </row>
    <row r="623" spans="1:10" s="155" customFormat="1" ht="31.5" x14ac:dyDescent="0.25">
      <c r="A623" s="188">
        <v>1103</v>
      </c>
      <c r="B623" s="38" t="s">
        <v>277</v>
      </c>
      <c r="C623" s="25" t="s">
        <v>404</v>
      </c>
      <c r="D623" s="24">
        <v>11</v>
      </c>
      <c r="E623" s="24" t="s">
        <v>193</v>
      </c>
      <c r="F623" s="11"/>
      <c r="G623" s="11"/>
      <c r="H623" s="53">
        <f>H624+H629+H632+H638+H643+H653</f>
        <v>34352512</v>
      </c>
      <c r="I623" s="153"/>
      <c r="J623" s="154"/>
    </row>
    <row r="624" spans="1:10" s="28" customFormat="1" x14ac:dyDescent="0.25">
      <c r="A624" s="27">
        <v>1103001</v>
      </c>
      <c r="B624" s="196" t="s">
        <v>637</v>
      </c>
      <c r="C624" s="12" t="s">
        <v>404</v>
      </c>
      <c r="D624" s="6">
        <v>11</v>
      </c>
      <c r="E624" s="6" t="s">
        <v>193</v>
      </c>
      <c r="F624" s="19" t="s">
        <v>1096</v>
      </c>
      <c r="G624" s="6"/>
      <c r="H624" s="53">
        <f>H625+H627</f>
        <v>103976</v>
      </c>
    </row>
    <row r="625" spans="1:8" s="28" customFormat="1" ht="31.5" x14ac:dyDescent="0.25">
      <c r="A625" s="27">
        <v>110300136</v>
      </c>
      <c r="B625" s="196" t="s">
        <v>494</v>
      </c>
      <c r="C625" s="12" t="s">
        <v>404</v>
      </c>
      <c r="D625" s="6">
        <v>11</v>
      </c>
      <c r="E625" s="6" t="s">
        <v>193</v>
      </c>
      <c r="F625" s="19" t="s">
        <v>1399</v>
      </c>
      <c r="G625" s="6"/>
      <c r="H625" s="53">
        <f>H626</f>
        <v>90840</v>
      </c>
    </row>
    <row r="626" spans="1:8" s="28" customFormat="1" x14ac:dyDescent="0.25">
      <c r="A626" s="27">
        <v>110300136009</v>
      </c>
      <c r="B626" s="196" t="s">
        <v>1565</v>
      </c>
      <c r="C626" s="12" t="s">
        <v>404</v>
      </c>
      <c r="D626" s="6">
        <v>11</v>
      </c>
      <c r="E626" s="6" t="s">
        <v>193</v>
      </c>
      <c r="F626" s="19" t="s">
        <v>1399</v>
      </c>
      <c r="G626" s="197" t="s">
        <v>569</v>
      </c>
      <c r="H626" s="53">
        <v>90840</v>
      </c>
    </row>
    <row r="627" spans="1:8" s="28" customFormat="1" ht="47.25" x14ac:dyDescent="0.25">
      <c r="A627" s="27">
        <v>110300140</v>
      </c>
      <c r="B627" s="196" t="s">
        <v>679</v>
      </c>
      <c r="C627" s="12" t="s">
        <v>404</v>
      </c>
      <c r="D627" s="6">
        <v>11</v>
      </c>
      <c r="E627" s="6" t="s">
        <v>193</v>
      </c>
      <c r="F627" s="19" t="s">
        <v>680</v>
      </c>
      <c r="G627" s="6"/>
      <c r="H627" s="53">
        <f>H628</f>
        <v>13136</v>
      </c>
    </row>
    <row r="628" spans="1:8" s="28" customFormat="1" x14ac:dyDescent="0.25">
      <c r="A628" s="27">
        <v>110300140009</v>
      </c>
      <c r="B628" s="196" t="s">
        <v>1565</v>
      </c>
      <c r="C628" s="12" t="s">
        <v>404</v>
      </c>
      <c r="D628" s="6">
        <v>11</v>
      </c>
      <c r="E628" s="6" t="s">
        <v>193</v>
      </c>
      <c r="F628" s="19" t="s">
        <v>680</v>
      </c>
      <c r="G628" s="197" t="s">
        <v>569</v>
      </c>
      <c r="H628" s="53">
        <v>13136</v>
      </c>
    </row>
    <row r="629" spans="1:8" s="28" customFormat="1" x14ac:dyDescent="0.25">
      <c r="A629" s="27">
        <v>1103202</v>
      </c>
      <c r="B629" s="196" t="s">
        <v>1161</v>
      </c>
      <c r="C629" s="12" t="s">
        <v>404</v>
      </c>
      <c r="D629" s="6">
        <v>11</v>
      </c>
      <c r="E629" s="6" t="s">
        <v>193</v>
      </c>
      <c r="F629" s="19" t="s">
        <v>621</v>
      </c>
      <c r="G629" s="6"/>
      <c r="H629" s="53">
        <f>H630</f>
        <v>27834</v>
      </c>
    </row>
    <row r="630" spans="1:8" s="28" customFormat="1" ht="63" x14ac:dyDescent="0.25">
      <c r="A630" s="27">
        <v>110320201</v>
      </c>
      <c r="B630" s="196" t="s">
        <v>216</v>
      </c>
      <c r="C630" s="12" t="s">
        <v>404</v>
      </c>
      <c r="D630" s="6">
        <v>11</v>
      </c>
      <c r="E630" s="6" t="s">
        <v>193</v>
      </c>
      <c r="F630" s="19" t="s">
        <v>495</v>
      </c>
      <c r="G630" s="6"/>
      <c r="H630" s="53">
        <f>H631</f>
        <v>27834</v>
      </c>
    </row>
    <row r="631" spans="1:8" s="28" customFormat="1" x14ac:dyDescent="0.25">
      <c r="A631" s="27">
        <v>110320201009</v>
      </c>
      <c r="B631" s="196" t="s">
        <v>1565</v>
      </c>
      <c r="C631" s="12" t="s">
        <v>404</v>
      </c>
      <c r="D631" s="6">
        <v>11</v>
      </c>
      <c r="E631" s="6" t="s">
        <v>193</v>
      </c>
      <c r="F631" s="19" t="s">
        <v>495</v>
      </c>
      <c r="G631" s="197" t="s">
        <v>569</v>
      </c>
      <c r="H631" s="53">
        <v>27834</v>
      </c>
    </row>
    <row r="632" spans="1:8" s="147" customFormat="1" x14ac:dyDescent="0.25">
      <c r="A632" s="188">
        <v>1103436</v>
      </c>
      <c r="B632" s="201" t="s">
        <v>625</v>
      </c>
      <c r="C632" s="25" t="s">
        <v>404</v>
      </c>
      <c r="D632" s="24">
        <v>11</v>
      </c>
      <c r="E632" s="24" t="s">
        <v>193</v>
      </c>
      <c r="F632" s="80" t="s">
        <v>399</v>
      </c>
      <c r="G632" s="24"/>
      <c r="H632" s="53">
        <f>H633</f>
        <v>161400</v>
      </c>
    </row>
    <row r="633" spans="1:8" s="147" customFormat="1" x14ac:dyDescent="0.25">
      <c r="A633" s="188">
        <v>110343602</v>
      </c>
      <c r="B633" s="201" t="s">
        <v>688</v>
      </c>
      <c r="C633" s="25" t="s">
        <v>404</v>
      </c>
      <c r="D633" s="24">
        <v>11</v>
      </c>
      <c r="E633" s="24" t="s">
        <v>193</v>
      </c>
      <c r="F633" s="80" t="s">
        <v>685</v>
      </c>
      <c r="G633" s="24"/>
      <c r="H633" s="53">
        <f>H634+H636</f>
        <v>161400</v>
      </c>
    </row>
    <row r="634" spans="1:8" s="147" customFormat="1" ht="93" customHeight="1" x14ac:dyDescent="0.25">
      <c r="A634" s="188">
        <v>11034360201</v>
      </c>
      <c r="B634" s="201" t="s">
        <v>299</v>
      </c>
      <c r="C634" s="25" t="s">
        <v>404</v>
      </c>
      <c r="D634" s="24">
        <v>11</v>
      </c>
      <c r="E634" s="24" t="s">
        <v>193</v>
      </c>
      <c r="F634" s="80" t="s">
        <v>686</v>
      </c>
      <c r="G634" s="24"/>
      <c r="H634" s="53">
        <f>H635</f>
        <v>107000</v>
      </c>
    </row>
    <row r="635" spans="1:8" s="147" customFormat="1" x14ac:dyDescent="0.25">
      <c r="A635" s="188">
        <v>11034360201009</v>
      </c>
      <c r="B635" s="201" t="s">
        <v>1565</v>
      </c>
      <c r="C635" s="25" t="s">
        <v>404</v>
      </c>
      <c r="D635" s="24">
        <v>11</v>
      </c>
      <c r="E635" s="24" t="s">
        <v>193</v>
      </c>
      <c r="F635" s="80" t="s">
        <v>686</v>
      </c>
      <c r="G635" s="202" t="s">
        <v>569</v>
      </c>
      <c r="H635" s="53">
        <v>107000</v>
      </c>
    </row>
    <row r="636" spans="1:8" s="147" customFormat="1" ht="95.25" customHeight="1" x14ac:dyDescent="0.25">
      <c r="A636" s="188">
        <v>11034360202</v>
      </c>
      <c r="B636" s="201" t="s">
        <v>949</v>
      </c>
      <c r="C636" s="25" t="s">
        <v>404</v>
      </c>
      <c r="D636" s="24">
        <v>11</v>
      </c>
      <c r="E636" s="24" t="s">
        <v>193</v>
      </c>
      <c r="F636" s="80" t="s">
        <v>687</v>
      </c>
      <c r="G636" s="24"/>
      <c r="H636" s="53">
        <f>H637</f>
        <v>54400</v>
      </c>
    </row>
    <row r="637" spans="1:8" s="147" customFormat="1" x14ac:dyDescent="0.25">
      <c r="A637" s="188">
        <v>11034360202009</v>
      </c>
      <c r="B637" s="201" t="s">
        <v>1565</v>
      </c>
      <c r="C637" s="25" t="s">
        <v>404</v>
      </c>
      <c r="D637" s="24">
        <v>11</v>
      </c>
      <c r="E637" s="24" t="s">
        <v>193</v>
      </c>
      <c r="F637" s="80" t="s">
        <v>687</v>
      </c>
      <c r="G637" s="202" t="s">
        <v>569</v>
      </c>
      <c r="H637" s="53">
        <v>54400</v>
      </c>
    </row>
    <row r="638" spans="1:8" s="28" customFormat="1" x14ac:dyDescent="0.25">
      <c r="A638" s="27">
        <v>1103505</v>
      </c>
      <c r="B638" s="196" t="s">
        <v>278</v>
      </c>
      <c r="C638" s="12" t="s">
        <v>404</v>
      </c>
      <c r="D638" s="6">
        <v>11</v>
      </c>
      <c r="E638" s="6" t="s">
        <v>193</v>
      </c>
      <c r="F638" s="19" t="s">
        <v>1097</v>
      </c>
      <c r="G638" s="6"/>
      <c r="H638" s="53">
        <f>H639+H641</f>
        <v>5648889</v>
      </c>
    </row>
    <row r="639" spans="1:8" s="28" customFormat="1" ht="63" x14ac:dyDescent="0.25">
      <c r="A639" s="27">
        <v>110350536</v>
      </c>
      <c r="B639" s="196" t="s">
        <v>739</v>
      </c>
      <c r="C639" s="12" t="s">
        <v>404</v>
      </c>
      <c r="D639" s="6">
        <v>11</v>
      </c>
      <c r="E639" s="6" t="s">
        <v>193</v>
      </c>
      <c r="F639" s="19" t="s">
        <v>1027</v>
      </c>
      <c r="G639" s="6"/>
      <c r="H639" s="53">
        <f>H640</f>
        <v>805870</v>
      </c>
    </row>
    <row r="640" spans="1:8" s="28" customFormat="1" x14ac:dyDescent="0.25">
      <c r="A640" s="27">
        <v>110350536009</v>
      </c>
      <c r="B640" s="196" t="s">
        <v>1565</v>
      </c>
      <c r="C640" s="12" t="s">
        <v>404</v>
      </c>
      <c r="D640" s="6">
        <v>11</v>
      </c>
      <c r="E640" s="6" t="s">
        <v>193</v>
      </c>
      <c r="F640" s="19" t="s">
        <v>1027</v>
      </c>
      <c r="G640" s="197" t="s">
        <v>569</v>
      </c>
      <c r="H640" s="53">
        <v>805870</v>
      </c>
    </row>
    <row r="641" spans="1:10" s="28" customFormat="1" ht="31.5" x14ac:dyDescent="0.25">
      <c r="A641" s="27">
        <v>110350548</v>
      </c>
      <c r="B641" s="196" t="s">
        <v>652</v>
      </c>
      <c r="C641" s="12" t="s">
        <v>404</v>
      </c>
      <c r="D641" s="6">
        <v>11</v>
      </c>
      <c r="E641" s="6" t="s">
        <v>193</v>
      </c>
      <c r="F641" s="19" t="s">
        <v>327</v>
      </c>
      <c r="G641" s="6"/>
      <c r="H641" s="53">
        <f>H642</f>
        <v>4843019</v>
      </c>
    </row>
    <row r="642" spans="1:10" s="28" customFormat="1" x14ac:dyDescent="0.25">
      <c r="A642" s="27">
        <v>110350548009</v>
      </c>
      <c r="B642" s="196" t="s">
        <v>1565</v>
      </c>
      <c r="C642" s="12" t="s">
        <v>404</v>
      </c>
      <c r="D642" s="6">
        <v>11</v>
      </c>
      <c r="E642" s="6" t="s">
        <v>193</v>
      </c>
      <c r="F642" s="19" t="s">
        <v>327</v>
      </c>
      <c r="G642" s="197" t="s">
        <v>569</v>
      </c>
      <c r="H642" s="230">
        <f>4668019+175000</f>
        <v>4843019</v>
      </c>
    </row>
    <row r="643" spans="1:10" s="147" customFormat="1" x14ac:dyDescent="0.25">
      <c r="A643" s="188">
        <v>1103520</v>
      </c>
      <c r="B643" s="38" t="s">
        <v>279</v>
      </c>
      <c r="C643" s="25" t="s">
        <v>404</v>
      </c>
      <c r="D643" s="24">
        <v>11</v>
      </c>
      <c r="E643" s="24" t="s">
        <v>193</v>
      </c>
      <c r="F643" s="80" t="s">
        <v>627</v>
      </c>
      <c r="G643" s="25"/>
      <c r="H643" s="53">
        <f>H644+H646+H651</f>
        <v>1360602</v>
      </c>
      <c r="J643" s="72"/>
    </row>
    <row r="644" spans="1:10" s="147" customFormat="1" ht="21" customHeight="1" x14ac:dyDescent="0.25">
      <c r="A644" s="188">
        <v>110352009</v>
      </c>
      <c r="B644" s="38" t="s">
        <v>951</v>
      </c>
      <c r="C644" s="25" t="s">
        <v>404</v>
      </c>
      <c r="D644" s="24">
        <v>11</v>
      </c>
      <c r="E644" s="24" t="s">
        <v>193</v>
      </c>
      <c r="F644" s="80" t="s">
        <v>950</v>
      </c>
      <c r="G644" s="11"/>
      <c r="H644" s="53">
        <f>H645</f>
        <v>369235</v>
      </c>
      <c r="J644" s="156"/>
    </row>
    <row r="645" spans="1:10" s="147" customFormat="1" x14ac:dyDescent="0.25">
      <c r="A645" s="188">
        <v>110352009009</v>
      </c>
      <c r="B645" s="201" t="s">
        <v>1565</v>
      </c>
      <c r="C645" s="25" t="s">
        <v>404</v>
      </c>
      <c r="D645" s="24">
        <v>11</v>
      </c>
      <c r="E645" s="24" t="s">
        <v>193</v>
      </c>
      <c r="F645" s="80" t="s">
        <v>950</v>
      </c>
      <c r="G645" s="202" t="s">
        <v>569</v>
      </c>
      <c r="H645" s="53">
        <v>369235</v>
      </c>
      <c r="J645" s="72"/>
    </row>
    <row r="646" spans="1:10" s="147" customFormat="1" ht="63" x14ac:dyDescent="0.25">
      <c r="A646" s="188">
        <v>110352010</v>
      </c>
      <c r="B646" s="38" t="s">
        <v>1318</v>
      </c>
      <c r="C646" s="25" t="s">
        <v>404</v>
      </c>
      <c r="D646" s="24">
        <v>11</v>
      </c>
      <c r="E646" s="24" t="s">
        <v>193</v>
      </c>
      <c r="F646" s="80" t="s">
        <v>952</v>
      </c>
      <c r="G646" s="11"/>
      <c r="H646" s="53">
        <f>H647+H649</f>
        <v>538765</v>
      </c>
      <c r="J646" s="156"/>
    </row>
    <row r="647" spans="1:10" s="147" customFormat="1" ht="93" customHeight="1" x14ac:dyDescent="0.25">
      <c r="A647" s="188">
        <v>11035201001</v>
      </c>
      <c r="B647" s="196" t="s">
        <v>30</v>
      </c>
      <c r="C647" s="25" t="s">
        <v>404</v>
      </c>
      <c r="D647" s="24">
        <v>11</v>
      </c>
      <c r="E647" s="24" t="s">
        <v>193</v>
      </c>
      <c r="F647" s="80" t="s">
        <v>347</v>
      </c>
      <c r="G647" s="11"/>
      <c r="H647" s="53">
        <f>H648</f>
        <v>488765</v>
      </c>
      <c r="J647" s="156"/>
    </row>
    <row r="648" spans="1:10" s="147" customFormat="1" x14ac:dyDescent="0.25">
      <c r="A648" s="188">
        <v>11035201001009</v>
      </c>
      <c r="B648" s="201" t="s">
        <v>1565</v>
      </c>
      <c r="C648" s="25" t="s">
        <v>404</v>
      </c>
      <c r="D648" s="24">
        <v>11</v>
      </c>
      <c r="E648" s="24" t="s">
        <v>193</v>
      </c>
      <c r="F648" s="80" t="s">
        <v>347</v>
      </c>
      <c r="G648" s="202" t="s">
        <v>569</v>
      </c>
      <c r="H648" s="53">
        <v>488765</v>
      </c>
      <c r="J648" s="72"/>
    </row>
    <row r="649" spans="1:10" s="147" customFormat="1" ht="76.5" customHeight="1" x14ac:dyDescent="0.25">
      <c r="A649" s="188">
        <v>11035201002</v>
      </c>
      <c r="B649" s="65" t="s">
        <v>75</v>
      </c>
      <c r="C649" s="25" t="s">
        <v>404</v>
      </c>
      <c r="D649" s="24">
        <v>11</v>
      </c>
      <c r="E649" s="24" t="s">
        <v>193</v>
      </c>
      <c r="F649" s="80" t="s">
        <v>1581</v>
      </c>
      <c r="G649" s="11"/>
      <c r="H649" s="53">
        <f>H650</f>
        <v>50000</v>
      </c>
      <c r="J649" s="156"/>
    </row>
    <row r="650" spans="1:10" s="147" customFormat="1" x14ac:dyDescent="0.25">
      <c r="A650" s="188">
        <v>11035201002009</v>
      </c>
      <c r="B650" s="201" t="s">
        <v>1565</v>
      </c>
      <c r="C650" s="25" t="s">
        <v>404</v>
      </c>
      <c r="D650" s="24">
        <v>11</v>
      </c>
      <c r="E650" s="24" t="s">
        <v>193</v>
      </c>
      <c r="F650" s="80" t="s">
        <v>1581</v>
      </c>
      <c r="G650" s="202" t="s">
        <v>569</v>
      </c>
      <c r="H650" s="53">
        <v>50000</v>
      </c>
      <c r="J650" s="72"/>
    </row>
    <row r="651" spans="1:10" s="147" customFormat="1" ht="49.5" customHeight="1" x14ac:dyDescent="0.25">
      <c r="A651" s="188">
        <v>110352018</v>
      </c>
      <c r="B651" s="170" t="s">
        <v>1338</v>
      </c>
      <c r="C651" s="25" t="s">
        <v>404</v>
      </c>
      <c r="D651" s="24">
        <v>11</v>
      </c>
      <c r="E651" s="24" t="s">
        <v>193</v>
      </c>
      <c r="F651" s="80" t="s">
        <v>292</v>
      </c>
      <c r="G651" s="11"/>
      <c r="H651" s="230">
        <f>H652</f>
        <v>452602</v>
      </c>
      <c r="J651" s="156"/>
    </row>
    <row r="652" spans="1:10" s="147" customFormat="1" x14ac:dyDescent="0.25">
      <c r="A652" s="188">
        <v>110352018009</v>
      </c>
      <c r="B652" s="201" t="s">
        <v>1565</v>
      </c>
      <c r="C652" s="25" t="s">
        <v>404</v>
      </c>
      <c r="D652" s="24">
        <v>11</v>
      </c>
      <c r="E652" s="24" t="s">
        <v>193</v>
      </c>
      <c r="F652" s="80" t="s">
        <v>292</v>
      </c>
      <c r="G652" s="202" t="s">
        <v>569</v>
      </c>
      <c r="H652" s="230">
        <v>452602</v>
      </c>
      <c r="J652" s="72"/>
    </row>
    <row r="653" spans="1:10" s="28" customFormat="1" x14ac:dyDescent="0.25">
      <c r="A653" s="27">
        <v>1103521</v>
      </c>
      <c r="B653" s="196" t="s">
        <v>219</v>
      </c>
      <c r="C653" s="12" t="s">
        <v>404</v>
      </c>
      <c r="D653" s="6">
        <v>11</v>
      </c>
      <c r="E653" s="6" t="s">
        <v>193</v>
      </c>
      <c r="F653" s="19" t="s">
        <v>1734</v>
      </c>
      <c r="G653" s="197"/>
      <c r="H653" s="53">
        <f>H654</f>
        <v>27049811</v>
      </c>
    </row>
    <row r="654" spans="1:10" s="28" customFormat="1" ht="47.25" x14ac:dyDescent="0.25">
      <c r="A654" s="27">
        <v>110352102</v>
      </c>
      <c r="B654" s="196" t="s">
        <v>88</v>
      </c>
      <c r="C654" s="12" t="s">
        <v>404</v>
      </c>
      <c r="D654" s="6">
        <v>11</v>
      </c>
      <c r="E654" s="6" t="s">
        <v>193</v>
      </c>
      <c r="F654" s="19" t="s">
        <v>1080</v>
      </c>
      <c r="G654" s="197"/>
      <c r="H654" s="53">
        <f>H655+H657+H659+H661+H663+H665+H667+H669+H671+H673+H675+H677+H679+H681+H683+H685+H687</f>
        <v>27049811</v>
      </c>
    </row>
    <row r="655" spans="1:10" s="147" customFormat="1" ht="162" hidden="1" customHeight="1" x14ac:dyDescent="0.25">
      <c r="A655" s="188">
        <v>11035210201</v>
      </c>
      <c r="B655" s="201" t="s">
        <v>1070</v>
      </c>
      <c r="C655" s="25" t="s">
        <v>404</v>
      </c>
      <c r="D655" s="24">
        <v>11</v>
      </c>
      <c r="E655" s="24" t="s">
        <v>193</v>
      </c>
      <c r="F655" s="80" t="s">
        <v>723</v>
      </c>
      <c r="G655" s="202"/>
      <c r="H655" s="53">
        <f>H656</f>
        <v>0</v>
      </c>
    </row>
    <row r="656" spans="1:10" s="147" customFormat="1" hidden="1" x14ac:dyDescent="0.25">
      <c r="A656" s="188">
        <v>11035210201009</v>
      </c>
      <c r="B656" s="201" t="s">
        <v>1565</v>
      </c>
      <c r="C656" s="25" t="s">
        <v>404</v>
      </c>
      <c r="D656" s="24">
        <v>11</v>
      </c>
      <c r="E656" s="24" t="s">
        <v>193</v>
      </c>
      <c r="F656" s="80" t="s">
        <v>723</v>
      </c>
      <c r="G656" s="202" t="s">
        <v>569</v>
      </c>
      <c r="H656" s="230">
        <f>281-281</f>
        <v>0</v>
      </c>
    </row>
    <row r="657" spans="1:8" s="28" customFormat="1" ht="110.25" x14ac:dyDescent="0.25">
      <c r="A657" s="27">
        <v>11035210202</v>
      </c>
      <c r="B657" s="196" t="s">
        <v>1610</v>
      </c>
      <c r="C657" s="12" t="s">
        <v>404</v>
      </c>
      <c r="D657" s="6">
        <v>11</v>
      </c>
      <c r="E657" s="6" t="s">
        <v>193</v>
      </c>
      <c r="F657" s="19" t="s">
        <v>401</v>
      </c>
      <c r="G657" s="197"/>
      <c r="H657" s="230">
        <f>H658</f>
        <v>70514</v>
      </c>
    </row>
    <row r="658" spans="1:8" s="28" customFormat="1" x14ac:dyDescent="0.25">
      <c r="A658" s="27">
        <v>11035210202009</v>
      </c>
      <c r="B658" s="196" t="s">
        <v>1565</v>
      </c>
      <c r="C658" s="12" t="s">
        <v>404</v>
      </c>
      <c r="D658" s="6">
        <v>11</v>
      </c>
      <c r="E658" s="6" t="s">
        <v>193</v>
      </c>
      <c r="F658" s="19" t="s">
        <v>401</v>
      </c>
      <c r="G658" s="197" t="s">
        <v>569</v>
      </c>
      <c r="H658" s="230">
        <f>70477+37</f>
        <v>70514</v>
      </c>
    </row>
    <row r="659" spans="1:8" s="28" customFormat="1" ht="110.25" x14ac:dyDescent="0.25">
      <c r="A659" s="27">
        <v>11035210204</v>
      </c>
      <c r="B659" s="150" t="s">
        <v>1383</v>
      </c>
      <c r="C659" s="12" t="s">
        <v>404</v>
      </c>
      <c r="D659" s="6">
        <v>11</v>
      </c>
      <c r="E659" s="6" t="s">
        <v>193</v>
      </c>
      <c r="F659" s="19" t="s">
        <v>304</v>
      </c>
      <c r="G659" s="197"/>
      <c r="H659" s="53">
        <f>H660</f>
        <v>870081</v>
      </c>
    </row>
    <row r="660" spans="1:8" s="28" customFormat="1" x14ac:dyDescent="0.25">
      <c r="A660" s="27">
        <v>11035210204009</v>
      </c>
      <c r="B660" s="196" t="s">
        <v>1565</v>
      </c>
      <c r="C660" s="12" t="s">
        <v>404</v>
      </c>
      <c r="D660" s="6">
        <v>11</v>
      </c>
      <c r="E660" s="6" t="s">
        <v>193</v>
      </c>
      <c r="F660" s="19" t="s">
        <v>304</v>
      </c>
      <c r="G660" s="197" t="s">
        <v>569</v>
      </c>
      <c r="H660" s="53">
        <v>870081</v>
      </c>
    </row>
    <row r="661" spans="1:8" s="28" customFormat="1" ht="88.5" hidden="1" customHeight="1" x14ac:dyDescent="0.25">
      <c r="A661" s="27">
        <v>11035210205</v>
      </c>
      <c r="B661" s="150" t="s">
        <v>1266</v>
      </c>
      <c r="C661" s="12" t="s">
        <v>404</v>
      </c>
      <c r="D661" s="6">
        <v>11</v>
      </c>
      <c r="E661" s="6" t="s">
        <v>193</v>
      </c>
      <c r="F661" s="19" t="s">
        <v>305</v>
      </c>
      <c r="G661" s="197"/>
      <c r="H661" s="53">
        <f>H662</f>
        <v>0</v>
      </c>
    </row>
    <row r="662" spans="1:8" s="28" customFormat="1" hidden="1" x14ac:dyDescent="0.25">
      <c r="A662" s="27">
        <v>11035210205009</v>
      </c>
      <c r="B662" s="196" t="s">
        <v>1565</v>
      </c>
      <c r="C662" s="12" t="s">
        <v>404</v>
      </c>
      <c r="D662" s="6">
        <v>11</v>
      </c>
      <c r="E662" s="6" t="s">
        <v>193</v>
      </c>
      <c r="F662" s="19" t="s">
        <v>305</v>
      </c>
      <c r="G662" s="197" t="s">
        <v>569</v>
      </c>
      <c r="H662" s="230">
        <f>452602-452602</f>
        <v>0</v>
      </c>
    </row>
    <row r="663" spans="1:8" s="28" customFormat="1" ht="78.75" x14ac:dyDescent="0.25">
      <c r="A663" s="27">
        <v>11035210206</v>
      </c>
      <c r="B663" s="196" t="s">
        <v>1293</v>
      </c>
      <c r="C663" s="12" t="s">
        <v>404</v>
      </c>
      <c r="D663" s="6">
        <v>11</v>
      </c>
      <c r="E663" s="6" t="s">
        <v>193</v>
      </c>
      <c r="F663" s="19" t="s">
        <v>113</v>
      </c>
      <c r="G663" s="197"/>
      <c r="H663" s="53">
        <f>H664</f>
        <v>228615</v>
      </c>
    </row>
    <row r="664" spans="1:8" s="28" customFormat="1" x14ac:dyDescent="0.25">
      <c r="A664" s="27">
        <v>11035210206009</v>
      </c>
      <c r="B664" s="196" t="s">
        <v>1565</v>
      </c>
      <c r="C664" s="12" t="s">
        <v>404</v>
      </c>
      <c r="D664" s="6">
        <v>11</v>
      </c>
      <c r="E664" s="6" t="s">
        <v>193</v>
      </c>
      <c r="F664" s="19" t="s">
        <v>113</v>
      </c>
      <c r="G664" s="197" t="s">
        <v>569</v>
      </c>
      <c r="H664" s="53">
        <v>228615</v>
      </c>
    </row>
    <row r="665" spans="1:8" s="28" customFormat="1" ht="63" x14ac:dyDescent="0.25">
      <c r="A665" s="27">
        <v>11035210207</v>
      </c>
      <c r="B665" s="196" t="s">
        <v>986</v>
      </c>
      <c r="C665" s="12" t="s">
        <v>404</v>
      </c>
      <c r="D665" s="6">
        <v>11</v>
      </c>
      <c r="E665" s="6" t="s">
        <v>193</v>
      </c>
      <c r="F665" s="19" t="s">
        <v>1691</v>
      </c>
      <c r="G665" s="197"/>
      <c r="H665" s="53">
        <f>H666</f>
        <v>112161</v>
      </c>
    </row>
    <row r="666" spans="1:8" s="28" customFormat="1" x14ac:dyDescent="0.25">
      <c r="A666" s="27">
        <v>11035210207009</v>
      </c>
      <c r="B666" s="196" t="s">
        <v>1565</v>
      </c>
      <c r="C666" s="12" t="s">
        <v>404</v>
      </c>
      <c r="D666" s="6">
        <v>11</v>
      </c>
      <c r="E666" s="6" t="s">
        <v>193</v>
      </c>
      <c r="F666" s="19" t="s">
        <v>1691</v>
      </c>
      <c r="G666" s="197" t="s">
        <v>569</v>
      </c>
      <c r="H666" s="230">
        <f>104761+7400</f>
        <v>112161</v>
      </c>
    </row>
    <row r="667" spans="1:8" s="28" customFormat="1" ht="87" customHeight="1" x14ac:dyDescent="0.25">
      <c r="A667" s="27">
        <v>11035210208</v>
      </c>
      <c r="B667" s="196" t="s">
        <v>1534</v>
      </c>
      <c r="C667" s="12" t="s">
        <v>404</v>
      </c>
      <c r="D667" s="6">
        <v>11</v>
      </c>
      <c r="E667" s="6" t="s">
        <v>193</v>
      </c>
      <c r="F667" s="19" t="s">
        <v>1692</v>
      </c>
      <c r="G667" s="197"/>
      <c r="H667" s="53">
        <f>H668</f>
        <v>144394</v>
      </c>
    </row>
    <row r="668" spans="1:8" s="28" customFormat="1" x14ac:dyDescent="0.25">
      <c r="A668" s="27">
        <v>11035210208009</v>
      </c>
      <c r="B668" s="196" t="s">
        <v>1565</v>
      </c>
      <c r="C668" s="12" t="s">
        <v>404</v>
      </c>
      <c r="D668" s="6">
        <v>11</v>
      </c>
      <c r="E668" s="6" t="s">
        <v>193</v>
      </c>
      <c r="F668" s="19" t="s">
        <v>1692</v>
      </c>
      <c r="G668" s="197" t="s">
        <v>569</v>
      </c>
      <c r="H668" s="53">
        <v>144394</v>
      </c>
    </row>
    <row r="669" spans="1:8" s="28" customFormat="1" ht="78" customHeight="1" x14ac:dyDescent="0.25">
      <c r="A669" s="27">
        <v>11035210209</v>
      </c>
      <c r="B669" s="196" t="s">
        <v>110</v>
      </c>
      <c r="C669" s="12" t="s">
        <v>404</v>
      </c>
      <c r="D669" s="6">
        <v>11</v>
      </c>
      <c r="E669" s="6" t="s">
        <v>193</v>
      </c>
      <c r="F669" s="19" t="s">
        <v>1693</v>
      </c>
      <c r="G669" s="197"/>
      <c r="H669" s="53">
        <f>H670</f>
        <v>19306</v>
      </c>
    </row>
    <row r="670" spans="1:8" s="28" customFormat="1" x14ac:dyDescent="0.25">
      <c r="A670" s="27">
        <v>11035210209009</v>
      </c>
      <c r="B670" s="196" t="s">
        <v>1565</v>
      </c>
      <c r="C670" s="12" t="s">
        <v>404</v>
      </c>
      <c r="D670" s="6">
        <v>11</v>
      </c>
      <c r="E670" s="6" t="s">
        <v>193</v>
      </c>
      <c r="F670" s="19" t="s">
        <v>1693</v>
      </c>
      <c r="G670" s="197" t="s">
        <v>569</v>
      </c>
      <c r="H670" s="53">
        <v>19306</v>
      </c>
    </row>
    <row r="671" spans="1:8" s="28" customFormat="1" ht="230.25" customHeight="1" x14ac:dyDescent="0.25">
      <c r="A671" s="27">
        <v>11035210210</v>
      </c>
      <c r="B671" s="196" t="s">
        <v>1149</v>
      </c>
      <c r="C671" s="12" t="s">
        <v>404</v>
      </c>
      <c r="D671" s="6">
        <v>11</v>
      </c>
      <c r="E671" s="6" t="s">
        <v>193</v>
      </c>
      <c r="F671" s="19" t="s">
        <v>76</v>
      </c>
      <c r="G671" s="197"/>
      <c r="H671" s="53">
        <f>H672</f>
        <v>24468329</v>
      </c>
    </row>
    <row r="672" spans="1:8" s="28" customFormat="1" x14ac:dyDescent="0.25">
      <c r="A672" s="27">
        <v>11035210210009</v>
      </c>
      <c r="B672" s="196" t="s">
        <v>1565</v>
      </c>
      <c r="C672" s="12" t="s">
        <v>404</v>
      </c>
      <c r="D672" s="6">
        <v>11</v>
      </c>
      <c r="E672" s="6" t="s">
        <v>193</v>
      </c>
      <c r="F672" s="19" t="s">
        <v>76</v>
      </c>
      <c r="G672" s="197" t="s">
        <v>569</v>
      </c>
      <c r="H672" s="53">
        <v>24468329</v>
      </c>
    </row>
    <row r="673" spans="1:8" s="28" customFormat="1" ht="142.5" customHeight="1" x14ac:dyDescent="0.25">
      <c r="A673" s="27">
        <v>11035210211</v>
      </c>
      <c r="B673" s="196" t="s">
        <v>1418</v>
      </c>
      <c r="C673" s="12" t="s">
        <v>404</v>
      </c>
      <c r="D673" s="6">
        <v>11</v>
      </c>
      <c r="E673" s="6" t="s">
        <v>193</v>
      </c>
      <c r="F673" s="19" t="s">
        <v>643</v>
      </c>
      <c r="G673" s="197"/>
      <c r="H673" s="53">
        <f>H674</f>
        <v>358274</v>
      </c>
    </row>
    <row r="674" spans="1:8" s="28" customFormat="1" x14ac:dyDescent="0.25">
      <c r="A674" s="27">
        <v>11035210211009</v>
      </c>
      <c r="B674" s="196" t="s">
        <v>1565</v>
      </c>
      <c r="C674" s="12" t="s">
        <v>404</v>
      </c>
      <c r="D674" s="6">
        <v>11</v>
      </c>
      <c r="E674" s="6" t="s">
        <v>193</v>
      </c>
      <c r="F674" s="19" t="s">
        <v>643</v>
      </c>
      <c r="G674" s="197" t="s">
        <v>569</v>
      </c>
      <c r="H674" s="53">
        <v>358274</v>
      </c>
    </row>
    <row r="675" spans="1:8" s="28" customFormat="1" ht="108.75" customHeight="1" x14ac:dyDescent="0.25">
      <c r="A675" s="27">
        <v>11035210212</v>
      </c>
      <c r="B675" s="196" t="s">
        <v>542</v>
      </c>
      <c r="C675" s="12" t="s">
        <v>404</v>
      </c>
      <c r="D675" s="6">
        <v>11</v>
      </c>
      <c r="E675" s="6" t="s">
        <v>193</v>
      </c>
      <c r="F675" s="19" t="s">
        <v>1471</v>
      </c>
      <c r="G675" s="197"/>
      <c r="H675" s="53">
        <f>H676</f>
        <v>44811</v>
      </c>
    </row>
    <row r="676" spans="1:8" s="28" customFormat="1" x14ac:dyDescent="0.25">
      <c r="A676" s="27">
        <v>11035210212009</v>
      </c>
      <c r="B676" s="196" t="s">
        <v>1565</v>
      </c>
      <c r="C676" s="12" t="s">
        <v>404</v>
      </c>
      <c r="D676" s="6">
        <v>11</v>
      </c>
      <c r="E676" s="6" t="s">
        <v>193</v>
      </c>
      <c r="F676" s="19" t="s">
        <v>1471</v>
      </c>
      <c r="G676" s="197" t="s">
        <v>569</v>
      </c>
      <c r="H676" s="53">
        <v>44811</v>
      </c>
    </row>
    <row r="677" spans="1:8" s="28" customFormat="1" ht="139.5" customHeight="1" x14ac:dyDescent="0.25">
      <c r="A677" s="27">
        <v>11035210213</v>
      </c>
      <c r="B677" s="196" t="s">
        <v>733</v>
      </c>
      <c r="C677" s="12" t="s">
        <v>404</v>
      </c>
      <c r="D677" s="6">
        <v>11</v>
      </c>
      <c r="E677" s="6" t="s">
        <v>193</v>
      </c>
      <c r="F677" s="19" t="s">
        <v>543</v>
      </c>
      <c r="G677" s="197"/>
      <c r="H677" s="53">
        <f>H678</f>
        <v>554895</v>
      </c>
    </row>
    <row r="678" spans="1:8" s="28" customFormat="1" x14ac:dyDescent="0.25">
      <c r="A678" s="27">
        <v>11035210213009</v>
      </c>
      <c r="B678" s="196" t="s">
        <v>1565</v>
      </c>
      <c r="C678" s="12" t="s">
        <v>404</v>
      </c>
      <c r="D678" s="6">
        <v>11</v>
      </c>
      <c r="E678" s="6" t="s">
        <v>193</v>
      </c>
      <c r="F678" s="19" t="s">
        <v>543</v>
      </c>
      <c r="G678" s="197" t="s">
        <v>569</v>
      </c>
      <c r="H678" s="53">
        <v>554895</v>
      </c>
    </row>
    <row r="679" spans="1:8" s="28" customFormat="1" ht="114" customHeight="1" x14ac:dyDescent="0.25">
      <c r="A679" s="27">
        <v>11035210214</v>
      </c>
      <c r="B679" s="196" t="s">
        <v>1052</v>
      </c>
      <c r="C679" s="12" t="s">
        <v>404</v>
      </c>
      <c r="D679" s="6">
        <v>11</v>
      </c>
      <c r="E679" s="6" t="s">
        <v>193</v>
      </c>
      <c r="F679" s="19" t="s">
        <v>1084</v>
      </c>
      <c r="G679" s="197"/>
      <c r="H679" s="53">
        <f>H680</f>
        <v>7419</v>
      </c>
    </row>
    <row r="680" spans="1:8" s="28" customFormat="1" x14ac:dyDescent="0.25">
      <c r="A680" s="27">
        <v>11035210214009</v>
      </c>
      <c r="B680" s="196" t="s">
        <v>1565</v>
      </c>
      <c r="C680" s="12" t="s">
        <v>404</v>
      </c>
      <c r="D680" s="6">
        <v>11</v>
      </c>
      <c r="E680" s="6" t="s">
        <v>193</v>
      </c>
      <c r="F680" s="19" t="s">
        <v>1084</v>
      </c>
      <c r="G680" s="197" t="s">
        <v>569</v>
      </c>
      <c r="H680" s="53">
        <v>7419</v>
      </c>
    </row>
    <row r="681" spans="1:8" s="28" customFormat="1" ht="94.5" x14ac:dyDescent="0.25">
      <c r="A681" s="27">
        <v>11035210215</v>
      </c>
      <c r="B681" s="196" t="s">
        <v>47</v>
      </c>
      <c r="C681" s="12" t="s">
        <v>404</v>
      </c>
      <c r="D681" s="6">
        <v>11</v>
      </c>
      <c r="E681" s="6" t="s">
        <v>193</v>
      </c>
      <c r="F681" s="19" t="s">
        <v>1085</v>
      </c>
      <c r="G681" s="197"/>
      <c r="H681" s="53">
        <f>H682</f>
        <v>14242</v>
      </c>
    </row>
    <row r="682" spans="1:8" s="28" customFormat="1" x14ac:dyDescent="0.25">
      <c r="A682" s="27">
        <v>11035210215009</v>
      </c>
      <c r="B682" s="196" t="s">
        <v>1565</v>
      </c>
      <c r="C682" s="12" t="s">
        <v>404</v>
      </c>
      <c r="D682" s="6">
        <v>11</v>
      </c>
      <c r="E682" s="6" t="s">
        <v>193</v>
      </c>
      <c r="F682" s="19" t="s">
        <v>1085</v>
      </c>
      <c r="G682" s="197" t="s">
        <v>569</v>
      </c>
      <c r="H682" s="53">
        <v>14242</v>
      </c>
    </row>
    <row r="683" spans="1:8" s="28" customFormat="1" ht="63" x14ac:dyDescent="0.25">
      <c r="A683" s="27">
        <v>11035210216</v>
      </c>
      <c r="B683" s="196" t="s">
        <v>737</v>
      </c>
      <c r="C683" s="12" t="s">
        <v>404</v>
      </c>
      <c r="D683" s="6">
        <v>11</v>
      </c>
      <c r="E683" s="6" t="s">
        <v>193</v>
      </c>
      <c r="F683" s="19" t="s">
        <v>3</v>
      </c>
      <c r="G683" s="197"/>
      <c r="H683" s="53">
        <f>H684</f>
        <v>60900</v>
      </c>
    </row>
    <row r="684" spans="1:8" s="28" customFormat="1" x14ac:dyDescent="0.25">
      <c r="A684" s="27">
        <v>11035210216009</v>
      </c>
      <c r="B684" s="196" t="s">
        <v>1565</v>
      </c>
      <c r="C684" s="12" t="s">
        <v>404</v>
      </c>
      <c r="D684" s="6">
        <v>11</v>
      </c>
      <c r="E684" s="6" t="s">
        <v>193</v>
      </c>
      <c r="F684" s="19" t="s">
        <v>3</v>
      </c>
      <c r="G684" s="197" t="s">
        <v>569</v>
      </c>
      <c r="H684" s="230">
        <f>59601+1299</f>
        <v>60900</v>
      </c>
    </row>
    <row r="685" spans="1:8" s="28" customFormat="1" ht="54.75" customHeight="1" x14ac:dyDescent="0.25">
      <c r="A685" s="27">
        <v>11035210217</v>
      </c>
      <c r="B685" s="196" t="s">
        <v>1364</v>
      </c>
      <c r="C685" s="12" t="s">
        <v>404</v>
      </c>
      <c r="D685" s="6">
        <v>11</v>
      </c>
      <c r="E685" s="6" t="s">
        <v>193</v>
      </c>
      <c r="F685" s="19" t="s">
        <v>553</v>
      </c>
      <c r="G685" s="197"/>
      <c r="H685" s="53">
        <f>H686</f>
        <v>87870</v>
      </c>
    </row>
    <row r="686" spans="1:8" s="28" customFormat="1" x14ac:dyDescent="0.25">
      <c r="A686" s="27">
        <v>11035210217009</v>
      </c>
      <c r="B686" s="196" t="s">
        <v>1565</v>
      </c>
      <c r="C686" s="12" t="s">
        <v>404</v>
      </c>
      <c r="D686" s="6">
        <v>11</v>
      </c>
      <c r="E686" s="6" t="s">
        <v>193</v>
      </c>
      <c r="F686" s="19" t="s">
        <v>553</v>
      </c>
      <c r="G686" s="197" t="s">
        <v>569</v>
      </c>
      <c r="H686" s="230">
        <f>87081+789</f>
        <v>87870</v>
      </c>
    </row>
    <row r="687" spans="1:8" s="28" customFormat="1" ht="124.5" customHeight="1" x14ac:dyDescent="0.25">
      <c r="A687" s="27">
        <v>11035210218</v>
      </c>
      <c r="B687" s="196" t="s">
        <v>1229</v>
      </c>
      <c r="C687" s="12" t="s">
        <v>404</v>
      </c>
      <c r="D687" s="6">
        <v>11</v>
      </c>
      <c r="E687" s="6" t="s">
        <v>193</v>
      </c>
      <c r="F687" s="19" t="s">
        <v>1563</v>
      </c>
      <c r="G687" s="197"/>
      <c r="H687" s="53">
        <f>H688</f>
        <v>8000</v>
      </c>
    </row>
    <row r="688" spans="1:8" s="28" customFormat="1" x14ac:dyDescent="0.25">
      <c r="A688" s="27">
        <v>11035210218009</v>
      </c>
      <c r="B688" s="196" t="s">
        <v>1565</v>
      </c>
      <c r="C688" s="12" t="s">
        <v>404</v>
      </c>
      <c r="D688" s="6">
        <v>11</v>
      </c>
      <c r="E688" s="6" t="s">
        <v>193</v>
      </c>
      <c r="F688" s="19" t="s">
        <v>1563</v>
      </c>
      <c r="G688" s="197" t="s">
        <v>569</v>
      </c>
      <c r="H688" s="53">
        <v>8000</v>
      </c>
    </row>
    <row r="689" spans="1:10" s="147" customFormat="1" x14ac:dyDescent="0.25">
      <c r="A689" s="188">
        <v>1104</v>
      </c>
      <c r="B689" s="38" t="s">
        <v>464</v>
      </c>
      <c r="C689" s="25" t="s">
        <v>404</v>
      </c>
      <c r="D689" s="24">
        <v>11</v>
      </c>
      <c r="E689" s="24" t="s">
        <v>1181</v>
      </c>
      <c r="F689" s="80"/>
      <c r="G689" s="24"/>
      <c r="H689" s="53">
        <f>H690+H693</f>
        <v>1956395</v>
      </c>
    </row>
    <row r="690" spans="1:10" s="28" customFormat="1" x14ac:dyDescent="0.25">
      <c r="A690" s="27">
        <v>1104520</v>
      </c>
      <c r="B690" s="26" t="s">
        <v>279</v>
      </c>
      <c r="C690" s="12" t="s">
        <v>404</v>
      </c>
      <c r="D690" s="6">
        <v>11</v>
      </c>
      <c r="E690" s="6" t="s">
        <v>1181</v>
      </c>
      <c r="F690" s="19" t="s">
        <v>627</v>
      </c>
      <c r="G690" s="12"/>
      <c r="H690" s="53">
        <f>H691</f>
        <v>23893</v>
      </c>
      <c r="J690" s="72"/>
    </row>
    <row r="691" spans="1:10" s="28" customFormat="1" ht="33" customHeight="1" x14ac:dyDescent="0.25">
      <c r="A691" s="27">
        <v>110452006</v>
      </c>
      <c r="B691" s="26" t="s">
        <v>1500</v>
      </c>
      <c r="C691" s="12" t="s">
        <v>404</v>
      </c>
      <c r="D691" s="6">
        <v>11</v>
      </c>
      <c r="E691" s="6" t="s">
        <v>1181</v>
      </c>
      <c r="F691" s="19" t="s">
        <v>42</v>
      </c>
      <c r="G691" s="10"/>
      <c r="H691" s="53">
        <f>H692</f>
        <v>23893</v>
      </c>
      <c r="J691" s="81"/>
    </row>
    <row r="692" spans="1:10" s="28" customFormat="1" x14ac:dyDescent="0.25">
      <c r="A692" s="27">
        <v>110452006017</v>
      </c>
      <c r="B692" s="26" t="s">
        <v>464</v>
      </c>
      <c r="C692" s="12" t="s">
        <v>404</v>
      </c>
      <c r="D692" s="6">
        <v>11</v>
      </c>
      <c r="E692" s="6" t="s">
        <v>1181</v>
      </c>
      <c r="F692" s="19" t="s">
        <v>42</v>
      </c>
      <c r="G692" s="12" t="s">
        <v>1040</v>
      </c>
      <c r="H692" s="53">
        <v>23893</v>
      </c>
      <c r="J692" s="72"/>
    </row>
    <row r="693" spans="1:10" s="147" customFormat="1" x14ac:dyDescent="0.25">
      <c r="A693" s="188">
        <v>1104521</v>
      </c>
      <c r="B693" s="38" t="s">
        <v>219</v>
      </c>
      <c r="C693" s="25" t="s">
        <v>404</v>
      </c>
      <c r="D693" s="24">
        <v>11</v>
      </c>
      <c r="E693" s="24" t="s">
        <v>1181</v>
      </c>
      <c r="F693" s="80" t="s">
        <v>1734</v>
      </c>
      <c r="G693" s="25"/>
      <c r="H693" s="53">
        <f>H694</f>
        <v>1932502</v>
      </c>
      <c r="J693" s="72"/>
    </row>
    <row r="694" spans="1:10" s="147" customFormat="1" ht="33" customHeight="1" x14ac:dyDescent="0.25">
      <c r="A694" s="188">
        <v>110452103</v>
      </c>
      <c r="B694" s="38" t="s">
        <v>177</v>
      </c>
      <c r="C694" s="25" t="s">
        <v>404</v>
      </c>
      <c r="D694" s="24">
        <v>11</v>
      </c>
      <c r="E694" s="24" t="s">
        <v>1181</v>
      </c>
      <c r="F694" s="80" t="s">
        <v>562</v>
      </c>
      <c r="G694" s="11"/>
      <c r="H694" s="53">
        <f>H695</f>
        <v>1932502</v>
      </c>
      <c r="J694" s="156"/>
    </row>
    <row r="695" spans="1:10" s="147" customFormat="1" x14ac:dyDescent="0.25">
      <c r="A695" s="188">
        <v>110452103017</v>
      </c>
      <c r="B695" s="38" t="s">
        <v>464</v>
      </c>
      <c r="C695" s="25" t="s">
        <v>404</v>
      </c>
      <c r="D695" s="24">
        <v>11</v>
      </c>
      <c r="E695" s="24" t="s">
        <v>1181</v>
      </c>
      <c r="F695" s="80" t="s">
        <v>562</v>
      </c>
      <c r="G695" s="25" t="s">
        <v>1040</v>
      </c>
      <c r="H695" s="230">
        <f>6000000+8621+5045-141000-21267-7647-3911250</f>
        <v>1932502</v>
      </c>
      <c r="J695" s="72"/>
    </row>
    <row r="696" spans="1:10" s="28" customFormat="1" x14ac:dyDescent="0.25">
      <c r="A696" s="29"/>
      <c r="B696" s="26"/>
      <c r="C696" s="12"/>
      <c r="D696" s="10"/>
      <c r="E696" s="10"/>
      <c r="F696" s="10"/>
      <c r="G696" s="12"/>
      <c r="H696" s="53"/>
    </row>
    <row r="697" spans="1:10" s="3" customFormat="1" ht="31.5" x14ac:dyDescent="0.25">
      <c r="A697" s="40">
        <v>0</v>
      </c>
      <c r="B697" s="30" t="s">
        <v>405</v>
      </c>
      <c r="C697" s="42" t="s">
        <v>569</v>
      </c>
      <c r="D697" s="31"/>
      <c r="E697" s="31"/>
      <c r="F697" s="31"/>
      <c r="G697" s="31"/>
      <c r="H697" s="187">
        <f>H698+H703+H714+H737</f>
        <v>532091</v>
      </c>
    </row>
    <row r="698" spans="1:10" s="28" customFormat="1" ht="19.5" customHeight="1" x14ac:dyDescent="0.25">
      <c r="A698" s="29">
        <v>3</v>
      </c>
      <c r="B698" s="35" t="s">
        <v>1049</v>
      </c>
      <c r="C698" s="12" t="s">
        <v>569</v>
      </c>
      <c r="D698" s="12" t="s">
        <v>193</v>
      </c>
      <c r="E698" s="12"/>
      <c r="F698" s="10"/>
      <c r="G698" s="12"/>
      <c r="H698" s="53">
        <f>H699</f>
        <v>458</v>
      </c>
    </row>
    <row r="699" spans="1:10" s="28" customFormat="1" ht="47.25" x14ac:dyDescent="0.25">
      <c r="A699" s="29">
        <v>309</v>
      </c>
      <c r="B699" s="26" t="s">
        <v>133</v>
      </c>
      <c r="C699" s="12" t="s">
        <v>569</v>
      </c>
      <c r="D699" s="12" t="s">
        <v>193</v>
      </c>
      <c r="E699" s="12" t="s">
        <v>406</v>
      </c>
      <c r="F699" s="10"/>
      <c r="G699" s="12"/>
      <c r="H699" s="53">
        <f>H700</f>
        <v>458</v>
      </c>
    </row>
    <row r="700" spans="1:10" s="28" customFormat="1" x14ac:dyDescent="0.25">
      <c r="A700" s="27">
        <v>309219</v>
      </c>
      <c r="B700" s="26" t="s">
        <v>1098</v>
      </c>
      <c r="C700" s="12" t="s">
        <v>569</v>
      </c>
      <c r="D700" s="12" t="s">
        <v>193</v>
      </c>
      <c r="E700" s="12" t="s">
        <v>406</v>
      </c>
      <c r="F700" s="10" t="s">
        <v>620</v>
      </c>
      <c r="G700" s="12"/>
      <c r="H700" s="53">
        <f>H701</f>
        <v>458</v>
      </c>
    </row>
    <row r="701" spans="1:10" s="28" customFormat="1" ht="31.5" x14ac:dyDescent="0.25">
      <c r="A701" s="27">
        <v>30921901</v>
      </c>
      <c r="B701" s="26" t="s">
        <v>591</v>
      </c>
      <c r="C701" s="12" t="s">
        <v>569</v>
      </c>
      <c r="D701" s="12" t="s">
        <v>193</v>
      </c>
      <c r="E701" s="12" t="s">
        <v>406</v>
      </c>
      <c r="F701" s="10" t="s">
        <v>269</v>
      </c>
      <c r="G701" s="12"/>
      <c r="H701" s="53">
        <f>H702</f>
        <v>458</v>
      </c>
    </row>
    <row r="702" spans="1:10" s="28" customFormat="1" x14ac:dyDescent="0.25">
      <c r="A702" s="27">
        <v>30921901012</v>
      </c>
      <c r="B702" s="26" t="s">
        <v>1012</v>
      </c>
      <c r="C702" s="12" t="s">
        <v>569</v>
      </c>
      <c r="D702" s="12" t="s">
        <v>193</v>
      </c>
      <c r="E702" s="12" t="s">
        <v>406</v>
      </c>
      <c r="F702" s="10" t="s">
        <v>269</v>
      </c>
      <c r="G702" s="12" t="s">
        <v>1224</v>
      </c>
      <c r="H702" s="53">
        <v>458</v>
      </c>
    </row>
    <row r="703" spans="1:10" s="28" customFormat="1" x14ac:dyDescent="0.25">
      <c r="A703" s="29">
        <v>4</v>
      </c>
      <c r="B703" s="35" t="s">
        <v>993</v>
      </c>
      <c r="C703" s="12" t="s">
        <v>569</v>
      </c>
      <c r="D703" s="12" t="s">
        <v>1181</v>
      </c>
      <c r="E703" s="10"/>
      <c r="F703" s="10"/>
      <c r="G703" s="10"/>
      <c r="H703" s="53">
        <f>H704+H710</f>
        <v>43721</v>
      </c>
    </row>
    <row r="704" spans="1:10" s="28" customFormat="1" x14ac:dyDescent="0.25">
      <c r="A704" s="29">
        <v>406</v>
      </c>
      <c r="B704" s="26" t="s">
        <v>1379</v>
      </c>
      <c r="C704" s="12" t="s">
        <v>569</v>
      </c>
      <c r="D704" s="12" t="s">
        <v>1181</v>
      </c>
      <c r="E704" s="6" t="s">
        <v>1746</v>
      </c>
      <c r="F704" s="10"/>
      <c r="G704" s="10"/>
      <c r="H704" s="53">
        <f>H705</f>
        <v>36721</v>
      </c>
    </row>
    <row r="705" spans="1:8" s="28" customFormat="1" x14ac:dyDescent="0.25">
      <c r="A705" s="27">
        <v>406280</v>
      </c>
      <c r="B705" s="26" t="s">
        <v>1380</v>
      </c>
      <c r="C705" s="12" t="s">
        <v>569</v>
      </c>
      <c r="D705" s="12" t="s">
        <v>1181</v>
      </c>
      <c r="E705" s="6" t="s">
        <v>1746</v>
      </c>
      <c r="F705" s="19" t="s">
        <v>1736</v>
      </c>
      <c r="G705" s="10"/>
      <c r="H705" s="53">
        <f>H706+H708</f>
        <v>36721</v>
      </c>
    </row>
    <row r="706" spans="1:8" s="28" customFormat="1" ht="63" x14ac:dyDescent="0.25">
      <c r="A706" s="27">
        <v>40628003</v>
      </c>
      <c r="B706" s="26" t="s">
        <v>1707</v>
      </c>
      <c r="C706" s="12" t="s">
        <v>569</v>
      </c>
      <c r="D706" s="12" t="s">
        <v>1181</v>
      </c>
      <c r="E706" s="6" t="s">
        <v>1746</v>
      </c>
      <c r="F706" s="19" t="s">
        <v>1708</v>
      </c>
      <c r="G706" s="10"/>
      <c r="H706" s="53">
        <f>H707</f>
        <v>14000</v>
      </c>
    </row>
    <row r="707" spans="1:8" s="28" customFormat="1" x14ac:dyDescent="0.25">
      <c r="A707" s="27">
        <v>40628003010</v>
      </c>
      <c r="B707" s="65" t="s">
        <v>783</v>
      </c>
      <c r="C707" s="12" t="s">
        <v>569</v>
      </c>
      <c r="D707" s="12" t="s">
        <v>1181</v>
      </c>
      <c r="E707" s="6" t="s">
        <v>1746</v>
      </c>
      <c r="F707" s="19" t="s">
        <v>1708</v>
      </c>
      <c r="G707" s="12" t="s">
        <v>408</v>
      </c>
      <c r="H707" s="53">
        <v>14000</v>
      </c>
    </row>
    <row r="708" spans="1:8" s="28" customFormat="1" ht="31.5" x14ac:dyDescent="0.25">
      <c r="A708" s="27">
        <v>40628004</v>
      </c>
      <c r="B708" s="26" t="s">
        <v>959</v>
      </c>
      <c r="C708" s="12" t="s">
        <v>569</v>
      </c>
      <c r="D708" s="12" t="s">
        <v>1181</v>
      </c>
      <c r="E708" s="6" t="s">
        <v>1746</v>
      </c>
      <c r="F708" s="19" t="s">
        <v>1709</v>
      </c>
      <c r="G708" s="10"/>
      <c r="H708" s="53">
        <f>H709</f>
        <v>22721</v>
      </c>
    </row>
    <row r="709" spans="1:8" s="28" customFormat="1" x14ac:dyDescent="0.25">
      <c r="A709" s="27">
        <v>40628004009</v>
      </c>
      <c r="B709" s="65" t="s">
        <v>1565</v>
      </c>
      <c r="C709" s="12" t="s">
        <v>569</v>
      </c>
      <c r="D709" s="12" t="s">
        <v>1181</v>
      </c>
      <c r="E709" s="6" t="s">
        <v>1746</v>
      </c>
      <c r="F709" s="19" t="s">
        <v>1709</v>
      </c>
      <c r="G709" s="12" t="s">
        <v>569</v>
      </c>
      <c r="H709" s="53">
        <v>22721</v>
      </c>
    </row>
    <row r="710" spans="1:8" s="28" customFormat="1" x14ac:dyDescent="0.25">
      <c r="A710" s="29">
        <v>412</v>
      </c>
      <c r="B710" s="26" t="s">
        <v>1253</v>
      </c>
      <c r="C710" s="12" t="s">
        <v>569</v>
      </c>
      <c r="D710" s="12" t="s">
        <v>1181</v>
      </c>
      <c r="E710" s="12">
        <v>12</v>
      </c>
      <c r="F710" s="10"/>
      <c r="G710" s="10"/>
      <c r="H710" s="53">
        <f>H711</f>
        <v>7000</v>
      </c>
    </row>
    <row r="711" spans="1:8" s="28" customFormat="1" x14ac:dyDescent="0.25">
      <c r="A711" s="27">
        <v>412522</v>
      </c>
      <c r="B711" s="26" t="s">
        <v>153</v>
      </c>
      <c r="C711" s="12" t="s">
        <v>569</v>
      </c>
      <c r="D711" s="12" t="s">
        <v>1181</v>
      </c>
      <c r="E711" s="12">
        <v>12</v>
      </c>
      <c r="F711" s="19" t="s">
        <v>611</v>
      </c>
      <c r="G711" s="10"/>
      <c r="H711" s="53">
        <f>H712</f>
        <v>7000</v>
      </c>
    </row>
    <row r="712" spans="1:8" s="28" customFormat="1" ht="31.5" x14ac:dyDescent="0.25">
      <c r="A712" s="27">
        <v>41252208</v>
      </c>
      <c r="B712" s="26" t="s">
        <v>360</v>
      </c>
      <c r="C712" s="12" t="s">
        <v>569</v>
      </c>
      <c r="D712" s="12" t="s">
        <v>1181</v>
      </c>
      <c r="E712" s="12">
        <v>12</v>
      </c>
      <c r="F712" s="19" t="s">
        <v>27</v>
      </c>
      <c r="G712" s="10"/>
      <c r="H712" s="53">
        <f>H713</f>
        <v>7000</v>
      </c>
    </row>
    <row r="713" spans="1:8" s="28" customFormat="1" x14ac:dyDescent="0.25">
      <c r="A713" s="27">
        <v>41252208012</v>
      </c>
      <c r="B713" s="190" t="s">
        <v>1012</v>
      </c>
      <c r="C713" s="12" t="s">
        <v>569</v>
      </c>
      <c r="D713" s="12" t="s">
        <v>1181</v>
      </c>
      <c r="E713" s="12">
        <v>12</v>
      </c>
      <c r="F713" s="19" t="s">
        <v>27</v>
      </c>
      <c r="G713" s="12" t="s">
        <v>1224</v>
      </c>
      <c r="H713" s="53">
        <v>7000</v>
      </c>
    </row>
    <row r="714" spans="1:8" s="28" customFormat="1" x14ac:dyDescent="0.25">
      <c r="A714" s="29">
        <v>6</v>
      </c>
      <c r="B714" s="35" t="s">
        <v>866</v>
      </c>
      <c r="C714" s="12" t="s">
        <v>569</v>
      </c>
      <c r="D714" s="12" t="s">
        <v>1746</v>
      </c>
      <c r="E714" s="10"/>
      <c r="F714" s="10"/>
      <c r="G714" s="10"/>
      <c r="H714" s="53">
        <f>H715+H722</f>
        <v>487816</v>
      </c>
    </row>
    <row r="715" spans="1:8" s="28" customFormat="1" ht="31.5" x14ac:dyDescent="0.25">
      <c r="A715" s="29">
        <v>603</v>
      </c>
      <c r="B715" s="26" t="s">
        <v>372</v>
      </c>
      <c r="C715" s="12" t="s">
        <v>569</v>
      </c>
      <c r="D715" s="12" t="s">
        <v>1746</v>
      </c>
      <c r="E715" s="12" t="s">
        <v>193</v>
      </c>
      <c r="F715" s="10"/>
      <c r="G715" s="10"/>
      <c r="H715" s="53">
        <f>H716+H719</f>
        <v>5125</v>
      </c>
    </row>
    <row r="716" spans="1:8" s="28" customFormat="1" x14ac:dyDescent="0.25">
      <c r="A716" s="27">
        <v>603264</v>
      </c>
      <c r="B716" s="26" t="s">
        <v>1443</v>
      </c>
      <c r="C716" s="12" t="s">
        <v>569</v>
      </c>
      <c r="D716" s="12" t="s">
        <v>1746</v>
      </c>
      <c r="E716" s="12" t="s">
        <v>193</v>
      </c>
      <c r="F716" s="19" t="s">
        <v>1444</v>
      </c>
      <c r="G716" s="10"/>
      <c r="H716" s="53">
        <f>H717</f>
        <v>125</v>
      </c>
    </row>
    <row r="717" spans="1:8" s="28" customFormat="1" ht="47.25" x14ac:dyDescent="0.25">
      <c r="A717" s="27">
        <v>60326402</v>
      </c>
      <c r="B717" s="65" t="s">
        <v>376</v>
      </c>
      <c r="C717" s="12" t="s">
        <v>569</v>
      </c>
      <c r="D717" s="12" t="s">
        <v>1746</v>
      </c>
      <c r="E717" s="12" t="s">
        <v>193</v>
      </c>
      <c r="F717" s="19" t="s">
        <v>1710</v>
      </c>
      <c r="G717" s="10"/>
      <c r="H717" s="53">
        <f>H718</f>
        <v>125</v>
      </c>
    </row>
    <row r="718" spans="1:8" s="28" customFormat="1" x14ac:dyDescent="0.25">
      <c r="A718" s="27">
        <v>60326402009</v>
      </c>
      <c r="B718" s="26" t="s">
        <v>1565</v>
      </c>
      <c r="C718" s="12" t="s">
        <v>569</v>
      </c>
      <c r="D718" s="12" t="s">
        <v>1746</v>
      </c>
      <c r="E718" s="12" t="s">
        <v>193</v>
      </c>
      <c r="F718" s="19" t="s">
        <v>1710</v>
      </c>
      <c r="G718" s="12" t="s">
        <v>569</v>
      </c>
      <c r="H718" s="53">
        <v>125</v>
      </c>
    </row>
    <row r="719" spans="1:8" s="28" customFormat="1" x14ac:dyDescent="0.25">
      <c r="A719" s="27">
        <v>603270</v>
      </c>
      <c r="B719" s="26" t="s">
        <v>162</v>
      </c>
      <c r="C719" s="12" t="s">
        <v>569</v>
      </c>
      <c r="D719" s="12" t="s">
        <v>1746</v>
      </c>
      <c r="E719" s="12" t="s">
        <v>193</v>
      </c>
      <c r="F719" s="19" t="s">
        <v>377</v>
      </c>
      <c r="G719" s="10"/>
      <c r="H719" s="53">
        <f>H720</f>
        <v>5000</v>
      </c>
    </row>
    <row r="720" spans="1:8" s="28" customFormat="1" ht="31.5" x14ac:dyDescent="0.25">
      <c r="A720" s="27">
        <v>60327004</v>
      </c>
      <c r="B720" s="65" t="s">
        <v>945</v>
      </c>
      <c r="C720" s="12" t="s">
        <v>569</v>
      </c>
      <c r="D720" s="12" t="s">
        <v>1746</v>
      </c>
      <c r="E720" s="12" t="s">
        <v>193</v>
      </c>
      <c r="F720" s="19" t="s">
        <v>161</v>
      </c>
      <c r="G720" s="10"/>
      <c r="H720" s="53">
        <f>H721</f>
        <v>5000</v>
      </c>
    </row>
    <row r="721" spans="1:8" s="28" customFormat="1" x14ac:dyDescent="0.25">
      <c r="A721" s="27">
        <v>60327004009</v>
      </c>
      <c r="B721" s="26" t="s">
        <v>1565</v>
      </c>
      <c r="C721" s="12" t="s">
        <v>569</v>
      </c>
      <c r="D721" s="12" t="s">
        <v>1746</v>
      </c>
      <c r="E721" s="12" t="s">
        <v>193</v>
      </c>
      <c r="F721" s="19" t="s">
        <v>161</v>
      </c>
      <c r="G721" s="12" t="s">
        <v>569</v>
      </c>
      <c r="H721" s="53">
        <v>5000</v>
      </c>
    </row>
    <row r="722" spans="1:8" s="28" customFormat="1" x14ac:dyDescent="0.25">
      <c r="A722" s="29">
        <v>605</v>
      </c>
      <c r="B722" s="26" t="s">
        <v>462</v>
      </c>
      <c r="C722" s="12" t="s">
        <v>569</v>
      </c>
      <c r="D722" s="12" t="s">
        <v>1746</v>
      </c>
      <c r="E722" s="12" t="s">
        <v>175</v>
      </c>
      <c r="F722" s="10"/>
      <c r="G722" s="10"/>
      <c r="H722" s="53">
        <f>H723+H727+H732</f>
        <v>482691</v>
      </c>
    </row>
    <row r="723" spans="1:8" s="28" customFormat="1" ht="47.25" x14ac:dyDescent="0.25">
      <c r="A723" s="27">
        <v>605002</v>
      </c>
      <c r="B723" s="26" t="s">
        <v>1657</v>
      </c>
      <c r="C723" s="12" t="s">
        <v>569</v>
      </c>
      <c r="D723" s="12" t="s">
        <v>1746</v>
      </c>
      <c r="E723" s="12" t="s">
        <v>175</v>
      </c>
      <c r="F723" s="12" t="s">
        <v>200</v>
      </c>
      <c r="G723" s="12"/>
      <c r="H723" s="53">
        <f>H724</f>
        <v>291972</v>
      </c>
    </row>
    <row r="724" spans="1:8" s="28" customFormat="1" x14ac:dyDescent="0.25">
      <c r="A724" s="27">
        <v>60500204</v>
      </c>
      <c r="B724" s="26" t="s">
        <v>638</v>
      </c>
      <c r="C724" s="12" t="s">
        <v>569</v>
      </c>
      <c r="D724" s="12" t="s">
        <v>1746</v>
      </c>
      <c r="E724" s="12" t="s">
        <v>175</v>
      </c>
      <c r="F724" s="12" t="s">
        <v>797</v>
      </c>
      <c r="G724" s="12"/>
      <c r="H724" s="53">
        <f>SUM(H725:H726)</f>
        <v>291972</v>
      </c>
    </row>
    <row r="725" spans="1:8" s="131" customFormat="1" x14ac:dyDescent="0.25">
      <c r="A725" s="27">
        <v>60500204012</v>
      </c>
      <c r="B725" s="38" t="s">
        <v>1012</v>
      </c>
      <c r="C725" s="12" t="s">
        <v>569</v>
      </c>
      <c r="D725" s="12" t="s">
        <v>1746</v>
      </c>
      <c r="E725" s="12" t="s">
        <v>175</v>
      </c>
      <c r="F725" s="25" t="s">
        <v>797</v>
      </c>
      <c r="G725" s="25" t="s">
        <v>1224</v>
      </c>
      <c r="H725" s="185">
        <v>291122</v>
      </c>
    </row>
    <row r="726" spans="1:8" s="28" customFormat="1" ht="63" x14ac:dyDescent="0.25">
      <c r="A726" s="27">
        <v>60500204902</v>
      </c>
      <c r="B726" s="26" t="s">
        <v>1100</v>
      </c>
      <c r="C726" s="12" t="s">
        <v>569</v>
      </c>
      <c r="D726" s="12" t="s">
        <v>1746</v>
      </c>
      <c r="E726" s="12" t="s">
        <v>175</v>
      </c>
      <c r="F726" s="12" t="s">
        <v>797</v>
      </c>
      <c r="G726" s="12">
        <v>902</v>
      </c>
      <c r="H726" s="53">
        <v>850</v>
      </c>
    </row>
    <row r="727" spans="1:8" s="28" customFormat="1" x14ac:dyDescent="0.25">
      <c r="A727" s="27">
        <v>605410</v>
      </c>
      <c r="B727" s="26" t="s">
        <v>770</v>
      </c>
      <c r="C727" s="12" t="s">
        <v>569</v>
      </c>
      <c r="D727" s="12" t="s">
        <v>1746</v>
      </c>
      <c r="E727" s="12" t="s">
        <v>175</v>
      </c>
      <c r="F727" s="10" t="s">
        <v>763</v>
      </c>
      <c r="G727" s="12"/>
      <c r="H727" s="53">
        <f>H728</f>
        <v>38511</v>
      </c>
    </row>
    <row r="728" spans="1:8" s="28" customFormat="1" x14ac:dyDescent="0.25">
      <c r="A728" s="27">
        <v>60541001</v>
      </c>
      <c r="B728" s="26" t="s">
        <v>940</v>
      </c>
      <c r="C728" s="12" t="s">
        <v>569</v>
      </c>
      <c r="D728" s="12" t="s">
        <v>1746</v>
      </c>
      <c r="E728" s="12" t="s">
        <v>175</v>
      </c>
      <c r="F728" s="10" t="s">
        <v>1751</v>
      </c>
      <c r="G728" s="12"/>
      <c r="H728" s="53">
        <f>SUM(H729:H731)</f>
        <v>38511</v>
      </c>
    </row>
    <row r="729" spans="1:8" s="28" customFormat="1" x14ac:dyDescent="0.25">
      <c r="A729" s="27">
        <v>60541001012</v>
      </c>
      <c r="B729" s="26" t="s">
        <v>1012</v>
      </c>
      <c r="C729" s="12" t="s">
        <v>569</v>
      </c>
      <c r="D729" s="12" t="s">
        <v>1746</v>
      </c>
      <c r="E729" s="12" t="s">
        <v>175</v>
      </c>
      <c r="F729" s="10" t="s">
        <v>1751</v>
      </c>
      <c r="G729" s="12" t="s">
        <v>1224</v>
      </c>
      <c r="H729" s="53">
        <v>5400</v>
      </c>
    </row>
    <row r="730" spans="1:8" s="28" customFormat="1" ht="30.75" customHeight="1" x14ac:dyDescent="0.25">
      <c r="A730" s="27">
        <v>60541001906</v>
      </c>
      <c r="B730" s="26" t="s">
        <v>1153</v>
      </c>
      <c r="C730" s="12" t="s">
        <v>569</v>
      </c>
      <c r="D730" s="12" t="s">
        <v>1746</v>
      </c>
      <c r="E730" s="12" t="s">
        <v>175</v>
      </c>
      <c r="F730" s="10" t="s">
        <v>1751</v>
      </c>
      <c r="G730" s="12">
        <v>906</v>
      </c>
      <c r="H730" s="53">
        <v>32205</v>
      </c>
    </row>
    <row r="731" spans="1:8" s="28" customFormat="1" ht="30.75" customHeight="1" x14ac:dyDescent="0.25">
      <c r="A731" s="27">
        <v>60541001907</v>
      </c>
      <c r="B731" s="26" t="s">
        <v>1752</v>
      </c>
      <c r="C731" s="12" t="s">
        <v>569</v>
      </c>
      <c r="D731" s="12" t="s">
        <v>1746</v>
      </c>
      <c r="E731" s="12" t="s">
        <v>175</v>
      </c>
      <c r="F731" s="10" t="s">
        <v>1751</v>
      </c>
      <c r="G731" s="12">
        <v>907</v>
      </c>
      <c r="H731" s="53">
        <v>906</v>
      </c>
    </row>
    <row r="732" spans="1:8" s="28" customFormat="1" x14ac:dyDescent="0.25">
      <c r="A732" s="27">
        <v>605522</v>
      </c>
      <c r="B732" s="38" t="s">
        <v>153</v>
      </c>
      <c r="C732" s="12" t="s">
        <v>569</v>
      </c>
      <c r="D732" s="12" t="s">
        <v>1746</v>
      </c>
      <c r="E732" s="12" t="s">
        <v>175</v>
      </c>
      <c r="F732" s="11" t="s">
        <v>611</v>
      </c>
      <c r="G732" s="39"/>
      <c r="H732" s="53">
        <f>H733</f>
        <v>152208</v>
      </c>
    </row>
    <row r="733" spans="1:8" s="28" customFormat="1" ht="33" customHeight="1" x14ac:dyDescent="0.25">
      <c r="A733" s="195">
        <v>60552201</v>
      </c>
      <c r="B733" s="38" t="s">
        <v>1735</v>
      </c>
      <c r="C733" s="12" t="s">
        <v>569</v>
      </c>
      <c r="D733" s="12" t="s">
        <v>1746</v>
      </c>
      <c r="E733" s="12" t="s">
        <v>175</v>
      </c>
      <c r="F733" s="11" t="s">
        <v>1238</v>
      </c>
      <c r="G733" s="10"/>
      <c r="H733" s="53">
        <f>H734</f>
        <v>152208</v>
      </c>
    </row>
    <row r="734" spans="1:8" s="28" customFormat="1" ht="33" customHeight="1" x14ac:dyDescent="0.25">
      <c r="A734" s="195">
        <v>6055220101</v>
      </c>
      <c r="B734" s="38" t="s">
        <v>1514</v>
      </c>
      <c r="C734" s="12" t="s">
        <v>569</v>
      </c>
      <c r="D734" s="12" t="s">
        <v>1746</v>
      </c>
      <c r="E734" s="12" t="s">
        <v>175</v>
      </c>
      <c r="F734" s="11" t="s">
        <v>1218</v>
      </c>
      <c r="G734" s="10"/>
      <c r="H734" s="53">
        <f>SUM(H735:H736)</f>
        <v>152208</v>
      </c>
    </row>
    <row r="735" spans="1:8" s="28" customFormat="1" ht="15" customHeight="1" x14ac:dyDescent="0.25">
      <c r="A735" s="195">
        <v>6055220101003</v>
      </c>
      <c r="B735" s="38" t="s">
        <v>256</v>
      </c>
      <c r="C735" s="12" t="s">
        <v>569</v>
      </c>
      <c r="D735" s="12" t="s">
        <v>1746</v>
      </c>
      <c r="E735" s="12" t="s">
        <v>175</v>
      </c>
      <c r="F735" s="11" t="s">
        <v>1218</v>
      </c>
      <c r="G735" s="12" t="s">
        <v>539</v>
      </c>
      <c r="H735" s="53">
        <v>22000</v>
      </c>
    </row>
    <row r="736" spans="1:8" s="28" customFormat="1" ht="15" customHeight="1" x14ac:dyDescent="0.25">
      <c r="A736" s="195">
        <v>6055220101012</v>
      </c>
      <c r="B736" s="26" t="s">
        <v>1012</v>
      </c>
      <c r="C736" s="12" t="s">
        <v>569</v>
      </c>
      <c r="D736" s="12" t="s">
        <v>1746</v>
      </c>
      <c r="E736" s="12" t="s">
        <v>175</v>
      </c>
      <c r="F736" s="11" t="s">
        <v>1218</v>
      </c>
      <c r="G736" s="12" t="s">
        <v>1224</v>
      </c>
      <c r="H736" s="53">
        <v>130208</v>
      </c>
    </row>
    <row r="737" spans="1:8" s="28" customFormat="1" x14ac:dyDescent="0.25">
      <c r="A737" s="29">
        <v>7</v>
      </c>
      <c r="B737" s="35" t="s">
        <v>174</v>
      </c>
      <c r="C737" s="12" t="s">
        <v>569</v>
      </c>
      <c r="D737" s="12" t="s">
        <v>205</v>
      </c>
      <c r="E737" s="10"/>
      <c r="F737" s="10"/>
      <c r="G737" s="10"/>
      <c r="H737" s="53">
        <f>H738</f>
        <v>96</v>
      </c>
    </row>
    <row r="738" spans="1:8" s="28" customFormat="1" x14ac:dyDescent="0.25">
      <c r="A738" s="29">
        <v>707</v>
      </c>
      <c r="B738" s="26" t="s">
        <v>699</v>
      </c>
      <c r="C738" s="12" t="s">
        <v>569</v>
      </c>
      <c r="D738" s="12" t="s">
        <v>205</v>
      </c>
      <c r="E738" s="12" t="s">
        <v>205</v>
      </c>
      <c r="F738" s="10"/>
      <c r="G738" s="10"/>
      <c r="H738" s="53">
        <f>H739</f>
        <v>96</v>
      </c>
    </row>
    <row r="739" spans="1:8" s="128" customFormat="1" ht="21" customHeight="1" x14ac:dyDescent="0.25">
      <c r="A739" s="27">
        <v>707432</v>
      </c>
      <c r="B739" s="26" t="s">
        <v>1482</v>
      </c>
      <c r="C739" s="12" t="s">
        <v>569</v>
      </c>
      <c r="D739" s="12" t="s">
        <v>205</v>
      </c>
      <c r="E739" s="12" t="s">
        <v>205</v>
      </c>
      <c r="F739" s="10" t="s">
        <v>965</v>
      </c>
      <c r="G739" s="12"/>
      <c r="H739" s="53">
        <f>H740</f>
        <v>96</v>
      </c>
    </row>
    <row r="740" spans="1:8" s="128" customFormat="1" x14ac:dyDescent="0.25">
      <c r="A740" s="27">
        <v>70743202</v>
      </c>
      <c r="B740" s="26" t="s">
        <v>541</v>
      </c>
      <c r="C740" s="12" t="s">
        <v>569</v>
      </c>
      <c r="D740" s="12" t="s">
        <v>205</v>
      </c>
      <c r="E740" s="12" t="s">
        <v>205</v>
      </c>
      <c r="F740" s="10" t="s">
        <v>262</v>
      </c>
      <c r="G740" s="12"/>
      <c r="H740" s="53">
        <f>H741</f>
        <v>96</v>
      </c>
    </row>
    <row r="741" spans="1:8" s="128" customFormat="1" x14ac:dyDescent="0.25">
      <c r="A741" s="27">
        <v>70743202001</v>
      </c>
      <c r="B741" s="26" t="s">
        <v>1435</v>
      </c>
      <c r="C741" s="12" t="s">
        <v>569</v>
      </c>
      <c r="D741" s="12" t="s">
        <v>205</v>
      </c>
      <c r="E741" s="12" t="s">
        <v>205</v>
      </c>
      <c r="F741" s="10" t="s">
        <v>262</v>
      </c>
      <c r="G741" s="12" t="s">
        <v>1394</v>
      </c>
      <c r="H741" s="53">
        <v>96</v>
      </c>
    </row>
    <row r="742" spans="1:8" s="28" customFormat="1" x14ac:dyDescent="0.25">
      <c r="A742" s="29"/>
      <c r="B742" s="26"/>
      <c r="C742" s="12"/>
      <c r="D742" s="10"/>
      <c r="E742" s="10"/>
      <c r="F742" s="10"/>
      <c r="G742" s="12"/>
      <c r="H742" s="53"/>
    </row>
    <row r="743" spans="1:8" s="3" customFormat="1" x14ac:dyDescent="0.25">
      <c r="A743" s="40">
        <v>0</v>
      </c>
      <c r="B743" s="30" t="s">
        <v>407</v>
      </c>
      <c r="C743" s="42" t="s">
        <v>408</v>
      </c>
      <c r="D743" s="31"/>
      <c r="E743" s="31"/>
      <c r="F743" s="31"/>
      <c r="G743" s="31"/>
      <c r="H743" s="187">
        <f>H744+H749+H754+H759+H772+H777</f>
        <v>1132392</v>
      </c>
    </row>
    <row r="744" spans="1:8" s="28" customFormat="1" x14ac:dyDescent="0.25">
      <c r="A744" s="29">
        <v>1</v>
      </c>
      <c r="B744" s="35" t="s">
        <v>482</v>
      </c>
      <c r="C744" s="12" t="s">
        <v>408</v>
      </c>
      <c r="D744" s="12" t="s">
        <v>566</v>
      </c>
      <c r="E744" s="10"/>
      <c r="F744" s="10"/>
      <c r="G744" s="10"/>
      <c r="H744" s="53">
        <f>H745</f>
        <v>271883</v>
      </c>
    </row>
    <row r="745" spans="1:8" s="28" customFormat="1" x14ac:dyDescent="0.25">
      <c r="A745" s="29">
        <v>114</v>
      </c>
      <c r="B745" s="37" t="s">
        <v>287</v>
      </c>
      <c r="C745" s="12" t="s">
        <v>408</v>
      </c>
      <c r="D745" s="12" t="s">
        <v>566</v>
      </c>
      <c r="E745" s="12">
        <v>14</v>
      </c>
      <c r="F745" s="12"/>
      <c r="G745" s="10"/>
      <c r="H745" s="53">
        <f>H746</f>
        <v>271883</v>
      </c>
    </row>
    <row r="746" spans="1:8" s="28" customFormat="1" ht="47.25" x14ac:dyDescent="0.25">
      <c r="A746" s="27">
        <v>114002</v>
      </c>
      <c r="B746" s="26" t="s">
        <v>1657</v>
      </c>
      <c r="C746" s="12" t="s">
        <v>408</v>
      </c>
      <c r="D746" s="12" t="s">
        <v>566</v>
      </c>
      <c r="E746" s="12">
        <v>14</v>
      </c>
      <c r="F746" s="12" t="s">
        <v>200</v>
      </c>
      <c r="G746" s="12"/>
      <c r="H746" s="53">
        <f>H747</f>
        <v>271883</v>
      </c>
    </row>
    <row r="747" spans="1:8" s="28" customFormat="1" x14ac:dyDescent="0.25">
      <c r="A747" s="27">
        <v>11400204</v>
      </c>
      <c r="B747" s="26" t="s">
        <v>638</v>
      </c>
      <c r="C747" s="12" t="s">
        <v>408</v>
      </c>
      <c r="D747" s="12" t="s">
        <v>566</v>
      </c>
      <c r="E747" s="12">
        <v>14</v>
      </c>
      <c r="F747" s="12" t="s">
        <v>797</v>
      </c>
      <c r="G747" s="12"/>
      <c r="H747" s="53">
        <f>SUM(H748:H748)</f>
        <v>271883</v>
      </c>
    </row>
    <row r="748" spans="1:8" s="131" customFormat="1" x14ac:dyDescent="0.25">
      <c r="A748" s="27">
        <v>11400204012</v>
      </c>
      <c r="B748" s="38" t="s">
        <v>1012</v>
      </c>
      <c r="C748" s="12" t="s">
        <v>408</v>
      </c>
      <c r="D748" s="12" t="s">
        <v>566</v>
      </c>
      <c r="E748" s="12">
        <v>14</v>
      </c>
      <c r="F748" s="25" t="s">
        <v>797</v>
      </c>
      <c r="G748" s="25" t="s">
        <v>1224</v>
      </c>
      <c r="H748" s="185">
        <v>271883</v>
      </c>
    </row>
    <row r="749" spans="1:8" s="28" customFormat="1" x14ac:dyDescent="0.25">
      <c r="A749" s="27">
        <v>2</v>
      </c>
      <c r="B749" s="35" t="s">
        <v>271</v>
      </c>
      <c r="C749" s="12" t="s">
        <v>408</v>
      </c>
      <c r="D749" s="12" t="s">
        <v>567</v>
      </c>
      <c r="E749" s="31"/>
      <c r="F749" s="31"/>
      <c r="G749" s="31"/>
      <c r="H749" s="53">
        <f>H750</f>
        <v>2620</v>
      </c>
    </row>
    <row r="750" spans="1:8" s="28" customFormat="1" x14ac:dyDescent="0.25">
      <c r="A750" s="27">
        <v>204</v>
      </c>
      <c r="B750" s="26" t="s">
        <v>1054</v>
      </c>
      <c r="C750" s="12" t="s">
        <v>408</v>
      </c>
      <c r="D750" s="12" t="s">
        <v>567</v>
      </c>
      <c r="E750" s="12" t="s">
        <v>1181</v>
      </c>
      <c r="F750" s="31"/>
      <c r="G750" s="31"/>
      <c r="H750" s="53">
        <f>H751</f>
        <v>2620</v>
      </c>
    </row>
    <row r="751" spans="1:8" s="28" customFormat="1" ht="31.5" x14ac:dyDescent="0.25">
      <c r="A751" s="27">
        <v>204209</v>
      </c>
      <c r="B751" s="26" t="s">
        <v>141</v>
      </c>
      <c r="C751" s="12" t="s">
        <v>408</v>
      </c>
      <c r="D751" s="12" t="s">
        <v>567</v>
      </c>
      <c r="E751" s="12" t="s">
        <v>1181</v>
      </c>
      <c r="F751" s="10" t="s">
        <v>270</v>
      </c>
      <c r="G751" s="31"/>
      <c r="H751" s="53">
        <f>H752</f>
        <v>2620</v>
      </c>
    </row>
    <row r="752" spans="1:8" s="28" customFormat="1" ht="31.5" x14ac:dyDescent="0.25">
      <c r="A752" s="27">
        <v>20420901</v>
      </c>
      <c r="B752" s="26" t="s">
        <v>1408</v>
      </c>
      <c r="C752" s="12" t="s">
        <v>408</v>
      </c>
      <c r="D752" s="12" t="s">
        <v>567</v>
      </c>
      <c r="E752" s="12" t="s">
        <v>1181</v>
      </c>
      <c r="F752" s="10" t="s">
        <v>956</v>
      </c>
      <c r="G752" s="31"/>
      <c r="H752" s="53">
        <f>H753</f>
        <v>2620</v>
      </c>
    </row>
    <row r="753" spans="1:8" s="28" customFormat="1" x14ac:dyDescent="0.25">
      <c r="A753" s="27">
        <v>20420901012</v>
      </c>
      <c r="B753" s="65" t="s">
        <v>1012</v>
      </c>
      <c r="C753" s="12" t="s">
        <v>408</v>
      </c>
      <c r="D753" s="12" t="s">
        <v>567</v>
      </c>
      <c r="E753" s="12" t="s">
        <v>1181</v>
      </c>
      <c r="F753" s="10" t="s">
        <v>956</v>
      </c>
      <c r="G753" s="12" t="s">
        <v>1224</v>
      </c>
      <c r="H753" s="53">
        <v>2620</v>
      </c>
    </row>
    <row r="754" spans="1:8" s="28" customFormat="1" ht="21" customHeight="1" x14ac:dyDescent="0.25">
      <c r="A754" s="27">
        <v>3</v>
      </c>
      <c r="B754" s="35" t="s">
        <v>1049</v>
      </c>
      <c r="C754" s="12" t="s">
        <v>408</v>
      </c>
      <c r="D754" s="12" t="s">
        <v>193</v>
      </c>
      <c r="E754" s="12"/>
      <c r="F754" s="10"/>
      <c r="G754" s="12"/>
      <c r="H754" s="53">
        <f>H755</f>
        <v>49</v>
      </c>
    </row>
    <row r="755" spans="1:8" s="28" customFormat="1" ht="47.25" x14ac:dyDescent="0.25">
      <c r="A755" s="27">
        <v>309</v>
      </c>
      <c r="B755" s="26" t="s">
        <v>133</v>
      </c>
      <c r="C755" s="12" t="s">
        <v>408</v>
      </c>
      <c r="D755" s="12" t="s">
        <v>193</v>
      </c>
      <c r="E755" s="12" t="s">
        <v>406</v>
      </c>
      <c r="F755" s="10"/>
      <c r="G755" s="12"/>
      <c r="H755" s="53">
        <f>H756</f>
        <v>49</v>
      </c>
    </row>
    <row r="756" spans="1:8" s="28" customFormat="1" x14ac:dyDescent="0.25">
      <c r="A756" s="27">
        <v>309219</v>
      </c>
      <c r="B756" s="26" t="s">
        <v>1098</v>
      </c>
      <c r="C756" s="12" t="s">
        <v>408</v>
      </c>
      <c r="D756" s="12" t="s">
        <v>193</v>
      </c>
      <c r="E756" s="12" t="s">
        <v>406</v>
      </c>
      <c r="F756" s="10" t="s">
        <v>620</v>
      </c>
      <c r="G756" s="12"/>
      <c r="H756" s="53">
        <f>H757</f>
        <v>49</v>
      </c>
    </row>
    <row r="757" spans="1:8" s="28" customFormat="1" ht="31.5" x14ac:dyDescent="0.25">
      <c r="A757" s="27">
        <v>30921901</v>
      </c>
      <c r="B757" s="26" t="s">
        <v>591</v>
      </c>
      <c r="C757" s="12" t="s">
        <v>408</v>
      </c>
      <c r="D757" s="12" t="s">
        <v>193</v>
      </c>
      <c r="E757" s="12" t="s">
        <v>406</v>
      </c>
      <c r="F757" s="10" t="s">
        <v>269</v>
      </c>
      <c r="G757" s="12"/>
      <c r="H757" s="53">
        <f>H758</f>
        <v>49</v>
      </c>
    </row>
    <row r="758" spans="1:8" s="28" customFormat="1" x14ac:dyDescent="0.25">
      <c r="A758" s="27">
        <v>30921901012</v>
      </c>
      <c r="B758" s="65" t="s">
        <v>1012</v>
      </c>
      <c r="C758" s="12" t="s">
        <v>408</v>
      </c>
      <c r="D758" s="12" t="s">
        <v>193</v>
      </c>
      <c r="E758" s="12" t="s">
        <v>406</v>
      </c>
      <c r="F758" s="10" t="s">
        <v>269</v>
      </c>
      <c r="G758" s="12" t="s">
        <v>1224</v>
      </c>
      <c r="H758" s="53">
        <v>49</v>
      </c>
    </row>
    <row r="759" spans="1:8" s="28" customFormat="1" x14ac:dyDescent="0.25">
      <c r="A759" s="29">
        <v>4</v>
      </c>
      <c r="B759" s="35" t="s">
        <v>993</v>
      </c>
      <c r="C759" s="12" t="s">
        <v>408</v>
      </c>
      <c r="D759" s="12" t="s">
        <v>1181</v>
      </c>
      <c r="E759" s="10"/>
      <c r="F759" s="10"/>
      <c r="G759" s="10"/>
      <c r="H759" s="53">
        <f>H760+H764+H768</f>
        <v>486000</v>
      </c>
    </row>
    <row r="760" spans="1:8" s="28" customFormat="1" x14ac:dyDescent="0.25">
      <c r="A760" s="29">
        <v>410</v>
      </c>
      <c r="B760" s="26" t="s">
        <v>626</v>
      </c>
      <c r="C760" s="12" t="s">
        <v>408</v>
      </c>
      <c r="D760" s="12" t="s">
        <v>1181</v>
      </c>
      <c r="E760" s="12" t="s">
        <v>768</v>
      </c>
      <c r="F760" s="10"/>
      <c r="G760" s="10"/>
      <c r="H760" s="53">
        <f>H761</f>
        <v>19000</v>
      </c>
    </row>
    <row r="761" spans="1:8" s="28" customFormat="1" x14ac:dyDescent="0.25">
      <c r="A761" s="27">
        <v>410330</v>
      </c>
      <c r="B761" s="26" t="s">
        <v>764</v>
      </c>
      <c r="C761" s="12" t="s">
        <v>408</v>
      </c>
      <c r="D761" s="12" t="s">
        <v>1181</v>
      </c>
      <c r="E761" s="12" t="s">
        <v>768</v>
      </c>
      <c r="F761" s="10" t="s">
        <v>1010</v>
      </c>
      <c r="G761" s="10"/>
      <c r="H761" s="53">
        <f>H762</f>
        <v>19000</v>
      </c>
    </row>
    <row r="762" spans="1:8" s="28" customFormat="1" x14ac:dyDescent="0.25">
      <c r="A762" s="27">
        <v>41033082</v>
      </c>
      <c r="B762" s="26" t="s">
        <v>280</v>
      </c>
      <c r="C762" s="12" t="s">
        <v>408</v>
      </c>
      <c r="D762" s="12" t="s">
        <v>1181</v>
      </c>
      <c r="E762" s="12" t="s">
        <v>768</v>
      </c>
      <c r="F762" s="10" t="s">
        <v>749</v>
      </c>
      <c r="G762" s="10"/>
      <c r="H762" s="53">
        <f>H763</f>
        <v>19000</v>
      </c>
    </row>
    <row r="763" spans="1:8" s="28" customFormat="1" x14ac:dyDescent="0.25">
      <c r="A763" s="27">
        <v>41033082012</v>
      </c>
      <c r="B763" s="26" t="s">
        <v>1012</v>
      </c>
      <c r="C763" s="12" t="s">
        <v>408</v>
      </c>
      <c r="D763" s="12" t="s">
        <v>1181</v>
      </c>
      <c r="E763" s="12" t="s">
        <v>768</v>
      </c>
      <c r="F763" s="10" t="s">
        <v>749</v>
      </c>
      <c r="G763" s="12" t="s">
        <v>1224</v>
      </c>
      <c r="H763" s="53">
        <v>19000</v>
      </c>
    </row>
    <row r="764" spans="1:8" s="28" customFormat="1" ht="31.5" x14ac:dyDescent="0.25">
      <c r="A764" s="29">
        <v>411</v>
      </c>
      <c r="B764" s="26" t="s">
        <v>1306</v>
      </c>
      <c r="C764" s="12" t="s">
        <v>408</v>
      </c>
      <c r="D764" s="12" t="s">
        <v>1181</v>
      </c>
      <c r="E764" s="12">
        <v>11</v>
      </c>
      <c r="F764" s="12"/>
      <c r="G764" s="12"/>
      <c r="H764" s="230">
        <f>H765</f>
        <v>67000</v>
      </c>
    </row>
    <row r="765" spans="1:8" s="28" customFormat="1" x14ac:dyDescent="0.25">
      <c r="A765" s="27">
        <v>411081</v>
      </c>
      <c r="B765" s="26" t="s">
        <v>631</v>
      </c>
      <c r="C765" s="12" t="s">
        <v>408</v>
      </c>
      <c r="D765" s="12" t="s">
        <v>1181</v>
      </c>
      <c r="E765" s="12">
        <v>11</v>
      </c>
      <c r="F765" s="12" t="s">
        <v>1076</v>
      </c>
      <c r="G765" s="12"/>
      <c r="H765" s="230">
        <f>H766</f>
        <v>67000</v>
      </c>
    </row>
    <row r="766" spans="1:8" s="28" customFormat="1" ht="31.5" x14ac:dyDescent="0.25">
      <c r="A766" s="27">
        <v>41108169</v>
      </c>
      <c r="B766" s="26" t="s">
        <v>1210</v>
      </c>
      <c r="C766" s="12" t="s">
        <v>408</v>
      </c>
      <c r="D766" s="12" t="s">
        <v>1181</v>
      </c>
      <c r="E766" s="12">
        <v>11</v>
      </c>
      <c r="F766" s="12" t="s">
        <v>1211</v>
      </c>
      <c r="G766" s="12"/>
      <c r="H766" s="230">
        <f>H767</f>
        <v>67000</v>
      </c>
    </row>
    <row r="767" spans="1:8" s="28" customFormat="1" x14ac:dyDescent="0.25">
      <c r="A767" s="27">
        <v>41108169012</v>
      </c>
      <c r="B767" s="26" t="s">
        <v>1012</v>
      </c>
      <c r="C767" s="12" t="s">
        <v>408</v>
      </c>
      <c r="D767" s="12" t="s">
        <v>1181</v>
      </c>
      <c r="E767" s="12">
        <v>11</v>
      </c>
      <c r="F767" s="12" t="s">
        <v>1211</v>
      </c>
      <c r="G767" s="12" t="s">
        <v>1224</v>
      </c>
      <c r="H767" s="230">
        <f>48000+19000</f>
        <v>67000</v>
      </c>
    </row>
    <row r="768" spans="1:8" s="28" customFormat="1" x14ac:dyDescent="0.25">
      <c r="A768" s="29">
        <v>412</v>
      </c>
      <c r="B768" s="26" t="s">
        <v>1253</v>
      </c>
      <c r="C768" s="12" t="s">
        <v>408</v>
      </c>
      <c r="D768" s="12" t="s">
        <v>1181</v>
      </c>
      <c r="E768" s="12">
        <v>12</v>
      </c>
      <c r="F768" s="12"/>
      <c r="G768" s="12"/>
      <c r="H768" s="53">
        <f>H769</f>
        <v>400000</v>
      </c>
    </row>
    <row r="769" spans="1:8" s="28" customFormat="1" ht="31.5" x14ac:dyDescent="0.25">
      <c r="A769" s="27">
        <v>412340</v>
      </c>
      <c r="B769" s="26" t="s">
        <v>481</v>
      </c>
      <c r="C769" s="12" t="s">
        <v>408</v>
      </c>
      <c r="D769" s="12" t="s">
        <v>1181</v>
      </c>
      <c r="E769" s="12">
        <v>12</v>
      </c>
      <c r="F769" s="10" t="s">
        <v>1015</v>
      </c>
      <c r="G769" s="12"/>
      <c r="H769" s="53">
        <f>H770</f>
        <v>400000</v>
      </c>
    </row>
    <row r="770" spans="1:8" s="28" customFormat="1" x14ac:dyDescent="0.25">
      <c r="A770" s="27">
        <v>41234004</v>
      </c>
      <c r="B770" s="65" t="s">
        <v>1215</v>
      </c>
      <c r="C770" s="12" t="s">
        <v>408</v>
      </c>
      <c r="D770" s="12" t="s">
        <v>1181</v>
      </c>
      <c r="E770" s="12">
        <v>12</v>
      </c>
      <c r="F770" s="10" t="s">
        <v>1753</v>
      </c>
      <c r="G770" s="10"/>
      <c r="H770" s="53">
        <f>H771</f>
        <v>400000</v>
      </c>
    </row>
    <row r="771" spans="1:8" s="28" customFormat="1" x14ac:dyDescent="0.25">
      <c r="A771" s="27">
        <v>41234004013</v>
      </c>
      <c r="B771" s="65" t="s">
        <v>1335</v>
      </c>
      <c r="C771" s="12" t="s">
        <v>408</v>
      </c>
      <c r="D771" s="12" t="s">
        <v>1181</v>
      </c>
      <c r="E771" s="12">
        <v>12</v>
      </c>
      <c r="F771" s="10" t="s">
        <v>1753</v>
      </c>
      <c r="G771" s="12" t="s">
        <v>972</v>
      </c>
      <c r="H771" s="53">
        <v>400000</v>
      </c>
    </row>
    <row r="772" spans="1:8" s="28" customFormat="1" x14ac:dyDescent="0.25">
      <c r="A772" s="29">
        <v>5</v>
      </c>
      <c r="B772" s="35" t="s">
        <v>410</v>
      </c>
      <c r="C772" s="12" t="s">
        <v>408</v>
      </c>
      <c r="D772" s="12" t="s">
        <v>175</v>
      </c>
      <c r="E772" s="12"/>
      <c r="F772" s="12"/>
      <c r="G772" s="12"/>
      <c r="H772" s="53">
        <f>H773</f>
        <v>371840</v>
      </c>
    </row>
    <row r="773" spans="1:8" s="28" customFormat="1" x14ac:dyDescent="0.25">
      <c r="A773" s="29">
        <v>502</v>
      </c>
      <c r="B773" s="190" t="s">
        <v>297</v>
      </c>
      <c r="C773" s="12" t="s">
        <v>408</v>
      </c>
      <c r="D773" s="12" t="s">
        <v>175</v>
      </c>
      <c r="E773" s="12" t="s">
        <v>567</v>
      </c>
      <c r="F773" s="19"/>
      <c r="G773" s="10"/>
      <c r="H773" s="53">
        <f>H776</f>
        <v>371840</v>
      </c>
    </row>
    <row r="774" spans="1:8" s="28" customFormat="1" x14ac:dyDescent="0.25">
      <c r="A774" s="27">
        <v>502351</v>
      </c>
      <c r="B774" s="190" t="s">
        <v>1528</v>
      </c>
      <c r="C774" s="12" t="s">
        <v>408</v>
      </c>
      <c r="D774" s="12" t="s">
        <v>175</v>
      </c>
      <c r="E774" s="12" t="s">
        <v>567</v>
      </c>
      <c r="F774" s="12" t="s">
        <v>241</v>
      </c>
      <c r="G774" s="10"/>
      <c r="H774" s="53">
        <f>H775</f>
        <v>371840</v>
      </c>
    </row>
    <row r="775" spans="1:8" s="28" customFormat="1" ht="47.25" x14ac:dyDescent="0.25">
      <c r="A775" s="27">
        <v>50235104</v>
      </c>
      <c r="B775" s="190" t="s">
        <v>517</v>
      </c>
      <c r="C775" s="12" t="s">
        <v>408</v>
      </c>
      <c r="D775" s="12" t="s">
        <v>175</v>
      </c>
      <c r="E775" s="12" t="s">
        <v>567</v>
      </c>
      <c r="F775" s="12" t="s">
        <v>1501</v>
      </c>
      <c r="G775" s="10"/>
      <c r="H775" s="53">
        <f>H776</f>
        <v>371840</v>
      </c>
    </row>
    <row r="776" spans="1:8" s="28" customFormat="1" x14ac:dyDescent="0.25">
      <c r="A776" s="27">
        <v>50235104006</v>
      </c>
      <c r="B776" s="26" t="s">
        <v>84</v>
      </c>
      <c r="C776" s="12" t="s">
        <v>408</v>
      </c>
      <c r="D776" s="12" t="s">
        <v>175</v>
      </c>
      <c r="E776" s="12" t="s">
        <v>567</v>
      </c>
      <c r="F776" s="12" t="s">
        <v>1501</v>
      </c>
      <c r="G776" s="12" t="s">
        <v>165</v>
      </c>
      <c r="H776" s="53">
        <v>371840</v>
      </c>
    </row>
    <row r="777" spans="1:8" s="128" customFormat="1" hidden="1" x14ac:dyDescent="0.25">
      <c r="A777" s="29">
        <v>7</v>
      </c>
      <c r="B777" s="35" t="s">
        <v>174</v>
      </c>
      <c r="C777" s="12" t="s">
        <v>408</v>
      </c>
      <c r="D777" s="12" t="s">
        <v>205</v>
      </c>
      <c r="E777" s="10"/>
      <c r="F777" s="10"/>
      <c r="G777" s="10"/>
      <c r="H777" s="53">
        <f>H778</f>
        <v>0</v>
      </c>
    </row>
    <row r="778" spans="1:8" s="128" customFormat="1" hidden="1" x14ac:dyDescent="0.25">
      <c r="A778" s="29">
        <v>707</v>
      </c>
      <c r="B778" s="26" t="s">
        <v>699</v>
      </c>
      <c r="C778" s="12" t="s">
        <v>408</v>
      </c>
      <c r="D778" s="12" t="s">
        <v>205</v>
      </c>
      <c r="E778" s="12" t="s">
        <v>205</v>
      </c>
      <c r="F778" s="10"/>
      <c r="G778" s="10"/>
      <c r="H778" s="53">
        <f>H779</f>
        <v>0</v>
      </c>
    </row>
    <row r="779" spans="1:8" s="128" customFormat="1" ht="21" hidden="1" customHeight="1" x14ac:dyDescent="0.25">
      <c r="A779" s="27">
        <v>707432</v>
      </c>
      <c r="B779" s="26" t="s">
        <v>1482</v>
      </c>
      <c r="C779" s="12" t="s">
        <v>408</v>
      </c>
      <c r="D779" s="12" t="s">
        <v>205</v>
      </c>
      <c r="E779" s="12" t="s">
        <v>205</v>
      </c>
      <c r="F779" s="10" t="s">
        <v>965</v>
      </c>
      <c r="G779" s="12"/>
      <c r="H779" s="53">
        <f>H780</f>
        <v>0</v>
      </c>
    </row>
    <row r="780" spans="1:8" s="128" customFormat="1" hidden="1" x14ac:dyDescent="0.25">
      <c r="A780" s="27">
        <v>70743202</v>
      </c>
      <c r="B780" s="26" t="s">
        <v>541</v>
      </c>
      <c r="C780" s="12" t="s">
        <v>408</v>
      </c>
      <c r="D780" s="12" t="s">
        <v>205</v>
      </c>
      <c r="E780" s="12" t="s">
        <v>205</v>
      </c>
      <c r="F780" s="10" t="s">
        <v>262</v>
      </c>
      <c r="G780" s="12"/>
      <c r="H780" s="53">
        <f>H781</f>
        <v>0</v>
      </c>
    </row>
    <row r="781" spans="1:8" s="128" customFormat="1" hidden="1" x14ac:dyDescent="0.25">
      <c r="A781" s="27">
        <v>70743202001</v>
      </c>
      <c r="B781" s="26" t="s">
        <v>1435</v>
      </c>
      <c r="C781" s="12" t="s">
        <v>408</v>
      </c>
      <c r="D781" s="12" t="s">
        <v>205</v>
      </c>
      <c r="E781" s="12" t="s">
        <v>205</v>
      </c>
      <c r="F781" s="10" t="s">
        <v>262</v>
      </c>
      <c r="G781" s="12" t="s">
        <v>1394</v>
      </c>
      <c r="H781" s="53"/>
    </row>
    <row r="782" spans="1:8" s="28" customFormat="1" x14ac:dyDescent="0.25">
      <c r="A782" s="29"/>
      <c r="B782" s="26"/>
      <c r="C782" s="12"/>
      <c r="D782" s="10"/>
      <c r="E782" s="12"/>
      <c r="F782" s="12"/>
      <c r="G782" s="12"/>
      <c r="H782" s="53"/>
    </row>
    <row r="783" spans="1:8" s="3" customFormat="1" ht="15" customHeight="1" x14ac:dyDescent="0.25">
      <c r="A783" s="40">
        <v>0</v>
      </c>
      <c r="B783" s="30" t="s">
        <v>1081</v>
      </c>
      <c r="C783" s="42" t="s">
        <v>1082</v>
      </c>
      <c r="D783" s="31"/>
      <c r="E783" s="31"/>
      <c r="F783" s="31"/>
      <c r="G783" s="31"/>
      <c r="H783" s="187">
        <f>H784+H813+H818+H823+H837+H839</f>
        <v>4412869</v>
      </c>
    </row>
    <row r="784" spans="1:8" s="28" customFormat="1" x14ac:dyDescent="0.25">
      <c r="A784" s="29">
        <v>1</v>
      </c>
      <c r="B784" s="35" t="s">
        <v>482</v>
      </c>
      <c r="C784" s="12" t="s">
        <v>1082</v>
      </c>
      <c r="D784" s="12" t="s">
        <v>566</v>
      </c>
      <c r="E784" s="10"/>
      <c r="F784" s="10"/>
      <c r="G784" s="10"/>
      <c r="H784" s="53">
        <f>H785</f>
        <v>4277978</v>
      </c>
    </row>
    <row r="785" spans="1:8" s="28" customFormat="1" x14ac:dyDescent="0.25">
      <c r="A785" s="29">
        <v>114</v>
      </c>
      <c r="B785" s="37" t="s">
        <v>287</v>
      </c>
      <c r="C785" s="12" t="s">
        <v>1082</v>
      </c>
      <c r="D785" s="12" t="s">
        <v>566</v>
      </c>
      <c r="E785" s="12">
        <v>14</v>
      </c>
      <c r="F785" s="12"/>
      <c r="G785" s="10"/>
      <c r="H785" s="53">
        <f>H786+H791+H799+H807+H811</f>
        <v>4277978</v>
      </c>
    </row>
    <row r="786" spans="1:8" s="147" customFormat="1" x14ac:dyDescent="0.25">
      <c r="A786" s="188">
        <v>114001</v>
      </c>
      <c r="B786" s="38" t="s">
        <v>637</v>
      </c>
      <c r="C786" s="25" t="s">
        <v>1082</v>
      </c>
      <c r="D786" s="25" t="s">
        <v>566</v>
      </c>
      <c r="E786" s="25">
        <v>14</v>
      </c>
      <c r="F786" s="25" t="s">
        <v>1096</v>
      </c>
      <c r="G786" s="25"/>
      <c r="H786" s="230">
        <f>H787+H789</f>
        <v>1420</v>
      </c>
    </row>
    <row r="787" spans="1:8" s="147" customFormat="1" ht="31.5" x14ac:dyDescent="0.25">
      <c r="A787" s="188">
        <v>11400129</v>
      </c>
      <c r="B787" s="38" t="s">
        <v>1512</v>
      </c>
      <c r="C787" s="25" t="s">
        <v>1082</v>
      </c>
      <c r="D787" s="25" t="s">
        <v>566</v>
      </c>
      <c r="E787" s="25">
        <v>14</v>
      </c>
      <c r="F787" s="25" t="s">
        <v>912</v>
      </c>
      <c r="G787" s="25"/>
      <c r="H787" s="230">
        <f>H788</f>
        <v>670</v>
      </c>
    </row>
    <row r="788" spans="1:8" s="131" customFormat="1" x14ac:dyDescent="0.25">
      <c r="A788" s="188">
        <v>11400129012</v>
      </c>
      <c r="B788" s="38" t="s">
        <v>1012</v>
      </c>
      <c r="C788" s="25" t="s">
        <v>1082</v>
      </c>
      <c r="D788" s="25" t="s">
        <v>566</v>
      </c>
      <c r="E788" s="25">
        <v>14</v>
      </c>
      <c r="F788" s="25" t="s">
        <v>912</v>
      </c>
      <c r="G788" s="25" t="s">
        <v>1224</v>
      </c>
      <c r="H788" s="233">
        <v>670</v>
      </c>
    </row>
    <row r="789" spans="1:8" s="147" customFormat="1" ht="30" customHeight="1" x14ac:dyDescent="0.25">
      <c r="A789" s="188">
        <v>11400141</v>
      </c>
      <c r="B789" s="38" t="s">
        <v>1033</v>
      </c>
      <c r="C789" s="25" t="s">
        <v>1082</v>
      </c>
      <c r="D789" s="25" t="s">
        <v>566</v>
      </c>
      <c r="E789" s="25">
        <v>14</v>
      </c>
      <c r="F789" s="25" t="s">
        <v>913</v>
      </c>
      <c r="G789" s="25"/>
      <c r="H789" s="230">
        <f>H790</f>
        <v>750</v>
      </c>
    </row>
    <row r="790" spans="1:8" s="131" customFormat="1" x14ac:dyDescent="0.25">
      <c r="A790" s="188">
        <v>11400141012</v>
      </c>
      <c r="B790" s="38" t="s">
        <v>1012</v>
      </c>
      <c r="C790" s="25" t="s">
        <v>1082</v>
      </c>
      <c r="D790" s="25" t="s">
        <v>566</v>
      </c>
      <c r="E790" s="25">
        <v>14</v>
      </c>
      <c r="F790" s="25" t="s">
        <v>913</v>
      </c>
      <c r="G790" s="25" t="s">
        <v>1224</v>
      </c>
      <c r="H790" s="233">
        <v>750</v>
      </c>
    </row>
    <row r="791" spans="1:8" s="28" customFormat="1" ht="47.25" x14ac:dyDescent="0.25">
      <c r="A791" s="27">
        <v>114002</v>
      </c>
      <c r="B791" s="26" t="s">
        <v>1657</v>
      </c>
      <c r="C791" s="12" t="s">
        <v>1082</v>
      </c>
      <c r="D791" s="12" t="s">
        <v>566</v>
      </c>
      <c r="E791" s="12">
        <v>14</v>
      </c>
      <c r="F791" s="12" t="s">
        <v>200</v>
      </c>
      <c r="G791" s="12"/>
      <c r="H791" s="53">
        <f>H792+H795+H797</f>
        <v>203468</v>
      </c>
    </row>
    <row r="792" spans="1:8" s="28" customFormat="1" x14ac:dyDescent="0.25">
      <c r="A792" s="27">
        <v>11400204</v>
      </c>
      <c r="B792" s="26" t="s">
        <v>638</v>
      </c>
      <c r="C792" s="12" t="s">
        <v>1082</v>
      </c>
      <c r="D792" s="12" t="s">
        <v>566</v>
      </c>
      <c r="E792" s="12">
        <v>14</v>
      </c>
      <c r="F792" s="12" t="s">
        <v>797</v>
      </c>
      <c r="G792" s="12"/>
      <c r="H792" s="53">
        <f>SUM(H793:H794)</f>
        <v>203468</v>
      </c>
    </row>
    <row r="793" spans="1:8" s="131" customFormat="1" x14ac:dyDescent="0.25">
      <c r="A793" s="27">
        <v>11400204012</v>
      </c>
      <c r="B793" s="38" t="s">
        <v>1012</v>
      </c>
      <c r="C793" s="12" t="s">
        <v>1082</v>
      </c>
      <c r="D793" s="12" t="s">
        <v>566</v>
      </c>
      <c r="E793" s="12">
        <v>14</v>
      </c>
      <c r="F793" s="25" t="s">
        <v>797</v>
      </c>
      <c r="G793" s="25" t="s">
        <v>1224</v>
      </c>
      <c r="H793" s="185">
        <v>198468</v>
      </c>
    </row>
    <row r="794" spans="1:8" s="28" customFormat="1" ht="63" x14ac:dyDescent="0.25">
      <c r="A794" s="27">
        <v>11400204902</v>
      </c>
      <c r="B794" s="26" t="s">
        <v>1100</v>
      </c>
      <c r="C794" s="12" t="s">
        <v>1082</v>
      </c>
      <c r="D794" s="12" t="s">
        <v>566</v>
      </c>
      <c r="E794" s="12">
        <v>14</v>
      </c>
      <c r="F794" s="12" t="s">
        <v>797</v>
      </c>
      <c r="G794" s="12">
        <v>902</v>
      </c>
      <c r="H794" s="53">
        <v>5000</v>
      </c>
    </row>
    <row r="795" spans="1:8" s="28" customFormat="1" ht="31.5" hidden="1" x14ac:dyDescent="0.25">
      <c r="A795" s="27">
        <v>11400229</v>
      </c>
      <c r="B795" s="26" t="s">
        <v>1512</v>
      </c>
      <c r="C795" s="12" t="s">
        <v>1082</v>
      </c>
      <c r="D795" s="12" t="s">
        <v>566</v>
      </c>
      <c r="E795" s="12">
        <v>14</v>
      </c>
      <c r="F795" s="12" t="s">
        <v>843</v>
      </c>
      <c r="G795" s="12"/>
      <c r="H795" s="53">
        <f>H796</f>
        <v>0</v>
      </c>
    </row>
    <row r="796" spans="1:8" s="28" customFormat="1" hidden="1" x14ac:dyDescent="0.25">
      <c r="A796" s="27">
        <v>11400229012</v>
      </c>
      <c r="B796" s="26" t="s">
        <v>1012</v>
      </c>
      <c r="C796" s="12" t="s">
        <v>1082</v>
      </c>
      <c r="D796" s="12" t="s">
        <v>566</v>
      </c>
      <c r="E796" s="12">
        <v>14</v>
      </c>
      <c r="F796" s="12" t="s">
        <v>843</v>
      </c>
      <c r="G796" s="12" t="s">
        <v>1224</v>
      </c>
      <c r="H796" s="230">
        <f>670-670</f>
        <v>0</v>
      </c>
    </row>
    <row r="797" spans="1:8" s="28" customFormat="1" ht="33.75" hidden="1" customHeight="1" x14ac:dyDescent="0.25">
      <c r="A797" s="27">
        <v>11400241</v>
      </c>
      <c r="B797" s="26" t="s">
        <v>1033</v>
      </c>
      <c r="C797" s="12" t="s">
        <v>1082</v>
      </c>
      <c r="D797" s="12" t="s">
        <v>566</v>
      </c>
      <c r="E797" s="12">
        <v>14</v>
      </c>
      <c r="F797" s="12" t="s">
        <v>1363</v>
      </c>
      <c r="G797" s="12"/>
      <c r="H797" s="53">
        <f>H798</f>
        <v>0</v>
      </c>
    </row>
    <row r="798" spans="1:8" s="28" customFormat="1" hidden="1" x14ac:dyDescent="0.25">
      <c r="A798" s="27">
        <v>11400241012</v>
      </c>
      <c r="B798" s="26" t="s">
        <v>1012</v>
      </c>
      <c r="C798" s="12" t="s">
        <v>1082</v>
      </c>
      <c r="D798" s="12" t="s">
        <v>566</v>
      </c>
      <c r="E798" s="12">
        <v>14</v>
      </c>
      <c r="F798" s="12" t="s">
        <v>1363</v>
      </c>
      <c r="G798" s="12" t="s">
        <v>1224</v>
      </c>
      <c r="H798" s="230">
        <f>750-750</f>
        <v>0</v>
      </c>
    </row>
    <row r="799" spans="1:8" s="28" customFormat="1" ht="33.75" customHeight="1" x14ac:dyDescent="0.25">
      <c r="A799" s="27">
        <v>114090</v>
      </c>
      <c r="B799" s="26" t="s">
        <v>1697</v>
      </c>
      <c r="C799" s="12" t="s">
        <v>1082</v>
      </c>
      <c r="D799" s="12" t="s">
        <v>566</v>
      </c>
      <c r="E799" s="12">
        <v>14</v>
      </c>
      <c r="F799" s="12" t="s">
        <v>629</v>
      </c>
      <c r="G799" s="12"/>
      <c r="H799" s="53">
        <f>H800+H805</f>
        <v>16092</v>
      </c>
    </row>
    <row r="800" spans="1:8" s="28" customFormat="1" ht="34.5" customHeight="1" x14ac:dyDescent="0.25">
      <c r="A800" s="27">
        <v>11409002</v>
      </c>
      <c r="B800" s="26" t="s">
        <v>317</v>
      </c>
      <c r="C800" s="12" t="s">
        <v>1082</v>
      </c>
      <c r="D800" s="12" t="s">
        <v>566</v>
      </c>
      <c r="E800" s="12">
        <v>14</v>
      </c>
      <c r="F800" s="12" t="s">
        <v>803</v>
      </c>
      <c r="G800" s="10"/>
      <c r="H800" s="53">
        <f>H801+H803</f>
        <v>15748</v>
      </c>
    </row>
    <row r="801" spans="1:8" s="28" customFormat="1" ht="34.5" customHeight="1" x14ac:dyDescent="0.25">
      <c r="A801" s="27">
        <v>1140900201</v>
      </c>
      <c r="B801" s="26" t="s">
        <v>564</v>
      </c>
      <c r="C801" s="12" t="s">
        <v>1082</v>
      </c>
      <c r="D801" s="12" t="s">
        <v>566</v>
      </c>
      <c r="E801" s="12">
        <v>14</v>
      </c>
      <c r="F801" s="12" t="s">
        <v>804</v>
      </c>
      <c r="G801" s="10"/>
      <c r="H801" s="53">
        <f>H802</f>
        <v>64</v>
      </c>
    </row>
    <row r="802" spans="1:8" s="28" customFormat="1" x14ac:dyDescent="0.25">
      <c r="A802" s="27">
        <v>1140900201012</v>
      </c>
      <c r="B802" s="26" t="s">
        <v>1012</v>
      </c>
      <c r="C802" s="12" t="s">
        <v>1082</v>
      </c>
      <c r="D802" s="12" t="s">
        <v>566</v>
      </c>
      <c r="E802" s="12">
        <v>14</v>
      </c>
      <c r="F802" s="12" t="s">
        <v>804</v>
      </c>
      <c r="G802" s="12" t="s">
        <v>1224</v>
      </c>
      <c r="H802" s="53">
        <v>64</v>
      </c>
    </row>
    <row r="803" spans="1:8" s="28" customFormat="1" ht="34.5" customHeight="1" x14ac:dyDescent="0.25">
      <c r="A803" s="27">
        <v>1140900202</v>
      </c>
      <c r="B803" s="26" t="s">
        <v>842</v>
      </c>
      <c r="C803" s="12" t="s">
        <v>1082</v>
      </c>
      <c r="D803" s="12" t="s">
        <v>566</v>
      </c>
      <c r="E803" s="12">
        <v>14</v>
      </c>
      <c r="F803" s="12" t="s">
        <v>1374</v>
      </c>
      <c r="G803" s="10"/>
      <c r="H803" s="53">
        <f>H804</f>
        <v>15684</v>
      </c>
    </row>
    <row r="804" spans="1:8" s="28" customFormat="1" x14ac:dyDescent="0.25">
      <c r="A804" s="27">
        <v>1140900202012</v>
      </c>
      <c r="B804" s="26" t="s">
        <v>1012</v>
      </c>
      <c r="C804" s="12" t="s">
        <v>1082</v>
      </c>
      <c r="D804" s="12" t="s">
        <v>566</v>
      </c>
      <c r="E804" s="12">
        <v>14</v>
      </c>
      <c r="F804" s="12" t="s">
        <v>1374</v>
      </c>
      <c r="G804" s="12" t="s">
        <v>1224</v>
      </c>
      <c r="H804" s="53">
        <v>15684</v>
      </c>
    </row>
    <row r="805" spans="1:8" s="28" customFormat="1" ht="34.5" customHeight="1" x14ac:dyDescent="0.25">
      <c r="A805" s="27">
        <v>11409003</v>
      </c>
      <c r="B805" s="26" t="s">
        <v>1032</v>
      </c>
      <c r="C805" s="12" t="s">
        <v>1082</v>
      </c>
      <c r="D805" s="6" t="s">
        <v>566</v>
      </c>
      <c r="E805" s="12">
        <v>14</v>
      </c>
      <c r="F805" s="12" t="s">
        <v>910</v>
      </c>
      <c r="G805" s="10"/>
      <c r="H805" s="53">
        <f>H806</f>
        <v>344</v>
      </c>
    </row>
    <row r="806" spans="1:8" s="28" customFormat="1" x14ac:dyDescent="0.25">
      <c r="A806" s="27">
        <v>11409003012</v>
      </c>
      <c r="B806" s="26" t="s">
        <v>1012</v>
      </c>
      <c r="C806" s="12" t="s">
        <v>1082</v>
      </c>
      <c r="D806" s="6" t="s">
        <v>566</v>
      </c>
      <c r="E806" s="12">
        <v>14</v>
      </c>
      <c r="F806" s="12" t="s">
        <v>910</v>
      </c>
      <c r="G806" s="12" t="s">
        <v>1224</v>
      </c>
      <c r="H806" s="53">
        <v>344</v>
      </c>
    </row>
    <row r="807" spans="1:8" s="28" customFormat="1" ht="31.5" x14ac:dyDescent="0.25">
      <c r="A807" s="27">
        <v>114102</v>
      </c>
      <c r="B807" s="26" t="s">
        <v>106</v>
      </c>
      <c r="C807" s="12" t="s">
        <v>1082</v>
      </c>
      <c r="D807" s="12" t="s">
        <v>566</v>
      </c>
      <c r="E807" s="12">
        <v>14</v>
      </c>
      <c r="F807" s="10" t="s">
        <v>234</v>
      </c>
      <c r="G807" s="10"/>
      <c r="H807" s="53">
        <f>H808</f>
        <v>3681998</v>
      </c>
    </row>
    <row r="808" spans="1:8" s="28" customFormat="1" ht="63" x14ac:dyDescent="0.25">
      <c r="A808" s="27">
        <v>11410201</v>
      </c>
      <c r="B808" s="26" t="s">
        <v>942</v>
      </c>
      <c r="C808" s="12" t="s">
        <v>1082</v>
      </c>
      <c r="D808" s="12" t="s">
        <v>566</v>
      </c>
      <c r="E808" s="12">
        <v>14</v>
      </c>
      <c r="F808" s="10" t="s">
        <v>1178</v>
      </c>
      <c r="G808" s="10"/>
      <c r="H808" s="53">
        <f>H809</f>
        <v>3681998</v>
      </c>
    </row>
    <row r="809" spans="1:8" s="28" customFormat="1" ht="47.25" x14ac:dyDescent="0.25">
      <c r="A809" s="27">
        <v>1141020101</v>
      </c>
      <c r="B809" s="26" t="s">
        <v>1025</v>
      </c>
      <c r="C809" s="12" t="s">
        <v>1082</v>
      </c>
      <c r="D809" s="12" t="s">
        <v>566</v>
      </c>
      <c r="E809" s="12">
        <v>14</v>
      </c>
      <c r="F809" s="10" t="s">
        <v>1179</v>
      </c>
      <c r="G809" s="10"/>
      <c r="H809" s="53">
        <f>H810</f>
        <v>3681998</v>
      </c>
    </row>
    <row r="810" spans="1:8" s="28" customFormat="1" x14ac:dyDescent="0.25">
      <c r="A810" s="27">
        <v>1141020101003</v>
      </c>
      <c r="B810" s="26" t="s">
        <v>256</v>
      </c>
      <c r="C810" s="12" t="s">
        <v>1082</v>
      </c>
      <c r="D810" s="12" t="s">
        <v>566</v>
      </c>
      <c r="E810" s="12">
        <v>14</v>
      </c>
      <c r="F810" s="10" t="s">
        <v>1179</v>
      </c>
      <c r="G810" s="80" t="s">
        <v>539</v>
      </c>
      <c r="H810" s="53">
        <v>3681998</v>
      </c>
    </row>
    <row r="811" spans="1:8" s="28" customFormat="1" ht="34.5" customHeight="1" x14ac:dyDescent="0.25">
      <c r="A811" s="27">
        <v>114804</v>
      </c>
      <c r="B811" s="26" t="s">
        <v>966</v>
      </c>
      <c r="C811" s="12" t="s">
        <v>1082</v>
      </c>
      <c r="D811" s="12" t="s">
        <v>566</v>
      </c>
      <c r="E811" s="12">
        <v>14</v>
      </c>
      <c r="F811" s="12" t="s">
        <v>1011</v>
      </c>
      <c r="G811" s="10"/>
      <c r="H811" s="53">
        <f>H812</f>
        <v>375000</v>
      </c>
    </row>
    <row r="812" spans="1:8" s="28" customFormat="1" x14ac:dyDescent="0.25">
      <c r="A812" s="27">
        <v>114804012</v>
      </c>
      <c r="B812" s="26" t="s">
        <v>1012</v>
      </c>
      <c r="C812" s="12" t="s">
        <v>1082</v>
      </c>
      <c r="D812" s="12" t="s">
        <v>566</v>
      </c>
      <c r="E812" s="12">
        <v>14</v>
      </c>
      <c r="F812" s="12" t="s">
        <v>1011</v>
      </c>
      <c r="G812" s="12" t="s">
        <v>1224</v>
      </c>
      <c r="H812" s="53">
        <v>375000</v>
      </c>
    </row>
    <row r="813" spans="1:8" s="28" customFormat="1" x14ac:dyDescent="0.25">
      <c r="A813" s="27">
        <v>2</v>
      </c>
      <c r="B813" s="35" t="s">
        <v>271</v>
      </c>
      <c r="C813" s="12" t="s">
        <v>1082</v>
      </c>
      <c r="D813" s="12" t="s">
        <v>567</v>
      </c>
      <c r="E813" s="31"/>
      <c r="F813" s="31"/>
      <c r="G813" s="31"/>
      <c r="H813" s="53">
        <f>H814</f>
        <v>530</v>
      </c>
    </row>
    <row r="814" spans="1:8" s="28" customFormat="1" x14ac:dyDescent="0.25">
      <c r="A814" s="27">
        <v>204</v>
      </c>
      <c r="B814" s="26" t="s">
        <v>1054</v>
      </c>
      <c r="C814" s="12" t="s">
        <v>1082</v>
      </c>
      <c r="D814" s="12" t="s">
        <v>567</v>
      </c>
      <c r="E814" s="12" t="s">
        <v>1181</v>
      </c>
      <c r="F814" s="31"/>
      <c r="G814" s="31"/>
      <c r="H814" s="53">
        <f>H815</f>
        <v>530</v>
      </c>
    </row>
    <row r="815" spans="1:8" s="28" customFormat="1" ht="31.5" x14ac:dyDescent="0.25">
      <c r="A815" s="27">
        <v>204209</v>
      </c>
      <c r="B815" s="26" t="s">
        <v>141</v>
      </c>
      <c r="C815" s="12" t="s">
        <v>1082</v>
      </c>
      <c r="D815" s="12" t="s">
        <v>567</v>
      </c>
      <c r="E815" s="12" t="s">
        <v>1181</v>
      </c>
      <c r="F815" s="10" t="s">
        <v>270</v>
      </c>
      <c r="G815" s="31"/>
      <c r="H815" s="53">
        <f>H816</f>
        <v>530</v>
      </c>
    </row>
    <row r="816" spans="1:8" s="28" customFormat="1" ht="31.5" x14ac:dyDescent="0.25">
      <c r="A816" s="27">
        <v>20420901</v>
      </c>
      <c r="B816" s="26" t="s">
        <v>1408</v>
      </c>
      <c r="C816" s="12" t="s">
        <v>1082</v>
      </c>
      <c r="D816" s="12" t="s">
        <v>567</v>
      </c>
      <c r="E816" s="12" t="s">
        <v>1181</v>
      </c>
      <c r="F816" s="10" t="s">
        <v>956</v>
      </c>
      <c r="G816" s="31"/>
      <c r="H816" s="53">
        <f>H817</f>
        <v>530</v>
      </c>
    </row>
    <row r="817" spans="1:8" s="28" customFormat="1" x14ac:dyDescent="0.25">
      <c r="A817" s="27">
        <v>20420901012</v>
      </c>
      <c r="B817" s="65" t="s">
        <v>1012</v>
      </c>
      <c r="C817" s="12" t="s">
        <v>1082</v>
      </c>
      <c r="D817" s="12" t="s">
        <v>567</v>
      </c>
      <c r="E817" s="12" t="s">
        <v>1181</v>
      </c>
      <c r="F817" s="10" t="s">
        <v>956</v>
      </c>
      <c r="G817" s="12" t="s">
        <v>1224</v>
      </c>
      <c r="H817" s="53">
        <v>530</v>
      </c>
    </row>
    <row r="818" spans="1:8" s="28" customFormat="1" ht="21" customHeight="1" x14ac:dyDescent="0.25">
      <c r="A818" s="27">
        <v>3</v>
      </c>
      <c r="B818" s="35" t="s">
        <v>1049</v>
      </c>
      <c r="C818" s="12" t="s">
        <v>1082</v>
      </c>
      <c r="D818" s="12" t="s">
        <v>193</v>
      </c>
      <c r="E818" s="12"/>
      <c r="F818" s="10"/>
      <c r="G818" s="12"/>
      <c r="H818" s="53">
        <f>H819</f>
        <v>124</v>
      </c>
    </row>
    <row r="819" spans="1:8" s="28" customFormat="1" ht="47.25" x14ac:dyDescent="0.25">
      <c r="A819" s="27">
        <v>309</v>
      </c>
      <c r="B819" s="26" t="s">
        <v>133</v>
      </c>
      <c r="C819" s="12" t="s">
        <v>1082</v>
      </c>
      <c r="D819" s="12" t="s">
        <v>193</v>
      </c>
      <c r="E819" s="12" t="s">
        <v>406</v>
      </c>
      <c r="F819" s="10"/>
      <c r="G819" s="12"/>
      <c r="H819" s="53">
        <f>H820</f>
        <v>124</v>
      </c>
    </row>
    <row r="820" spans="1:8" s="28" customFormat="1" x14ac:dyDescent="0.25">
      <c r="A820" s="27">
        <v>309219</v>
      </c>
      <c r="B820" s="26" t="s">
        <v>1098</v>
      </c>
      <c r="C820" s="12" t="s">
        <v>1082</v>
      </c>
      <c r="D820" s="12" t="s">
        <v>193</v>
      </c>
      <c r="E820" s="12" t="s">
        <v>406</v>
      </c>
      <c r="F820" s="10" t="s">
        <v>620</v>
      </c>
      <c r="G820" s="12"/>
      <c r="H820" s="53">
        <f>H821</f>
        <v>124</v>
      </c>
    </row>
    <row r="821" spans="1:8" s="28" customFormat="1" ht="31.5" x14ac:dyDescent="0.25">
      <c r="A821" s="27">
        <v>30921901</v>
      </c>
      <c r="B821" s="26" t="s">
        <v>591</v>
      </c>
      <c r="C821" s="12" t="s">
        <v>1082</v>
      </c>
      <c r="D821" s="12" t="s">
        <v>193</v>
      </c>
      <c r="E821" s="12" t="s">
        <v>406</v>
      </c>
      <c r="F821" s="10" t="s">
        <v>269</v>
      </c>
      <c r="G821" s="12"/>
      <c r="H821" s="53">
        <f>H822</f>
        <v>124</v>
      </c>
    </row>
    <row r="822" spans="1:8" s="28" customFormat="1" x14ac:dyDescent="0.25">
      <c r="A822" s="27">
        <v>30921901012</v>
      </c>
      <c r="B822" s="65" t="s">
        <v>1012</v>
      </c>
      <c r="C822" s="12" t="s">
        <v>1082</v>
      </c>
      <c r="D822" s="12" t="s">
        <v>193</v>
      </c>
      <c r="E822" s="12" t="s">
        <v>406</v>
      </c>
      <c r="F822" s="10" t="s">
        <v>269</v>
      </c>
      <c r="G822" s="12" t="s">
        <v>1224</v>
      </c>
      <c r="H822" s="53">
        <v>124</v>
      </c>
    </row>
    <row r="823" spans="1:8" s="28" customFormat="1" x14ac:dyDescent="0.25">
      <c r="A823" s="29">
        <v>4</v>
      </c>
      <c r="B823" s="35" t="s">
        <v>993</v>
      </c>
      <c r="C823" s="12" t="s">
        <v>1082</v>
      </c>
      <c r="D823" s="12" t="s">
        <v>1181</v>
      </c>
      <c r="E823" s="10"/>
      <c r="F823" s="10"/>
      <c r="G823" s="10"/>
      <c r="H823" s="53">
        <f>H824+H828</f>
        <v>134076</v>
      </c>
    </row>
    <row r="824" spans="1:8" s="28" customFormat="1" x14ac:dyDescent="0.25">
      <c r="A824" s="29">
        <v>410</v>
      </c>
      <c r="B824" s="26" t="s">
        <v>626</v>
      </c>
      <c r="C824" s="12" t="s">
        <v>1082</v>
      </c>
      <c r="D824" s="12" t="s">
        <v>1181</v>
      </c>
      <c r="E824" s="12" t="s">
        <v>768</v>
      </c>
      <c r="F824" s="10"/>
      <c r="G824" s="10"/>
      <c r="H824" s="53">
        <f>H825</f>
        <v>6880</v>
      </c>
    </row>
    <row r="825" spans="1:8" s="28" customFormat="1" x14ac:dyDescent="0.25">
      <c r="A825" s="27">
        <v>410330</v>
      </c>
      <c r="B825" s="26" t="s">
        <v>764</v>
      </c>
      <c r="C825" s="12" t="s">
        <v>1082</v>
      </c>
      <c r="D825" s="12" t="s">
        <v>1181</v>
      </c>
      <c r="E825" s="12" t="s">
        <v>768</v>
      </c>
      <c r="F825" s="10" t="s">
        <v>1010</v>
      </c>
      <c r="G825" s="10"/>
      <c r="H825" s="53">
        <f>H826</f>
        <v>6880</v>
      </c>
    </row>
    <row r="826" spans="1:8" s="28" customFormat="1" x14ac:dyDescent="0.25">
      <c r="A826" s="27">
        <v>41033082</v>
      </c>
      <c r="B826" s="26" t="s">
        <v>280</v>
      </c>
      <c r="C826" s="12" t="s">
        <v>1082</v>
      </c>
      <c r="D826" s="12" t="s">
        <v>1181</v>
      </c>
      <c r="E826" s="12" t="s">
        <v>768</v>
      </c>
      <c r="F826" s="10" t="s">
        <v>749</v>
      </c>
      <c r="G826" s="10"/>
      <c r="H826" s="53">
        <f>H827</f>
        <v>6880</v>
      </c>
    </row>
    <row r="827" spans="1:8" s="28" customFormat="1" x14ac:dyDescent="0.25">
      <c r="A827" s="27">
        <v>41033082012</v>
      </c>
      <c r="B827" s="26" t="s">
        <v>1012</v>
      </c>
      <c r="C827" s="12" t="s">
        <v>1082</v>
      </c>
      <c r="D827" s="12" t="s">
        <v>1181</v>
      </c>
      <c r="E827" s="12" t="s">
        <v>768</v>
      </c>
      <c r="F827" s="10" t="s">
        <v>749</v>
      </c>
      <c r="G827" s="12" t="s">
        <v>1224</v>
      </c>
      <c r="H827" s="53">
        <v>6880</v>
      </c>
    </row>
    <row r="828" spans="1:8" s="28" customFormat="1" x14ac:dyDescent="0.25">
      <c r="A828" s="29">
        <v>412</v>
      </c>
      <c r="B828" s="26" t="s">
        <v>1253</v>
      </c>
      <c r="C828" s="12" t="s">
        <v>1082</v>
      </c>
      <c r="D828" s="12" t="s">
        <v>1181</v>
      </c>
      <c r="E828" s="12">
        <v>12</v>
      </c>
      <c r="F828" s="10"/>
      <c r="G828" s="10"/>
      <c r="H828" s="53">
        <f>H829</f>
        <v>127196</v>
      </c>
    </row>
    <row r="829" spans="1:8" s="28" customFormat="1" ht="31.5" x14ac:dyDescent="0.25">
      <c r="A829" s="27">
        <v>412340</v>
      </c>
      <c r="B829" s="26" t="s">
        <v>481</v>
      </c>
      <c r="C829" s="12" t="s">
        <v>1082</v>
      </c>
      <c r="D829" s="12" t="s">
        <v>1181</v>
      </c>
      <c r="E829" s="12">
        <v>12</v>
      </c>
      <c r="F829" s="10" t="s">
        <v>1679</v>
      </c>
      <c r="G829" s="10"/>
      <c r="H829" s="53">
        <f>H830</f>
        <v>127196</v>
      </c>
    </row>
    <row r="830" spans="1:8" s="28" customFormat="1" x14ac:dyDescent="0.25">
      <c r="A830" s="27">
        <v>41234003</v>
      </c>
      <c r="B830" s="26" t="s">
        <v>632</v>
      </c>
      <c r="C830" s="12" t="s">
        <v>1082</v>
      </c>
      <c r="D830" s="12" t="s">
        <v>1181</v>
      </c>
      <c r="E830" s="12">
        <v>12</v>
      </c>
      <c r="F830" s="10" t="s">
        <v>967</v>
      </c>
      <c r="G830" s="10"/>
      <c r="H830" s="53">
        <f>H831+H833+H835</f>
        <v>127196</v>
      </c>
    </row>
    <row r="831" spans="1:8" s="28" customFormat="1" ht="62.25" customHeight="1" x14ac:dyDescent="0.25">
      <c r="A831" s="27">
        <v>4123400301</v>
      </c>
      <c r="B831" s="76" t="s">
        <v>1616</v>
      </c>
      <c r="C831" s="12" t="s">
        <v>1082</v>
      </c>
      <c r="D831" s="12" t="s">
        <v>1181</v>
      </c>
      <c r="E831" s="12">
        <v>12</v>
      </c>
      <c r="F831" s="10" t="s">
        <v>968</v>
      </c>
      <c r="G831" s="10"/>
      <c r="H831" s="53">
        <f>H832</f>
        <v>98450</v>
      </c>
    </row>
    <row r="832" spans="1:8" s="28" customFormat="1" x14ac:dyDescent="0.25">
      <c r="A832" s="27">
        <v>4123400301012</v>
      </c>
      <c r="B832" s="26" t="s">
        <v>1012</v>
      </c>
      <c r="C832" s="12" t="s">
        <v>1082</v>
      </c>
      <c r="D832" s="12" t="s">
        <v>1181</v>
      </c>
      <c r="E832" s="12">
        <v>12</v>
      </c>
      <c r="F832" s="10" t="s">
        <v>968</v>
      </c>
      <c r="G832" s="12" t="s">
        <v>1224</v>
      </c>
      <c r="H832" s="53">
        <v>98450</v>
      </c>
    </row>
    <row r="833" spans="1:8" s="28" customFormat="1" ht="48.75" customHeight="1" x14ac:dyDescent="0.25">
      <c r="A833" s="27">
        <v>4123400302</v>
      </c>
      <c r="B833" s="76" t="s">
        <v>822</v>
      </c>
      <c r="C833" s="12" t="s">
        <v>1082</v>
      </c>
      <c r="D833" s="12" t="s">
        <v>1181</v>
      </c>
      <c r="E833" s="12">
        <v>12</v>
      </c>
      <c r="F833" s="10" t="s">
        <v>969</v>
      </c>
      <c r="G833" s="10"/>
      <c r="H833" s="53">
        <f>H834</f>
        <v>21850</v>
      </c>
    </row>
    <row r="834" spans="1:8" s="28" customFormat="1" x14ac:dyDescent="0.25">
      <c r="A834" s="27">
        <v>4123400302012</v>
      </c>
      <c r="B834" s="26" t="s">
        <v>1012</v>
      </c>
      <c r="C834" s="12" t="s">
        <v>1082</v>
      </c>
      <c r="D834" s="12" t="s">
        <v>1181</v>
      </c>
      <c r="E834" s="12">
        <v>12</v>
      </c>
      <c r="F834" s="10" t="s">
        <v>969</v>
      </c>
      <c r="G834" s="12" t="s">
        <v>1224</v>
      </c>
      <c r="H834" s="53">
        <v>21850</v>
      </c>
    </row>
    <row r="835" spans="1:8" s="28" customFormat="1" x14ac:dyDescent="0.25">
      <c r="A835" s="27">
        <v>4123400304</v>
      </c>
      <c r="B835" s="76" t="s">
        <v>760</v>
      </c>
      <c r="C835" s="12" t="s">
        <v>1082</v>
      </c>
      <c r="D835" s="12" t="s">
        <v>1181</v>
      </c>
      <c r="E835" s="12">
        <v>12</v>
      </c>
      <c r="F835" s="10" t="s">
        <v>1034</v>
      </c>
      <c r="G835" s="10"/>
      <c r="H835" s="53">
        <f>H836</f>
        <v>6896</v>
      </c>
    </row>
    <row r="836" spans="1:8" s="28" customFormat="1" x14ac:dyDescent="0.25">
      <c r="A836" s="27">
        <v>4123400304012</v>
      </c>
      <c r="B836" s="26" t="s">
        <v>1012</v>
      </c>
      <c r="C836" s="12" t="s">
        <v>1082</v>
      </c>
      <c r="D836" s="12" t="s">
        <v>1181</v>
      </c>
      <c r="E836" s="12">
        <v>12</v>
      </c>
      <c r="F836" s="10" t="s">
        <v>1034</v>
      </c>
      <c r="G836" s="12" t="s">
        <v>1224</v>
      </c>
      <c r="H836" s="53">
        <v>6896</v>
      </c>
    </row>
    <row r="837" spans="1:8" s="70" customFormat="1" hidden="1" x14ac:dyDescent="0.25">
      <c r="A837" s="29">
        <v>5</v>
      </c>
      <c r="B837" s="35" t="s">
        <v>173</v>
      </c>
      <c r="C837" s="12" t="s">
        <v>1082</v>
      </c>
      <c r="D837" s="12" t="s">
        <v>175</v>
      </c>
      <c r="E837" s="10"/>
      <c r="F837" s="10"/>
      <c r="G837" s="10"/>
      <c r="H837" s="185">
        <f>H838</f>
        <v>0</v>
      </c>
    </row>
    <row r="838" spans="1:8" s="69" customFormat="1" hidden="1" x14ac:dyDescent="0.25">
      <c r="A838" s="29">
        <v>501</v>
      </c>
      <c r="B838" s="37" t="s">
        <v>196</v>
      </c>
      <c r="C838" s="12" t="s">
        <v>1082</v>
      </c>
      <c r="D838" s="12" t="s">
        <v>175</v>
      </c>
      <c r="E838" s="12" t="s">
        <v>566</v>
      </c>
      <c r="F838" s="10"/>
      <c r="G838" s="10"/>
      <c r="H838" s="53"/>
    </row>
    <row r="839" spans="1:8" s="128" customFormat="1" x14ac:dyDescent="0.25">
      <c r="A839" s="29">
        <v>7</v>
      </c>
      <c r="B839" s="35" t="s">
        <v>174</v>
      </c>
      <c r="C839" s="12" t="s">
        <v>1082</v>
      </c>
      <c r="D839" s="12" t="s">
        <v>205</v>
      </c>
      <c r="E839" s="10"/>
      <c r="F839" s="10"/>
      <c r="G839" s="10"/>
      <c r="H839" s="53">
        <f>H840</f>
        <v>161</v>
      </c>
    </row>
    <row r="840" spans="1:8" s="128" customFormat="1" x14ac:dyDescent="0.25">
      <c r="A840" s="29">
        <v>707</v>
      </c>
      <c r="B840" s="26" t="s">
        <v>699</v>
      </c>
      <c r="C840" s="12" t="s">
        <v>1082</v>
      </c>
      <c r="D840" s="12" t="s">
        <v>205</v>
      </c>
      <c r="E840" s="12" t="s">
        <v>205</v>
      </c>
      <c r="F840" s="10"/>
      <c r="G840" s="10"/>
      <c r="H840" s="53">
        <f>H841</f>
        <v>161</v>
      </c>
    </row>
    <row r="841" spans="1:8" s="128" customFormat="1" ht="21" customHeight="1" x14ac:dyDescent="0.25">
      <c r="A841" s="27">
        <v>707432</v>
      </c>
      <c r="B841" s="26" t="s">
        <v>1482</v>
      </c>
      <c r="C841" s="12" t="s">
        <v>1082</v>
      </c>
      <c r="D841" s="12" t="s">
        <v>205</v>
      </c>
      <c r="E841" s="12" t="s">
        <v>205</v>
      </c>
      <c r="F841" s="10" t="s">
        <v>965</v>
      </c>
      <c r="G841" s="12"/>
      <c r="H841" s="53">
        <f>H842</f>
        <v>161</v>
      </c>
    </row>
    <row r="842" spans="1:8" s="128" customFormat="1" x14ac:dyDescent="0.25">
      <c r="A842" s="27">
        <v>70743202</v>
      </c>
      <c r="B842" s="26" t="s">
        <v>541</v>
      </c>
      <c r="C842" s="12" t="s">
        <v>1082</v>
      </c>
      <c r="D842" s="12" t="s">
        <v>205</v>
      </c>
      <c r="E842" s="12" t="s">
        <v>205</v>
      </c>
      <c r="F842" s="10" t="s">
        <v>262</v>
      </c>
      <c r="G842" s="12"/>
      <c r="H842" s="53">
        <f>H843</f>
        <v>161</v>
      </c>
    </row>
    <row r="843" spans="1:8" s="128" customFormat="1" x14ac:dyDescent="0.25">
      <c r="A843" s="27">
        <v>70743202001</v>
      </c>
      <c r="B843" s="26" t="s">
        <v>1435</v>
      </c>
      <c r="C843" s="12" t="s">
        <v>1082</v>
      </c>
      <c r="D843" s="12" t="s">
        <v>205</v>
      </c>
      <c r="E843" s="12" t="s">
        <v>205</v>
      </c>
      <c r="F843" s="10" t="s">
        <v>262</v>
      </c>
      <c r="G843" s="12" t="s">
        <v>1394</v>
      </c>
      <c r="H843" s="53">
        <v>161</v>
      </c>
    </row>
    <row r="844" spans="1:8" s="28" customFormat="1" x14ac:dyDescent="0.25">
      <c r="A844" s="29"/>
      <c r="B844" s="30"/>
      <c r="C844" s="12"/>
      <c r="D844" s="10"/>
      <c r="E844" s="10"/>
      <c r="F844" s="10"/>
      <c r="G844" s="10"/>
      <c r="H844" s="53"/>
    </row>
    <row r="845" spans="1:8" s="3" customFormat="1" ht="31.5" x14ac:dyDescent="0.25">
      <c r="A845" s="40">
        <v>0</v>
      </c>
      <c r="B845" s="41" t="s">
        <v>1223</v>
      </c>
      <c r="C845" s="42" t="s">
        <v>1224</v>
      </c>
      <c r="D845" s="42"/>
      <c r="E845" s="42"/>
      <c r="F845" s="42"/>
      <c r="G845" s="42"/>
      <c r="H845" s="187">
        <f>H846+H851+H856+H861</f>
        <v>2148211</v>
      </c>
    </row>
    <row r="846" spans="1:8" s="69" customFormat="1" x14ac:dyDescent="0.25">
      <c r="A846" s="29">
        <v>1</v>
      </c>
      <c r="B846" s="35" t="s">
        <v>482</v>
      </c>
      <c r="C846" s="12" t="s">
        <v>1224</v>
      </c>
      <c r="D846" s="12" t="s">
        <v>566</v>
      </c>
      <c r="E846" s="10"/>
      <c r="F846" s="10"/>
      <c r="G846" s="10"/>
      <c r="H846" s="53">
        <f>H847</f>
        <v>420</v>
      </c>
    </row>
    <row r="847" spans="1:8" s="69" customFormat="1" x14ac:dyDescent="0.25">
      <c r="A847" s="29">
        <v>108</v>
      </c>
      <c r="B847" s="26" t="s">
        <v>286</v>
      </c>
      <c r="C847" s="12" t="s">
        <v>1224</v>
      </c>
      <c r="D847" s="12" t="s">
        <v>566</v>
      </c>
      <c r="E847" s="12" t="s">
        <v>290</v>
      </c>
      <c r="F847" s="12"/>
      <c r="G847" s="10"/>
      <c r="H847" s="53">
        <f>H848</f>
        <v>420</v>
      </c>
    </row>
    <row r="848" spans="1:8" s="69" customFormat="1" ht="21" customHeight="1" x14ac:dyDescent="0.25">
      <c r="A848" s="27">
        <v>108522</v>
      </c>
      <c r="B848" s="65" t="s">
        <v>153</v>
      </c>
      <c r="C848" s="12" t="s">
        <v>1224</v>
      </c>
      <c r="D848" s="12" t="s">
        <v>566</v>
      </c>
      <c r="E848" s="12" t="s">
        <v>290</v>
      </c>
      <c r="F848" s="10" t="s">
        <v>611</v>
      </c>
      <c r="G848" s="12"/>
      <c r="H848" s="53">
        <f>H849</f>
        <v>420</v>
      </c>
    </row>
    <row r="849" spans="1:8" s="69" customFormat="1" ht="35.25" customHeight="1" x14ac:dyDescent="0.25">
      <c r="A849" s="27">
        <v>10852209</v>
      </c>
      <c r="B849" s="54" t="s">
        <v>782</v>
      </c>
      <c r="C849" s="12" t="s">
        <v>1224</v>
      </c>
      <c r="D849" s="12" t="s">
        <v>566</v>
      </c>
      <c r="E849" s="12" t="s">
        <v>290</v>
      </c>
      <c r="F849" s="10" t="s">
        <v>29</v>
      </c>
      <c r="G849" s="12"/>
      <c r="H849" s="53">
        <f>H850</f>
        <v>420</v>
      </c>
    </row>
    <row r="850" spans="1:8" s="69" customFormat="1" x14ac:dyDescent="0.25">
      <c r="A850" s="27">
        <v>10852209012</v>
      </c>
      <c r="B850" s="65" t="s">
        <v>1012</v>
      </c>
      <c r="C850" s="12" t="s">
        <v>1224</v>
      </c>
      <c r="D850" s="12" t="s">
        <v>566</v>
      </c>
      <c r="E850" s="12" t="s">
        <v>290</v>
      </c>
      <c r="F850" s="10" t="s">
        <v>29</v>
      </c>
      <c r="G850" s="6" t="s">
        <v>1224</v>
      </c>
      <c r="H850" s="53">
        <v>420</v>
      </c>
    </row>
    <row r="851" spans="1:8" s="3" customFormat="1" x14ac:dyDescent="0.25">
      <c r="A851" s="27">
        <v>2</v>
      </c>
      <c r="B851" s="35" t="s">
        <v>271</v>
      </c>
      <c r="C851" s="12" t="s">
        <v>1224</v>
      </c>
      <c r="D851" s="12" t="s">
        <v>567</v>
      </c>
      <c r="E851" s="31"/>
      <c r="F851" s="31"/>
      <c r="G851" s="31"/>
      <c r="H851" s="53">
        <f>H852</f>
        <v>630</v>
      </c>
    </row>
    <row r="852" spans="1:8" s="3" customFormat="1" x14ac:dyDescent="0.25">
      <c r="A852" s="27">
        <v>204</v>
      </c>
      <c r="B852" s="26" t="s">
        <v>1054</v>
      </c>
      <c r="C852" s="12" t="s">
        <v>1224</v>
      </c>
      <c r="D852" s="12" t="s">
        <v>567</v>
      </c>
      <c r="E852" s="12" t="s">
        <v>1181</v>
      </c>
      <c r="F852" s="31"/>
      <c r="G852" s="31"/>
      <c r="H852" s="53">
        <f>H853</f>
        <v>630</v>
      </c>
    </row>
    <row r="853" spans="1:8" s="3" customFormat="1" ht="31.5" x14ac:dyDescent="0.25">
      <c r="A853" s="27">
        <v>204209</v>
      </c>
      <c r="B853" s="26" t="s">
        <v>141</v>
      </c>
      <c r="C853" s="12" t="s">
        <v>1224</v>
      </c>
      <c r="D853" s="12" t="s">
        <v>567</v>
      </c>
      <c r="E853" s="12" t="s">
        <v>1181</v>
      </c>
      <c r="F853" s="10" t="s">
        <v>270</v>
      </c>
      <c r="G853" s="31"/>
      <c r="H853" s="53">
        <f>H854</f>
        <v>630</v>
      </c>
    </row>
    <row r="854" spans="1:8" s="3" customFormat="1" ht="31.5" x14ac:dyDescent="0.25">
      <c r="A854" s="27">
        <v>20420901</v>
      </c>
      <c r="B854" s="26" t="s">
        <v>1408</v>
      </c>
      <c r="C854" s="12" t="s">
        <v>1224</v>
      </c>
      <c r="D854" s="12" t="s">
        <v>567</v>
      </c>
      <c r="E854" s="12" t="s">
        <v>1181</v>
      </c>
      <c r="F854" s="10" t="s">
        <v>956</v>
      </c>
      <c r="G854" s="31"/>
      <c r="H854" s="53">
        <f>H855</f>
        <v>630</v>
      </c>
    </row>
    <row r="855" spans="1:8" s="3" customFormat="1" x14ac:dyDescent="0.25">
      <c r="A855" s="27">
        <v>20420901012</v>
      </c>
      <c r="B855" s="65" t="s">
        <v>1012</v>
      </c>
      <c r="C855" s="12" t="s">
        <v>1224</v>
      </c>
      <c r="D855" s="12" t="s">
        <v>567</v>
      </c>
      <c r="E855" s="12" t="s">
        <v>1181</v>
      </c>
      <c r="F855" s="10" t="s">
        <v>956</v>
      </c>
      <c r="G855" s="12" t="s">
        <v>1224</v>
      </c>
      <c r="H855" s="53">
        <v>630</v>
      </c>
    </row>
    <row r="856" spans="1:8" s="28" customFormat="1" ht="21" customHeight="1" x14ac:dyDescent="0.25">
      <c r="A856" s="27">
        <v>3</v>
      </c>
      <c r="B856" s="35" t="s">
        <v>1049</v>
      </c>
      <c r="C856" s="12" t="s">
        <v>1224</v>
      </c>
      <c r="D856" s="12" t="s">
        <v>193</v>
      </c>
      <c r="E856" s="12"/>
      <c r="F856" s="10"/>
      <c r="G856" s="12"/>
      <c r="H856" s="53">
        <f>H857</f>
        <v>895</v>
      </c>
    </row>
    <row r="857" spans="1:8" s="28" customFormat="1" ht="47.25" x14ac:dyDescent="0.25">
      <c r="A857" s="27">
        <v>309</v>
      </c>
      <c r="B857" s="26" t="s">
        <v>133</v>
      </c>
      <c r="C857" s="12" t="s">
        <v>1224</v>
      </c>
      <c r="D857" s="12" t="s">
        <v>193</v>
      </c>
      <c r="E857" s="12" t="s">
        <v>406</v>
      </c>
      <c r="F857" s="10"/>
      <c r="G857" s="12"/>
      <c r="H857" s="53">
        <f>H858</f>
        <v>895</v>
      </c>
    </row>
    <row r="858" spans="1:8" s="28" customFormat="1" x14ac:dyDescent="0.25">
      <c r="A858" s="27">
        <v>309219</v>
      </c>
      <c r="B858" s="26" t="s">
        <v>1098</v>
      </c>
      <c r="C858" s="12" t="s">
        <v>1224</v>
      </c>
      <c r="D858" s="12" t="s">
        <v>193</v>
      </c>
      <c r="E858" s="12" t="s">
        <v>406</v>
      </c>
      <c r="F858" s="10" t="s">
        <v>620</v>
      </c>
      <c r="G858" s="12"/>
      <c r="H858" s="53">
        <f>H859</f>
        <v>895</v>
      </c>
    </row>
    <row r="859" spans="1:8" s="28" customFormat="1" ht="31.5" x14ac:dyDescent="0.25">
      <c r="A859" s="27">
        <v>30921901</v>
      </c>
      <c r="B859" s="26" t="s">
        <v>591</v>
      </c>
      <c r="C859" s="12" t="s">
        <v>1224</v>
      </c>
      <c r="D859" s="12" t="s">
        <v>193</v>
      </c>
      <c r="E859" s="12" t="s">
        <v>406</v>
      </c>
      <c r="F859" s="10" t="s">
        <v>269</v>
      </c>
      <c r="G859" s="12"/>
      <c r="H859" s="53">
        <f>H860</f>
        <v>895</v>
      </c>
    </row>
    <row r="860" spans="1:8" s="28" customFormat="1" ht="32.25" customHeight="1" x14ac:dyDescent="0.25">
      <c r="A860" s="27">
        <v>30921901012</v>
      </c>
      <c r="B860" s="65" t="s">
        <v>1012</v>
      </c>
      <c r="C860" s="12" t="s">
        <v>1224</v>
      </c>
      <c r="D860" s="12" t="s">
        <v>193</v>
      </c>
      <c r="E860" s="12" t="s">
        <v>406</v>
      </c>
      <c r="F860" s="10" t="s">
        <v>269</v>
      </c>
      <c r="G860" s="12" t="s">
        <v>1224</v>
      </c>
      <c r="H860" s="53">
        <v>895</v>
      </c>
    </row>
    <row r="861" spans="1:8" s="28" customFormat="1" x14ac:dyDescent="0.25">
      <c r="A861" s="29">
        <v>8</v>
      </c>
      <c r="B861" s="35" t="s">
        <v>402</v>
      </c>
      <c r="C861" s="12" t="s">
        <v>1224</v>
      </c>
      <c r="D861" s="12" t="s">
        <v>290</v>
      </c>
      <c r="E861" s="10"/>
      <c r="F861" s="10"/>
      <c r="G861" s="10"/>
      <c r="H861" s="53">
        <f>H862+H869+H876</f>
        <v>2146266</v>
      </c>
    </row>
    <row r="862" spans="1:8" s="28" customFormat="1" x14ac:dyDescent="0.25">
      <c r="A862" s="27">
        <v>803</v>
      </c>
      <c r="B862" s="26" t="s">
        <v>815</v>
      </c>
      <c r="C862" s="12" t="s">
        <v>1224</v>
      </c>
      <c r="D862" s="12" t="s">
        <v>290</v>
      </c>
      <c r="E862" s="12" t="s">
        <v>193</v>
      </c>
      <c r="F862" s="10"/>
      <c r="G862" s="10"/>
      <c r="H862" s="53">
        <f>H863+H866</f>
        <v>915009</v>
      </c>
    </row>
    <row r="863" spans="1:8" s="28" customFormat="1" ht="31.5" x14ac:dyDescent="0.25">
      <c r="A863" s="27">
        <v>803450</v>
      </c>
      <c r="B863" s="38" t="s">
        <v>1377</v>
      </c>
      <c r="C863" s="12" t="s">
        <v>1224</v>
      </c>
      <c r="D863" s="12" t="s">
        <v>290</v>
      </c>
      <c r="E863" s="12" t="s">
        <v>193</v>
      </c>
      <c r="F863" s="10" t="s">
        <v>1074</v>
      </c>
      <c r="G863" s="10"/>
      <c r="H863" s="53">
        <f>H864</f>
        <v>666000</v>
      </c>
    </row>
    <row r="864" spans="1:8" s="28" customFormat="1" ht="31.5" x14ac:dyDescent="0.25">
      <c r="A864" s="27">
        <v>80345085</v>
      </c>
      <c r="B864" s="38" t="s">
        <v>1609</v>
      </c>
      <c r="C864" s="12" t="s">
        <v>1224</v>
      </c>
      <c r="D864" s="12" t="s">
        <v>290</v>
      </c>
      <c r="E864" s="12" t="s">
        <v>193</v>
      </c>
      <c r="F864" s="10" t="s">
        <v>178</v>
      </c>
      <c r="G864" s="10"/>
      <c r="H864" s="53">
        <f>H865</f>
        <v>666000</v>
      </c>
    </row>
    <row r="865" spans="1:8" s="28" customFormat="1" x14ac:dyDescent="0.25">
      <c r="A865" s="27">
        <v>80345085012</v>
      </c>
      <c r="B865" s="38" t="s">
        <v>1012</v>
      </c>
      <c r="C865" s="12" t="s">
        <v>1224</v>
      </c>
      <c r="D865" s="12" t="s">
        <v>290</v>
      </c>
      <c r="E865" s="12" t="s">
        <v>193</v>
      </c>
      <c r="F865" s="10" t="s">
        <v>178</v>
      </c>
      <c r="G865" s="12" t="s">
        <v>1224</v>
      </c>
      <c r="H865" s="53">
        <v>666000</v>
      </c>
    </row>
    <row r="866" spans="1:8" s="28" customFormat="1" x14ac:dyDescent="0.25">
      <c r="A866" s="27">
        <v>803453</v>
      </c>
      <c r="B866" s="38" t="s">
        <v>613</v>
      </c>
      <c r="C866" s="12" t="s">
        <v>1224</v>
      </c>
      <c r="D866" s="12" t="s">
        <v>290</v>
      </c>
      <c r="E866" s="12" t="s">
        <v>193</v>
      </c>
      <c r="F866" s="10" t="s">
        <v>1075</v>
      </c>
      <c r="G866" s="10"/>
      <c r="H866" s="53">
        <f>H867</f>
        <v>249009</v>
      </c>
    </row>
    <row r="867" spans="1:8" s="28" customFormat="1" x14ac:dyDescent="0.25">
      <c r="A867" s="27">
        <v>80345399</v>
      </c>
      <c r="B867" s="38" t="s">
        <v>624</v>
      </c>
      <c r="C867" s="12" t="s">
        <v>1224</v>
      </c>
      <c r="D867" s="12" t="s">
        <v>290</v>
      </c>
      <c r="E867" s="12" t="s">
        <v>193</v>
      </c>
      <c r="F867" s="10" t="s">
        <v>185</v>
      </c>
      <c r="G867" s="12"/>
      <c r="H867" s="53">
        <f>H868</f>
        <v>249009</v>
      </c>
    </row>
    <row r="868" spans="1:8" s="28" customFormat="1" x14ac:dyDescent="0.25">
      <c r="A868" s="27">
        <v>80345399001</v>
      </c>
      <c r="B868" s="38" t="s">
        <v>1435</v>
      </c>
      <c r="C868" s="12" t="s">
        <v>1224</v>
      </c>
      <c r="D868" s="12" t="s">
        <v>290</v>
      </c>
      <c r="E868" s="12" t="s">
        <v>193</v>
      </c>
      <c r="F868" s="10" t="s">
        <v>185</v>
      </c>
      <c r="G868" s="12" t="s">
        <v>1394</v>
      </c>
      <c r="H868" s="53">
        <v>249009</v>
      </c>
    </row>
    <row r="869" spans="1:8" s="28" customFormat="1" x14ac:dyDescent="0.25">
      <c r="A869" s="27">
        <v>804</v>
      </c>
      <c r="B869" s="38" t="s">
        <v>816</v>
      </c>
      <c r="C869" s="12" t="s">
        <v>1224</v>
      </c>
      <c r="D869" s="12" t="s">
        <v>290</v>
      </c>
      <c r="E869" s="12" t="s">
        <v>1181</v>
      </c>
      <c r="F869" s="12"/>
      <c r="G869" s="12"/>
      <c r="H869" s="53">
        <f>H870+H873</f>
        <v>482232</v>
      </c>
    </row>
    <row r="870" spans="1:8" s="28" customFormat="1" ht="31.5" x14ac:dyDescent="0.25">
      <c r="A870" s="27">
        <v>804450</v>
      </c>
      <c r="B870" s="38" t="s">
        <v>1377</v>
      </c>
      <c r="C870" s="12" t="s">
        <v>1224</v>
      </c>
      <c r="D870" s="12" t="s">
        <v>290</v>
      </c>
      <c r="E870" s="12" t="s">
        <v>1181</v>
      </c>
      <c r="F870" s="10" t="s">
        <v>1074</v>
      </c>
      <c r="G870" s="10"/>
      <c r="H870" s="53">
        <f>H871</f>
        <v>187144</v>
      </c>
    </row>
    <row r="871" spans="1:8" s="28" customFormat="1" ht="31.5" x14ac:dyDescent="0.25">
      <c r="A871" s="27">
        <v>80445085</v>
      </c>
      <c r="B871" s="38" t="s">
        <v>1609</v>
      </c>
      <c r="C871" s="12" t="s">
        <v>1224</v>
      </c>
      <c r="D871" s="12" t="s">
        <v>290</v>
      </c>
      <c r="E871" s="12" t="s">
        <v>1181</v>
      </c>
      <c r="F871" s="10" t="s">
        <v>178</v>
      </c>
      <c r="G871" s="10"/>
      <c r="H871" s="53">
        <f>H872</f>
        <v>187144</v>
      </c>
    </row>
    <row r="872" spans="1:8" s="28" customFormat="1" x14ac:dyDescent="0.25">
      <c r="A872" s="27">
        <v>80445085012</v>
      </c>
      <c r="B872" s="26" t="s">
        <v>1012</v>
      </c>
      <c r="C872" s="12" t="s">
        <v>1224</v>
      </c>
      <c r="D872" s="12" t="s">
        <v>290</v>
      </c>
      <c r="E872" s="12" t="s">
        <v>1181</v>
      </c>
      <c r="F872" s="10" t="s">
        <v>178</v>
      </c>
      <c r="G872" s="12" t="s">
        <v>1224</v>
      </c>
      <c r="H872" s="53">
        <v>187144</v>
      </c>
    </row>
    <row r="873" spans="1:8" s="69" customFormat="1" x14ac:dyDescent="0.25">
      <c r="A873" s="27">
        <v>804455</v>
      </c>
      <c r="B873" s="26" t="s">
        <v>1382</v>
      </c>
      <c r="C873" s="12" t="s">
        <v>1224</v>
      </c>
      <c r="D873" s="12" t="s">
        <v>290</v>
      </c>
      <c r="E873" s="12" t="s">
        <v>1181</v>
      </c>
      <c r="F873" s="10" t="s">
        <v>1381</v>
      </c>
      <c r="G873" s="12"/>
      <c r="H873" s="53">
        <f>H874</f>
        <v>295088</v>
      </c>
    </row>
    <row r="874" spans="1:8" s="69" customFormat="1" x14ac:dyDescent="0.25">
      <c r="A874" s="27">
        <v>80445599</v>
      </c>
      <c r="B874" s="26" t="s">
        <v>624</v>
      </c>
      <c r="C874" s="12" t="s">
        <v>1224</v>
      </c>
      <c r="D874" s="12" t="s">
        <v>290</v>
      </c>
      <c r="E874" s="12" t="s">
        <v>1181</v>
      </c>
      <c r="F874" s="10" t="s">
        <v>614</v>
      </c>
      <c r="G874" s="12"/>
      <c r="H874" s="53">
        <f>H875</f>
        <v>295088</v>
      </c>
    </row>
    <row r="875" spans="1:8" s="69" customFormat="1" x14ac:dyDescent="0.25">
      <c r="A875" s="27">
        <v>80445599001</v>
      </c>
      <c r="B875" s="26" t="s">
        <v>1435</v>
      </c>
      <c r="C875" s="12" t="s">
        <v>1224</v>
      </c>
      <c r="D875" s="12" t="s">
        <v>290</v>
      </c>
      <c r="E875" s="12" t="s">
        <v>1181</v>
      </c>
      <c r="F875" s="10" t="s">
        <v>614</v>
      </c>
      <c r="G875" s="12" t="s">
        <v>1394</v>
      </c>
      <c r="H875" s="53">
        <v>295088</v>
      </c>
    </row>
    <row r="876" spans="1:8" s="28" customFormat="1" ht="31.5" x14ac:dyDescent="0.25">
      <c r="A876" s="29">
        <v>806</v>
      </c>
      <c r="B876" s="26" t="s">
        <v>1254</v>
      </c>
      <c r="C876" s="12" t="s">
        <v>1224</v>
      </c>
      <c r="D876" s="12" t="s">
        <v>290</v>
      </c>
      <c r="E876" s="12" t="s">
        <v>1746</v>
      </c>
      <c r="F876" s="10"/>
      <c r="G876" s="10"/>
      <c r="H876" s="53">
        <f>H877+H881+H884</f>
        <v>749025</v>
      </c>
    </row>
    <row r="877" spans="1:8" s="28" customFormat="1" ht="47.25" x14ac:dyDescent="0.25">
      <c r="A877" s="27">
        <v>806002</v>
      </c>
      <c r="B877" s="26" t="s">
        <v>1657</v>
      </c>
      <c r="C877" s="12" t="s">
        <v>1224</v>
      </c>
      <c r="D877" s="12" t="s">
        <v>290</v>
      </c>
      <c r="E877" s="12" t="s">
        <v>1746</v>
      </c>
      <c r="F877" s="12" t="s">
        <v>200</v>
      </c>
      <c r="G877" s="12"/>
      <c r="H877" s="53">
        <f>H878</f>
        <v>137533</v>
      </c>
    </row>
    <row r="878" spans="1:8" s="28" customFormat="1" x14ac:dyDescent="0.25">
      <c r="A878" s="27">
        <v>80600204</v>
      </c>
      <c r="B878" s="26" t="s">
        <v>638</v>
      </c>
      <c r="C878" s="12" t="s">
        <v>1224</v>
      </c>
      <c r="D878" s="12" t="s">
        <v>290</v>
      </c>
      <c r="E878" s="12" t="s">
        <v>1746</v>
      </c>
      <c r="F878" s="12" t="s">
        <v>797</v>
      </c>
      <c r="G878" s="12"/>
      <c r="H878" s="53">
        <f>SUM(H879:H880)</f>
        <v>137533</v>
      </c>
    </row>
    <row r="879" spans="1:8" s="131" customFormat="1" x14ac:dyDescent="0.25">
      <c r="A879" s="27">
        <v>80600204012</v>
      </c>
      <c r="B879" s="38" t="s">
        <v>1012</v>
      </c>
      <c r="C879" s="12" t="s">
        <v>1224</v>
      </c>
      <c r="D879" s="12" t="s">
        <v>290</v>
      </c>
      <c r="E879" s="12" t="s">
        <v>1746</v>
      </c>
      <c r="F879" s="25" t="s">
        <v>797</v>
      </c>
      <c r="G879" s="25" t="s">
        <v>1224</v>
      </c>
      <c r="H879" s="185">
        <v>136783</v>
      </c>
    </row>
    <row r="880" spans="1:8" s="28" customFormat="1" ht="63" x14ac:dyDescent="0.25">
      <c r="A880" s="27">
        <v>80600204902</v>
      </c>
      <c r="B880" s="26" t="s">
        <v>1100</v>
      </c>
      <c r="C880" s="12" t="s">
        <v>1224</v>
      </c>
      <c r="D880" s="12" t="s">
        <v>290</v>
      </c>
      <c r="E880" s="12" t="s">
        <v>1746</v>
      </c>
      <c r="F880" s="12" t="s">
        <v>797</v>
      </c>
      <c r="G880" s="12">
        <v>902</v>
      </c>
      <c r="H880" s="53">
        <v>750</v>
      </c>
    </row>
    <row r="881" spans="1:8" s="28" customFormat="1" ht="31.5" x14ac:dyDescent="0.25">
      <c r="A881" s="27">
        <v>806450</v>
      </c>
      <c r="B881" s="38" t="s">
        <v>1377</v>
      </c>
      <c r="C881" s="12" t="s">
        <v>1224</v>
      </c>
      <c r="D881" s="12" t="s">
        <v>290</v>
      </c>
      <c r="E881" s="12" t="s">
        <v>1746</v>
      </c>
      <c r="F881" s="10" t="s">
        <v>1074</v>
      </c>
      <c r="G881" s="10"/>
      <c r="H881" s="53">
        <f>H882</f>
        <v>15060</v>
      </c>
    </row>
    <row r="882" spans="1:8" s="28" customFormat="1" ht="31.5" x14ac:dyDescent="0.25">
      <c r="A882" s="27">
        <v>80645085</v>
      </c>
      <c r="B882" s="38" t="s">
        <v>1609</v>
      </c>
      <c r="C882" s="12" t="s">
        <v>1224</v>
      </c>
      <c r="D882" s="12" t="s">
        <v>290</v>
      </c>
      <c r="E882" s="12" t="s">
        <v>1746</v>
      </c>
      <c r="F882" s="10" t="s">
        <v>178</v>
      </c>
      <c r="G882" s="10"/>
      <c r="H882" s="53">
        <f>H883</f>
        <v>15060</v>
      </c>
    </row>
    <row r="883" spans="1:8" s="28" customFormat="1" x14ac:dyDescent="0.25">
      <c r="A883" s="27">
        <v>80645085012</v>
      </c>
      <c r="B883" s="26" t="s">
        <v>1012</v>
      </c>
      <c r="C883" s="12" t="s">
        <v>1224</v>
      </c>
      <c r="D883" s="12" t="s">
        <v>290</v>
      </c>
      <c r="E883" s="12" t="s">
        <v>1746</v>
      </c>
      <c r="F883" s="10" t="s">
        <v>178</v>
      </c>
      <c r="G883" s="12" t="s">
        <v>1224</v>
      </c>
      <c r="H883" s="53">
        <v>15060</v>
      </c>
    </row>
    <row r="884" spans="1:8" s="28" customFormat="1" x14ac:dyDescent="0.25">
      <c r="A884" s="27">
        <v>806451</v>
      </c>
      <c r="B884" s="26" t="s">
        <v>421</v>
      </c>
      <c r="C884" s="12" t="s">
        <v>1224</v>
      </c>
      <c r="D884" s="12" t="s">
        <v>290</v>
      </c>
      <c r="E884" s="12" t="s">
        <v>1746</v>
      </c>
      <c r="F884" s="10" t="s">
        <v>420</v>
      </c>
      <c r="G884" s="12"/>
      <c r="H884" s="53">
        <f>H885</f>
        <v>596432</v>
      </c>
    </row>
    <row r="885" spans="1:8" s="28" customFormat="1" x14ac:dyDescent="0.25">
      <c r="A885" s="27">
        <v>80645199</v>
      </c>
      <c r="B885" s="26" t="s">
        <v>624</v>
      </c>
      <c r="C885" s="12" t="s">
        <v>1224</v>
      </c>
      <c r="D885" s="12" t="s">
        <v>290</v>
      </c>
      <c r="E885" s="12" t="s">
        <v>1746</v>
      </c>
      <c r="F885" s="10" t="s">
        <v>615</v>
      </c>
      <c r="G885" s="12"/>
      <c r="H885" s="53">
        <f>H886</f>
        <v>596432</v>
      </c>
    </row>
    <row r="886" spans="1:8" s="28" customFormat="1" x14ac:dyDescent="0.25">
      <c r="A886" s="27">
        <v>80645199001</v>
      </c>
      <c r="B886" s="26" t="s">
        <v>1435</v>
      </c>
      <c r="C886" s="12" t="s">
        <v>1224</v>
      </c>
      <c r="D886" s="12" t="s">
        <v>290</v>
      </c>
      <c r="E886" s="12" t="s">
        <v>1746</v>
      </c>
      <c r="F886" s="10" t="s">
        <v>615</v>
      </c>
      <c r="G886" s="12" t="s">
        <v>1394</v>
      </c>
      <c r="H886" s="53">
        <v>596432</v>
      </c>
    </row>
    <row r="887" spans="1:8" s="3" customFormat="1" x14ac:dyDescent="0.25">
      <c r="A887" s="40"/>
      <c r="B887" s="30"/>
      <c r="C887" s="42"/>
      <c r="D887" s="42"/>
      <c r="E887" s="42"/>
      <c r="F887" s="42"/>
      <c r="G887" s="42"/>
      <c r="H887" s="53"/>
    </row>
    <row r="888" spans="1:8" s="3" customFormat="1" x14ac:dyDescent="0.25">
      <c r="A888" s="40">
        <v>0</v>
      </c>
      <c r="B888" s="41" t="s">
        <v>971</v>
      </c>
      <c r="C888" s="42" t="s">
        <v>972</v>
      </c>
      <c r="D888" s="31"/>
      <c r="E888" s="31"/>
      <c r="F888" s="31"/>
      <c r="G888" s="31"/>
      <c r="H888" s="187">
        <f>H889+H894+H899+H904+H909+H943</f>
        <v>18192454</v>
      </c>
    </row>
    <row r="889" spans="1:8" s="69" customFormat="1" x14ac:dyDescent="0.25">
      <c r="A889" s="29">
        <v>1</v>
      </c>
      <c r="B889" s="35" t="s">
        <v>482</v>
      </c>
      <c r="C889" s="12" t="s">
        <v>972</v>
      </c>
      <c r="D889" s="12" t="s">
        <v>566</v>
      </c>
      <c r="E889" s="10"/>
      <c r="F889" s="10"/>
      <c r="G889" s="10"/>
      <c r="H889" s="53">
        <f>H890</f>
        <v>550</v>
      </c>
    </row>
    <row r="890" spans="1:8" s="69" customFormat="1" x14ac:dyDescent="0.25">
      <c r="A890" s="29">
        <v>108</v>
      </c>
      <c r="B890" s="26" t="s">
        <v>286</v>
      </c>
      <c r="C890" s="12" t="s">
        <v>972</v>
      </c>
      <c r="D890" s="12" t="s">
        <v>566</v>
      </c>
      <c r="E890" s="12" t="s">
        <v>290</v>
      </c>
      <c r="F890" s="12"/>
      <c r="G890" s="10"/>
      <c r="H890" s="53">
        <f>H891</f>
        <v>550</v>
      </c>
    </row>
    <row r="891" spans="1:8" s="69" customFormat="1" ht="21" customHeight="1" x14ac:dyDescent="0.25">
      <c r="A891" s="27">
        <v>108522</v>
      </c>
      <c r="B891" s="65" t="s">
        <v>153</v>
      </c>
      <c r="C891" s="12" t="s">
        <v>972</v>
      </c>
      <c r="D891" s="12" t="s">
        <v>566</v>
      </c>
      <c r="E891" s="12" t="s">
        <v>290</v>
      </c>
      <c r="F891" s="10" t="s">
        <v>611</v>
      </c>
      <c r="G891" s="12"/>
      <c r="H891" s="53">
        <f>H892</f>
        <v>550</v>
      </c>
    </row>
    <row r="892" spans="1:8" s="69" customFormat="1" ht="35.25" customHeight="1" x14ac:dyDescent="0.25">
      <c r="A892" s="27">
        <v>10852209</v>
      </c>
      <c r="B892" s="54" t="s">
        <v>782</v>
      </c>
      <c r="C892" s="12" t="s">
        <v>972</v>
      </c>
      <c r="D892" s="12" t="s">
        <v>566</v>
      </c>
      <c r="E892" s="12" t="s">
        <v>290</v>
      </c>
      <c r="F892" s="10" t="s">
        <v>29</v>
      </c>
      <c r="G892" s="12"/>
      <c r="H892" s="53">
        <f>H893</f>
        <v>550</v>
      </c>
    </row>
    <row r="893" spans="1:8" s="69" customFormat="1" x14ac:dyDescent="0.25">
      <c r="A893" s="27">
        <v>10852209012</v>
      </c>
      <c r="B893" s="65" t="s">
        <v>1012</v>
      </c>
      <c r="C893" s="12" t="s">
        <v>972</v>
      </c>
      <c r="D893" s="12" t="s">
        <v>566</v>
      </c>
      <c r="E893" s="12" t="s">
        <v>290</v>
      </c>
      <c r="F893" s="10" t="s">
        <v>29</v>
      </c>
      <c r="G893" s="6" t="s">
        <v>1224</v>
      </c>
      <c r="H893" s="53">
        <v>550</v>
      </c>
    </row>
    <row r="894" spans="1:8" s="3" customFormat="1" x14ac:dyDescent="0.25">
      <c r="A894" s="27">
        <v>2</v>
      </c>
      <c r="B894" s="35" t="s">
        <v>271</v>
      </c>
      <c r="C894" s="12" t="s">
        <v>972</v>
      </c>
      <c r="D894" s="12" t="s">
        <v>567</v>
      </c>
      <c r="E894" s="31"/>
      <c r="F894" s="31"/>
      <c r="G894" s="31"/>
      <c r="H894" s="53">
        <f>H895</f>
        <v>260</v>
      </c>
    </row>
    <row r="895" spans="1:8" s="3" customFormat="1" x14ac:dyDescent="0.25">
      <c r="A895" s="27">
        <v>204</v>
      </c>
      <c r="B895" s="26" t="s">
        <v>1054</v>
      </c>
      <c r="C895" s="12" t="s">
        <v>972</v>
      </c>
      <c r="D895" s="12" t="s">
        <v>567</v>
      </c>
      <c r="E895" s="12" t="s">
        <v>1181</v>
      </c>
      <c r="F895" s="31"/>
      <c r="G895" s="31"/>
      <c r="H895" s="53">
        <f>H896</f>
        <v>260</v>
      </c>
    </row>
    <row r="896" spans="1:8" s="3" customFormat="1" ht="31.5" x14ac:dyDescent="0.25">
      <c r="A896" s="27">
        <v>204209</v>
      </c>
      <c r="B896" s="26" t="s">
        <v>141</v>
      </c>
      <c r="C896" s="12" t="s">
        <v>972</v>
      </c>
      <c r="D896" s="12" t="s">
        <v>567</v>
      </c>
      <c r="E896" s="12" t="s">
        <v>1181</v>
      </c>
      <c r="F896" s="10" t="s">
        <v>270</v>
      </c>
      <c r="G896" s="31"/>
      <c r="H896" s="53">
        <f>H897</f>
        <v>260</v>
      </c>
    </row>
    <row r="897" spans="1:8" s="3" customFormat="1" ht="31.5" x14ac:dyDescent="0.25">
      <c r="A897" s="27">
        <v>20420901</v>
      </c>
      <c r="B897" s="26" t="s">
        <v>1408</v>
      </c>
      <c r="C897" s="12" t="s">
        <v>972</v>
      </c>
      <c r="D897" s="12" t="s">
        <v>567</v>
      </c>
      <c r="E897" s="12" t="s">
        <v>1181</v>
      </c>
      <c r="F897" s="10" t="s">
        <v>956</v>
      </c>
      <c r="G897" s="31"/>
      <c r="H897" s="53">
        <f>H898</f>
        <v>260</v>
      </c>
    </row>
    <row r="898" spans="1:8" s="3" customFormat="1" x14ac:dyDescent="0.25">
      <c r="A898" s="27">
        <v>20420901012</v>
      </c>
      <c r="B898" s="65" t="s">
        <v>1012</v>
      </c>
      <c r="C898" s="12" t="s">
        <v>972</v>
      </c>
      <c r="D898" s="12" t="s">
        <v>567</v>
      </c>
      <c r="E898" s="12" t="s">
        <v>1181</v>
      </c>
      <c r="F898" s="10" t="s">
        <v>956</v>
      </c>
      <c r="G898" s="12" t="s">
        <v>1224</v>
      </c>
      <c r="H898" s="53">
        <v>260</v>
      </c>
    </row>
    <row r="899" spans="1:8" s="28" customFormat="1" ht="18" customHeight="1" x14ac:dyDescent="0.25">
      <c r="A899" s="27">
        <v>3</v>
      </c>
      <c r="B899" s="35" t="s">
        <v>1049</v>
      </c>
      <c r="C899" s="12" t="s">
        <v>972</v>
      </c>
      <c r="D899" s="12" t="s">
        <v>193</v>
      </c>
      <c r="E899" s="12"/>
      <c r="F899" s="10"/>
      <c r="G899" s="12"/>
      <c r="H899" s="53">
        <f>H900</f>
        <v>5327</v>
      </c>
    </row>
    <row r="900" spans="1:8" s="28" customFormat="1" ht="47.25" x14ac:dyDescent="0.25">
      <c r="A900" s="27">
        <v>309</v>
      </c>
      <c r="B900" s="26" t="s">
        <v>133</v>
      </c>
      <c r="C900" s="12" t="s">
        <v>972</v>
      </c>
      <c r="D900" s="12" t="s">
        <v>193</v>
      </c>
      <c r="E900" s="12" t="s">
        <v>406</v>
      </c>
      <c r="F900" s="10"/>
      <c r="G900" s="12"/>
      <c r="H900" s="53">
        <f>H901</f>
        <v>5327</v>
      </c>
    </row>
    <row r="901" spans="1:8" s="28" customFormat="1" x14ac:dyDescent="0.25">
      <c r="A901" s="27">
        <v>309219</v>
      </c>
      <c r="B901" s="26" t="s">
        <v>1098</v>
      </c>
      <c r="C901" s="12" t="s">
        <v>972</v>
      </c>
      <c r="D901" s="12" t="s">
        <v>193</v>
      </c>
      <c r="E901" s="12" t="s">
        <v>406</v>
      </c>
      <c r="F901" s="10" t="s">
        <v>620</v>
      </c>
      <c r="G901" s="12"/>
      <c r="H901" s="53">
        <f>H902</f>
        <v>5327</v>
      </c>
    </row>
    <row r="902" spans="1:8" s="28" customFormat="1" ht="31.5" x14ac:dyDescent="0.25">
      <c r="A902" s="27">
        <v>30921901</v>
      </c>
      <c r="B902" s="26" t="s">
        <v>591</v>
      </c>
      <c r="C902" s="12" t="s">
        <v>972</v>
      </c>
      <c r="D902" s="12" t="s">
        <v>193</v>
      </c>
      <c r="E902" s="12" t="s">
        <v>406</v>
      </c>
      <c r="F902" s="10" t="s">
        <v>269</v>
      </c>
      <c r="G902" s="12"/>
      <c r="H902" s="53">
        <f>H903</f>
        <v>5327</v>
      </c>
    </row>
    <row r="903" spans="1:8" s="28" customFormat="1" x14ac:dyDescent="0.25">
      <c r="A903" s="27">
        <v>30921901012</v>
      </c>
      <c r="B903" s="65" t="s">
        <v>1012</v>
      </c>
      <c r="C903" s="12" t="s">
        <v>972</v>
      </c>
      <c r="D903" s="12" t="s">
        <v>193</v>
      </c>
      <c r="E903" s="12" t="s">
        <v>406</v>
      </c>
      <c r="F903" s="10" t="s">
        <v>269</v>
      </c>
      <c r="G903" s="12" t="s">
        <v>1224</v>
      </c>
      <c r="H903" s="53">
        <v>5327</v>
      </c>
    </row>
    <row r="904" spans="1:8" s="28" customFormat="1" x14ac:dyDescent="0.25">
      <c r="A904" s="29">
        <v>4</v>
      </c>
      <c r="B904" s="35" t="s">
        <v>993</v>
      </c>
      <c r="C904" s="12" t="s">
        <v>972</v>
      </c>
      <c r="D904" s="12" t="s">
        <v>1181</v>
      </c>
      <c r="E904" s="10"/>
      <c r="F904" s="10"/>
      <c r="G904" s="10"/>
      <c r="H904" s="53">
        <f>H905</f>
        <v>40000</v>
      </c>
    </row>
    <row r="905" spans="1:8" s="28" customFormat="1" x14ac:dyDescent="0.25">
      <c r="A905" s="29">
        <v>412</v>
      </c>
      <c r="B905" s="26" t="s">
        <v>1253</v>
      </c>
      <c r="C905" s="12" t="s">
        <v>972</v>
      </c>
      <c r="D905" s="12" t="s">
        <v>1181</v>
      </c>
      <c r="E905" s="12">
        <v>12</v>
      </c>
      <c r="F905" s="12"/>
      <c r="G905" s="12"/>
      <c r="H905" s="53">
        <f>H906</f>
        <v>40000</v>
      </c>
    </row>
    <row r="906" spans="1:8" s="28" customFormat="1" ht="31.5" x14ac:dyDescent="0.25">
      <c r="A906" s="27">
        <v>412340</v>
      </c>
      <c r="B906" s="26" t="s">
        <v>481</v>
      </c>
      <c r="C906" s="12" t="s">
        <v>972</v>
      </c>
      <c r="D906" s="12" t="s">
        <v>1181</v>
      </c>
      <c r="E906" s="12">
        <v>12</v>
      </c>
      <c r="F906" s="10" t="s">
        <v>1015</v>
      </c>
      <c r="G906" s="12"/>
      <c r="H906" s="53">
        <f>H907</f>
        <v>40000</v>
      </c>
    </row>
    <row r="907" spans="1:8" s="28" customFormat="1" x14ac:dyDescent="0.25">
      <c r="A907" s="27">
        <v>41234004</v>
      </c>
      <c r="B907" s="65" t="s">
        <v>1215</v>
      </c>
      <c r="C907" s="12" t="s">
        <v>972</v>
      </c>
      <c r="D907" s="12" t="s">
        <v>1181</v>
      </c>
      <c r="E907" s="12">
        <v>12</v>
      </c>
      <c r="F907" s="10" t="s">
        <v>1753</v>
      </c>
      <c r="G907" s="10"/>
      <c r="H907" s="53">
        <f>H908</f>
        <v>40000</v>
      </c>
    </row>
    <row r="908" spans="1:8" s="28" customFormat="1" x14ac:dyDescent="0.25">
      <c r="A908" s="27">
        <v>41234004006</v>
      </c>
      <c r="B908" s="65" t="s">
        <v>84</v>
      </c>
      <c r="C908" s="12" t="s">
        <v>972</v>
      </c>
      <c r="D908" s="12" t="s">
        <v>1181</v>
      </c>
      <c r="E908" s="12">
        <v>12</v>
      </c>
      <c r="F908" s="10" t="s">
        <v>1753</v>
      </c>
      <c r="G908" s="12" t="s">
        <v>165</v>
      </c>
      <c r="H908" s="53">
        <v>40000</v>
      </c>
    </row>
    <row r="909" spans="1:8" s="28" customFormat="1" x14ac:dyDescent="0.25">
      <c r="A909" s="29">
        <v>7</v>
      </c>
      <c r="B909" s="35" t="s">
        <v>174</v>
      </c>
      <c r="C909" s="12" t="s">
        <v>972</v>
      </c>
      <c r="D909" s="12" t="s">
        <v>205</v>
      </c>
      <c r="E909" s="12"/>
      <c r="F909" s="12"/>
      <c r="G909" s="12"/>
      <c r="H909" s="53">
        <f>H910+H928+H935+H939</f>
        <v>767038</v>
      </c>
    </row>
    <row r="910" spans="1:8" s="28" customFormat="1" x14ac:dyDescent="0.25">
      <c r="A910" s="29">
        <v>704</v>
      </c>
      <c r="B910" s="26" t="s">
        <v>973</v>
      </c>
      <c r="C910" s="12" t="s">
        <v>972</v>
      </c>
      <c r="D910" s="12" t="s">
        <v>205</v>
      </c>
      <c r="E910" s="12" t="s">
        <v>1181</v>
      </c>
      <c r="F910" s="12"/>
      <c r="G910" s="12"/>
      <c r="H910" s="53">
        <f>H911</f>
        <v>604633</v>
      </c>
    </row>
    <row r="911" spans="1:8" s="147" customFormat="1" x14ac:dyDescent="0.25">
      <c r="A911" s="188">
        <v>704427</v>
      </c>
      <c r="B911" s="38" t="s">
        <v>974</v>
      </c>
      <c r="C911" s="25" t="s">
        <v>972</v>
      </c>
      <c r="D911" s="24" t="s">
        <v>205</v>
      </c>
      <c r="E911" s="24" t="s">
        <v>1181</v>
      </c>
      <c r="F911" s="80" t="s">
        <v>867</v>
      </c>
      <c r="G911" s="24"/>
      <c r="H911" s="53">
        <f>H912</f>
        <v>604633</v>
      </c>
    </row>
    <row r="912" spans="1:8" s="28" customFormat="1" x14ac:dyDescent="0.25">
      <c r="A912" s="27">
        <v>70442799</v>
      </c>
      <c r="B912" s="26" t="s">
        <v>624</v>
      </c>
      <c r="C912" s="25" t="s">
        <v>972</v>
      </c>
      <c r="D912" s="6" t="s">
        <v>205</v>
      </c>
      <c r="E912" s="6" t="s">
        <v>1181</v>
      </c>
      <c r="F912" s="19" t="s">
        <v>263</v>
      </c>
      <c r="G912" s="6"/>
      <c r="H912" s="53">
        <f>H913+H915+H917+H919+H921+H923+H925+H927</f>
        <v>604633</v>
      </c>
    </row>
    <row r="913" spans="1:8" s="28" customFormat="1" ht="31.5" x14ac:dyDescent="0.25">
      <c r="A913" s="27">
        <v>7044279901</v>
      </c>
      <c r="B913" s="26" t="s">
        <v>9</v>
      </c>
      <c r="C913" s="25" t="s">
        <v>972</v>
      </c>
      <c r="D913" s="6" t="s">
        <v>205</v>
      </c>
      <c r="E913" s="6" t="s">
        <v>1181</v>
      </c>
      <c r="F913" s="19" t="s">
        <v>264</v>
      </c>
      <c r="G913" s="6"/>
      <c r="H913" s="53">
        <f>H914</f>
        <v>35126</v>
      </c>
    </row>
    <row r="914" spans="1:8" s="28" customFormat="1" x14ac:dyDescent="0.25">
      <c r="A914" s="27">
        <v>7044279901001</v>
      </c>
      <c r="B914" s="26" t="s">
        <v>1435</v>
      </c>
      <c r="C914" s="25" t="s">
        <v>972</v>
      </c>
      <c r="D914" s="6" t="s">
        <v>205</v>
      </c>
      <c r="E914" s="6" t="s">
        <v>1181</v>
      </c>
      <c r="F914" s="19" t="s">
        <v>264</v>
      </c>
      <c r="G914" s="12" t="s">
        <v>1394</v>
      </c>
      <c r="H914" s="53">
        <v>35126</v>
      </c>
    </row>
    <row r="915" spans="1:8" s="28" customFormat="1" ht="31.5" x14ac:dyDescent="0.25">
      <c r="A915" s="27">
        <v>7044279902</v>
      </c>
      <c r="B915" s="26" t="s">
        <v>10</v>
      </c>
      <c r="C915" s="25" t="s">
        <v>972</v>
      </c>
      <c r="D915" s="6" t="s">
        <v>205</v>
      </c>
      <c r="E915" s="6" t="s">
        <v>1181</v>
      </c>
      <c r="F915" s="19" t="s">
        <v>265</v>
      </c>
      <c r="G915" s="6"/>
      <c r="H915" s="53">
        <f>H916</f>
        <v>5302</v>
      </c>
    </row>
    <row r="916" spans="1:8" s="28" customFormat="1" x14ac:dyDescent="0.25">
      <c r="A916" s="27">
        <v>7044279902001</v>
      </c>
      <c r="B916" s="26" t="s">
        <v>1435</v>
      </c>
      <c r="C916" s="25" t="s">
        <v>972</v>
      </c>
      <c r="D916" s="6" t="s">
        <v>205</v>
      </c>
      <c r="E916" s="6" t="s">
        <v>1181</v>
      </c>
      <c r="F916" s="19" t="s">
        <v>265</v>
      </c>
      <c r="G916" s="6" t="s">
        <v>1394</v>
      </c>
      <c r="H916" s="53">
        <v>5302</v>
      </c>
    </row>
    <row r="917" spans="1:8" s="28" customFormat="1" ht="31.5" x14ac:dyDescent="0.25">
      <c r="A917" s="27">
        <v>7044279904</v>
      </c>
      <c r="B917" s="149" t="s">
        <v>998</v>
      </c>
      <c r="C917" s="25" t="s">
        <v>972</v>
      </c>
      <c r="D917" s="6" t="s">
        <v>205</v>
      </c>
      <c r="E917" s="6" t="s">
        <v>1181</v>
      </c>
      <c r="F917" s="19" t="s">
        <v>414</v>
      </c>
      <c r="G917" s="6"/>
      <c r="H917" s="53">
        <f>H918</f>
        <v>2340</v>
      </c>
    </row>
    <row r="918" spans="1:8" s="28" customFormat="1" x14ac:dyDescent="0.25">
      <c r="A918" s="27">
        <v>7044279904001</v>
      </c>
      <c r="B918" s="26" t="s">
        <v>1435</v>
      </c>
      <c r="C918" s="25" t="s">
        <v>972</v>
      </c>
      <c r="D918" s="6" t="s">
        <v>205</v>
      </c>
      <c r="E918" s="6" t="s">
        <v>1181</v>
      </c>
      <c r="F918" s="19" t="s">
        <v>414</v>
      </c>
      <c r="G918" s="6" t="s">
        <v>1394</v>
      </c>
      <c r="H918" s="53">
        <v>2340</v>
      </c>
    </row>
    <row r="919" spans="1:8" s="28" customFormat="1" ht="47.25" x14ac:dyDescent="0.25">
      <c r="A919" s="27">
        <v>7044279907</v>
      </c>
      <c r="B919" s="149" t="s">
        <v>681</v>
      </c>
      <c r="C919" s="25" t="s">
        <v>972</v>
      </c>
      <c r="D919" s="6" t="s">
        <v>205</v>
      </c>
      <c r="E919" s="6" t="s">
        <v>1181</v>
      </c>
      <c r="F919" s="19" t="s">
        <v>415</v>
      </c>
      <c r="G919" s="6"/>
      <c r="H919" s="53">
        <f>H920</f>
        <v>421</v>
      </c>
    </row>
    <row r="920" spans="1:8" s="28" customFormat="1" x14ac:dyDescent="0.25">
      <c r="A920" s="27">
        <v>7044279907001</v>
      </c>
      <c r="B920" s="26" t="s">
        <v>1435</v>
      </c>
      <c r="C920" s="25" t="s">
        <v>972</v>
      </c>
      <c r="D920" s="6" t="s">
        <v>205</v>
      </c>
      <c r="E920" s="6" t="s">
        <v>1181</v>
      </c>
      <c r="F920" s="19" t="s">
        <v>415</v>
      </c>
      <c r="G920" s="6" t="s">
        <v>1394</v>
      </c>
      <c r="H920" s="53">
        <v>421</v>
      </c>
    </row>
    <row r="921" spans="1:8" s="28" customFormat="1" ht="47.25" x14ac:dyDescent="0.25">
      <c r="A921" s="27">
        <v>7044279908</v>
      </c>
      <c r="B921" s="149" t="s">
        <v>1597</v>
      </c>
      <c r="C921" s="25" t="s">
        <v>972</v>
      </c>
      <c r="D921" s="6" t="s">
        <v>205</v>
      </c>
      <c r="E921" s="6" t="s">
        <v>1181</v>
      </c>
      <c r="F921" s="19" t="s">
        <v>416</v>
      </c>
      <c r="G921" s="6"/>
      <c r="H921" s="53">
        <f>H922</f>
        <v>8424</v>
      </c>
    </row>
    <row r="922" spans="1:8" s="28" customFormat="1" x14ac:dyDescent="0.25">
      <c r="A922" s="27">
        <v>7044279908001</v>
      </c>
      <c r="B922" s="26" t="s">
        <v>1435</v>
      </c>
      <c r="C922" s="25" t="s">
        <v>972</v>
      </c>
      <c r="D922" s="6" t="s">
        <v>205</v>
      </c>
      <c r="E922" s="6" t="s">
        <v>1181</v>
      </c>
      <c r="F922" s="19" t="s">
        <v>416</v>
      </c>
      <c r="G922" s="6" t="s">
        <v>1394</v>
      </c>
      <c r="H922" s="53">
        <v>8424</v>
      </c>
    </row>
    <row r="923" spans="1:8" s="28" customFormat="1" ht="31.5" x14ac:dyDescent="0.25">
      <c r="A923" s="27">
        <v>7044279912</v>
      </c>
      <c r="B923" s="149" t="s">
        <v>441</v>
      </c>
      <c r="C923" s="25" t="s">
        <v>972</v>
      </c>
      <c r="D923" s="6" t="s">
        <v>205</v>
      </c>
      <c r="E923" s="6" t="s">
        <v>1181</v>
      </c>
      <c r="F923" s="19" t="s">
        <v>413</v>
      </c>
      <c r="G923" s="6"/>
      <c r="H923" s="53">
        <f>H924</f>
        <v>5794</v>
      </c>
    </row>
    <row r="924" spans="1:8" s="28" customFormat="1" x14ac:dyDescent="0.25">
      <c r="A924" s="27">
        <v>7044279912001</v>
      </c>
      <c r="B924" s="26" t="s">
        <v>1435</v>
      </c>
      <c r="C924" s="25" t="s">
        <v>972</v>
      </c>
      <c r="D924" s="6" t="s">
        <v>205</v>
      </c>
      <c r="E924" s="6" t="s">
        <v>1181</v>
      </c>
      <c r="F924" s="19" t="s">
        <v>413</v>
      </c>
      <c r="G924" s="6" t="s">
        <v>1394</v>
      </c>
      <c r="H924" s="53">
        <v>5794</v>
      </c>
    </row>
    <row r="925" spans="1:8" s="28" customFormat="1" ht="36.75" customHeight="1" x14ac:dyDescent="0.25">
      <c r="A925" s="27">
        <v>7044279999</v>
      </c>
      <c r="B925" s="26" t="s">
        <v>1089</v>
      </c>
      <c r="C925" s="25" t="s">
        <v>972</v>
      </c>
      <c r="D925" s="6" t="s">
        <v>205</v>
      </c>
      <c r="E925" s="6" t="s">
        <v>1181</v>
      </c>
      <c r="F925" s="19" t="s">
        <v>266</v>
      </c>
      <c r="G925" s="6"/>
      <c r="H925" s="53">
        <f>H926</f>
        <v>546362</v>
      </c>
    </row>
    <row r="926" spans="1:8" s="28" customFormat="1" x14ac:dyDescent="0.25">
      <c r="A926" s="27">
        <v>7044279999001</v>
      </c>
      <c r="B926" s="26" t="s">
        <v>1435</v>
      </c>
      <c r="C926" s="25" t="s">
        <v>972</v>
      </c>
      <c r="D926" s="6" t="s">
        <v>205</v>
      </c>
      <c r="E926" s="6" t="s">
        <v>1181</v>
      </c>
      <c r="F926" s="19" t="s">
        <v>266</v>
      </c>
      <c r="G926" s="6" t="s">
        <v>1394</v>
      </c>
      <c r="H926" s="53">
        <v>546362</v>
      </c>
    </row>
    <row r="927" spans="1:8" s="147" customFormat="1" ht="47.25" x14ac:dyDescent="0.25">
      <c r="A927" s="188">
        <v>70442799910</v>
      </c>
      <c r="B927" s="38" t="s">
        <v>307</v>
      </c>
      <c r="C927" s="25" t="s">
        <v>972</v>
      </c>
      <c r="D927" s="24" t="s">
        <v>205</v>
      </c>
      <c r="E927" s="24" t="s">
        <v>1181</v>
      </c>
      <c r="F927" s="80" t="s">
        <v>263</v>
      </c>
      <c r="G927" s="24">
        <v>910</v>
      </c>
      <c r="H927" s="53">
        <v>864</v>
      </c>
    </row>
    <row r="928" spans="1:8" s="147" customFormat="1" ht="31.5" x14ac:dyDescent="0.25">
      <c r="A928" s="160">
        <v>705</v>
      </c>
      <c r="B928" s="38" t="s">
        <v>244</v>
      </c>
      <c r="C928" s="25" t="s">
        <v>972</v>
      </c>
      <c r="D928" s="25" t="s">
        <v>205</v>
      </c>
      <c r="E928" s="25" t="s">
        <v>175</v>
      </c>
      <c r="F928" s="25"/>
      <c r="G928" s="25"/>
      <c r="H928" s="53">
        <f>H929</f>
        <v>134382</v>
      </c>
    </row>
    <row r="929" spans="1:10" s="147" customFormat="1" ht="19.5" customHeight="1" x14ac:dyDescent="0.25">
      <c r="A929" s="188">
        <v>705429</v>
      </c>
      <c r="B929" s="38" t="s">
        <v>204</v>
      </c>
      <c r="C929" s="25" t="s">
        <v>972</v>
      </c>
      <c r="D929" s="25" t="s">
        <v>205</v>
      </c>
      <c r="E929" s="25" t="s">
        <v>175</v>
      </c>
      <c r="F929" s="11" t="s">
        <v>398</v>
      </c>
      <c r="G929" s="25"/>
      <c r="H929" s="53">
        <f>H930</f>
        <v>134382</v>
      </c>
    </row>
    <row r="930" spans="1:10" s="147" customFormat="1" ht="18.75" customHeight="1" x14ac:dyDescent="0.25">
      <c r="A930" s="188">
        <v>70542999</v>
      </c>
      <c r="B930" s="38" t="s">
        <v>624</v>
      </c>
      <c r="C930" s="25" t="s">
        <v>972</v>
      </c>
      <c r="D930" s="25" t="s">
        <v>205</v>
      </c>
      <c r="E930" s="25" t="s">
        <v>175</v>
      </c>
      <c r="F930" s="11" t="s">
        <v>1592</v>
      </c>
      <c r="G930" s="25"/>
      <c r="H930" s="53">
        <f>H931+H933</f>
        <v>134382</v>
      </c>
    </row>
    <row r="931" spans="1:10" s="147" customFormat="1" ht="31.5" x14ac:dyDescent="0.25">
      <c r="A931" s="188">
        <v>7054299901</v>
      </c>
      <c r="B931" s="38" t="s">
        <v>1150</v>
      </c>
      <c r="C931" s="25" t="s">
        <v>972</v>
      </c>
      <c r="D931" s="25" t="s">
        <v>205</v>
      </c>
      <c r="E931" s="25" t="s">
        <v>175</v>
      </c>
      <c r="F931" s="11" t="s">
        <v>412</v>
      </c>
      <c r="G931" s="25"/>
      <c r="H931" s="53">
        <f>H932</f>
        <v>2214</v>
      </c>
    </row>
    <row r="932" spans="1:10" s="147" customFormat="1" ht="22.5" customHeight="1" x14ac:dyDescent="0.25">
      <c r="A932" s="188">
        <v>7054299901001</v>
      </c>
      <c r="B932" s="38" t="s">
        <v>1435</v>
      </c>
      <c r="C932" s="25" t="s">
        <v>972</v>
      </c>
      <c r="D932" s="25" t="s">
        <v>205</v>
      </c>
      <c r="E932" s="25" t="s">
        <v>175</v>
      </c>
      <c r="F932" s="11" t="s">
        <v>412</v>
      </c>
      <c r="G932" s="24" t="s">
        <v>1394</v>
      </c>
      <c r="H932" s="53">
        <v>2214</v>
      </c>
    </row>
    <row r="933" spans="1:10" s="147" customFormat="1" ht="31.5" x14ac:dyDescent="0.25">
      <c r="A933" s="188">
        <v>7054299999</v>
      </c>
      <c r="B933" s="38" t="s">
        <v>648</v>
      </c>
      <c r="C933" s="25" t="s">
        <v>972</v>
      </c>
      <c r="D933" s="25" t="s">
        <v>205</v>
      </c>
      <c r="E933" s="25" t="s">
        <v>175</v>
      </c>
      <c r="F933" s="11" t="s">
        <v>1593</v>
      </c>
      <c r="G933" s="25"/>
      <c r="H933" s="53">
        <f>H934</f>
        <v>132168</v>
      </c>
    </row>
    <row r="934" spans="1:10" s="147" customFormat="1" ht="22.5" customHeight="1" x14ac:dyDescent="0.25">
      <c r="A934" s="188">
        <v>7054299999001</v>
      </c>
      <c r="B934" s="38" t="s">
        <v>1435</v>
      </c>
      <c r="C934" s="25" t="s">
        <v>972</v>
      </c>
      <c r="D934" s="25" t="s">
        <v>205</v>
      </c>
      <c r="E934" s="25" t="s">
        <v>175</v>
      </c>
      <c r="F934" s="11" t="s">
        <v>1593</v>
      </c>
      <c r="G934" s="24" t="s">
        <v>1394</v>
      </c>
      <c r="H934" s="53">
        <v>132168</v>
      </c>
    </row>
    <row r="935" spans="1:10" s="28" customFormat="1" x14ac:dyDescent="0.25">
      <c r="A935" s="29">
        <v>707</v>
      </c>
      <c r="B935" s="26" t="s">
        <v>699</v>
      </c>
      <c r="C935" s="12" t="s">
        <v>972</v>
      </c>
      <c r="D935" s="12" t="s">
        <v>205</v>
      </c>
      <c r="E935" s="12" t="s">
        <v>205</v>
      </c>
      <c r="F935" s="10"/>
      <c r="G935" s="10"/>
      <c r="H935" s="53">
        <f>H936</f>
        <v>1375</v>
      </c>
    </row>
    <row r="936" spans="1:10" s="128" customFormat="1" ht="21" customHeight="1" x14ac:dyDescent="0.25">
      <c r="A936" s="27">
        <v>707432</v>
      </c>
      <c r="B936" s="26" t="s">
        <v>1482</v>
      </c>
      <c r="C936" s="12" t="s">
        <v>972</v>
      </c>
      <c r="D936" s="12" t="s">
        <v>205</v>
      </c>
      <c r="E936" s="12" t="s">
        <v>205</v>
      </c>
      <c r="F936" s="10" t="s">
        <v>965</v>
      </c>
      <c r="G936" s="12"/>
      <c r="H936" s="53">
        <f>H937</f>
        <v>1375</v>
      </c>
    </row>
    <row r="937" spans="1:10" s="128" customFormat="1" x14ac:dyDescent="0.25">
      <c r="A937" s="27">
        <v>70743202</v>
      </c>
      <c r="B937" s="26" t="s">
        <v>541</v>
      </c>
      <c r="C937" s="12" t="s">
        <v>972</v>
      </c>
      <c r="D937" s="12" t="s">
        <v>205</v>
      </c>
      <c r="E937" s="12" t="s">
        <v>205</v>
      </c>
      <c r="F937" s="10" t="s">
        <v>262</v>
      </c>
      <c r="G937" s="12"/>
      <c r="H937" s="53">
        <f>H938</f>
        <v>1375</v>
      </c>
    </row>
    <row r="938" spans="1:10" s="128" customFormat="1" x14ac:dyDescent="0.25">
      <c r="A938" s="27">
        <v>70743202001</v>
      </c>
      <c r="B938" s="26" t="s">
        <v>1435</v>
      </c>
      <c r="C938" s="12" t="s">
        <v>972</v>
      </c>
      <c r="D938" s="12" t="s">
        <v>205</v>
      </c>
      <c r="E938" s="12" t="s">
        <v>205</v>
      </c>
      <c r="F938" s="10" t="s">
        <v>262</v>
      </c>
      <c r="G938" s="12" t="s">
        <v>1394</v>
      </c>
      <c r="H938" s="53">
        <v>1375</v>
      </c>
    </row>
    <row r="939" spans="1:10" s="28" customFormat="1" x14ac:dyDescent="0.25">
      <c r="A939" s="29">
        <v>709</v>
      </c>
      <c r="B939" s="26" t="s">
        <v>1317</v>
      </c>
      <c r="C939" s="12" t="s">
        <v>972</v>
      </c>
      <c r="D939" s="12" t="s">
        <v>205</v>
      </c>
      <c r="E939" s="12" t="s">
        <v>406</v>
      </c>
      <c r="F939" s="12"/>
      <c r="G939" s="12"/>
      <c r="H939" s="53">
        <f>H940</f>
        <v>26648</v>
      </c>
    </row>
    <row r="940" spans="1:10" s="28" customFormat="1" x14ac:dyDescent="0.25">
      <c r="A940" s="27">
        <v>709806</v>
      </c>
      <c r="B940" s="26" t="s">
        <v>1522</v>
      </c>
      <c r="C940" s="12" t="s">
        <v>972</v>
      </c>
      <c r="D940" s="12" t="s">
        <v>205</v>
      </c>
      <c r="E940" s="12" t="s">
        <v>406</v>
      </c>
      <c r="F940" s="10" t="s">
        <v>453</v>
      </c>
      <c r="G940" s="12"/>
      <c r="H940" s="53">
        <f>H941</f>
        <v>26648</v>
      </c>
    </row>
    <row r="941" spans="1:10" s="28" customFormat="1" x14ac:dyDescent="0.25">
      <c r="A941" s="27">
        <v>70980601</v>
      </c>
      <c r="B941" s="26" t="s">
        <v>619</v>
      </c>
      <c r="C941" s="12" t="s">
        <v>972</v>
      </c>
      <c r="D941" s="12" t="s">
        <v>205</v>
      </c>
      <c r="E941" s="12" t="s">
        <v>406</v>
      </c>
      <c r="F941" s="10" t="s">
        <v>618</v>
      </c>
      <c r="G941" s="12"/>
      <c r="H941" s="53">
        <f>H942</f>
        <v>26648</v>
      </c>
    </row>
    <row r="942" spans="1:10" s="28" customFormat="1" x14ac:dyDescent="0.25">
      <c r="A942" s="27">
        <v>70980601013</v>
      </c>
      <c r="B942" s="26" t="s">
        <v>1335</v>
      </c>
      <c r="C942" s="12" t="s">
        <v>972</v>
      </c>
      <c r="D942" s="12" t="s">
        <v>205</v>
      </c>
      <c r="E942" s="12" t="s">
        <v>406</v>
      </c>
      <c r="F942" s="10" t="s">
        <v>618</v>
      </c>
      <c r="G942" s="12" t="s">
        <v>972</v>
      </c>
      <c r="H942" s="53">
        <v>26648</v>
      </c>
    </row>
    <row r="943" spans="1:10" s="28" customFormat="1" x14ac:dyDescent="0.25">
      <c r="A943" s="29">
        <v>9</v>
      </c>
      <c r="B943" s="35" t="s">
        <v>450</v>
      </c>
      <c r="C943" s="12" t="s">
        <v>972</v>
      </c>
      <c r="D943" s="12" t="s">
        <v>406</v>
      </c>
      <c r="E943" s="10"/>
      <c r="F943" s="10"/>
      <c r="G943" s="10"/>
      <c r="H943" s="53">
        <f>H944+H971+H980+H997+H1006+H1013</f>
        <v>17379279</v>
      </c>
      <c r="I943" s="151"/>
      <c r="J943" s="151"/>
    </row>
    <row r="944" spans="1:10" s="28" customFormat="1" x14ac:dyDescent="0.25">
      <c r="A944" s="29">
        <v>901</v>
      </c>
      <c r="B944" s="26" t="s">
        <v>528</v>
      </c>
      <c r="C944" s="12" t="s">
        <v>972</v>
      </c>
      <c r="D944" s="12" t="s">
        <v>406</v>
      </c>
      <c r="E944" s="12" t="s">
        <v>566</v>
      </c>
      <c r="F944" s="12"/>
      <c r="G944" s="12"/>
      <c r="H944" s="53">
        <f>H945+H948+H956+H964</f>
        <v>13427421</v>
      </c>
      <c r="I944" s="151"/>
    </row>
    <row r="945" spans="1:8" s="69" customFormat="1" hidden="1" x14ac:dyDescent="0.25">
      <c r="A945" s="27">
        <v>901100</v>
      </c>
      <c r="B945" s="26" t="s">
        <v>1184</v>
      </c>
      <c r="C945" s="12" t="s">
        <v>972</v>
      </c>
      <c r="D945" s="12" t="s">
        <v>406</v>
      </c>
      <c r="E945" s="12" t="s">
        <v>566</v>
      </c>
      <c r="F945" s="10" t="s">
        <v>1680</v>
      </c>
      <c r="G945" s="10"/>
      <c r="H945" s="53">
        <f>H946</f>
        <v>0</v>
      </c>
    </row>
    <row r="946" spans="1:8" s="28" customFormat="1" ht="31.5" hidden="1" x14ac:dyDescent="0.25">
      <c r="A946" s="27">
        <v>90110059</v>
      </c>
      <c r="B946" s="76" t="s">
        <v>107</v>
      </c>
      <c r="C946" s="12" t="s">
        <v>972</v>
      </c>
      <c r="D946" s="12" t="s">
        <v>406</v>
      </c>
      <c r="E946" s="12" t="s">
        <v>566</v>
      </c>
      <c r="F946" s="10" t="s">
        <v>1742</v>
      </c>
      <c r="G946" s="12"/>
      <c r="H946" s="53">
        <f>H947</f>
        <v>0</v>
      </c>
    </row>
    <row r="947" spans="1:8" s="28" customFormat="1" hidden="1" x14ac:dyDescent="0.25">
      <c r="A947" s="27">
        <v>90110059213</v>
      </c>
      <c r="B947" s="65" t="s">
        <v>623</v>
      </c>
      <c r="C947" s="12" t="s">
        <v>972</v>
      </c>
      <c r="D947" s="12" t="s">
        <v>406</v>
      </c>
      <c r="E947" s="12" t="s">
        <v>566</v>
      </c>
      <c r="F947" s="10" t="s">
        <v>1742</v>
      </c>
      <c r="G947" s="12">
        <v>213</v>
      </c>
      <c r="H947" s="53"/>
    </row>
    <row r="948" spans="1:8" s="28" customFormat="1" ht="31.5" x14ac:dyDescent="0.25">
      <c r="A948" s="27">
        <v>901469</v>
      </c>
      <c r="B948" s="26" t="s">
        <v>1719</v>
      </c>
      <c r="C948" s="12" t="s">
        <v>972</v>
      </c>
      <c r="D948" s="12" t="s">
        <v>406</v>
      </c>
      <c r="E948" s="12" t="s">
        <v>566</v>
      </c>
      <c r="F948" s="10" t="s">
        <v>586</v>
      </c>
      <c r="G948" s="12"/>
      <c r="H948" s="53">
        <f>H949</f>
        <v>796356</v>
      </c>
    </row>
    <row r="949" spans="1:8" s="28" customFormat="1" x14ac:dyDescent="0.25">
      <c r="A949" s="27">
        <v>90146999</v>
      </c>
      <c r="B949" s="26" t="s">
        <v>624</v>
      </c>
      <c r="C949" s="12" t="s">
        <v>972</v>
      </c>
      <c r="D949" s="12" t="s">
        <v>406</v>
      </c>
      <c r="E949" s="12" t="s">
        <v>566</v>
      </c>
      <c r="F949" s="10" t="s">
        <v>1603</v>
      </c>
      <c r="G949" s="12"/>
      <c r="H949" s="53">
        <f>H950+H952+H954</f>
        <v>796356</v>
      </c>
    </row>
    <row r="950" spans="1:8" s="28" customFormat="1" ht="35.25" customHeight="1" x14ac:dyDescent="0.25">
      <c r="A950" s="27">
        <v>9014699901</v>
      </c>
      <c r="B950" s="26" t="s">
        <v>434</v>
      </c>
      <c r="C950" s="12" t="s">
        <v>972</v>
      </c>
      <c r="D950" s="12" t="s">
        <v>406</v>
      </c>
      <c r="E950" s="12" t="s">
        <v>566</v>
      </c>
      <c r="F950" s="10" t="s">
        <v>1604</v>
      </c>
      <c r="G950" s="12"/>
      <c r="H950" s="53">
        <f>H951</f>
        <v>16352</v>
      </c>
    </row>
    <row r="951" spans="1:8" s="28" customFormat="1" x14ac:dyDescent="0.25">
      <c r="A951" s="27">
        <v>9014699901001</v>
      </c>
      <c r="B951" s="26" t="s">
        <v>1435</v>
      </c>
      <c r="C951" s="12" t="s">
        <v>972</v>
      </c>
      <c r="D951" s="12" t="s">
        <v>406</v>
      </c>
      <c r="E951" s="12" t="s">
        <v>566</v>
      </c>
      <c r="F951" s="10" t="s">
        <v>1604</v>
      </c>
      <c r="G951" s="12" t="s">
        <v>1394</v>
      </c>
      <c r="H951" s="53">
        <v>16352</v>
      </c>
    </row>
    <row r="952" spans="1:8" s="28" customFormat="1" ht="38.25" customHeight="1" x14ac:dyDescent="0.25">
      <c r="A952" s="27">
        <v>9014699902</v>
      </c>
      <c r="B952" s="26" t="s">
        <v>248</v>
      </c>
      <c r="C952" s="12" t="s">
        <v>972</v>
      </c>
      <c r="D952" s="12" t="s">
        <v>406</v>
      </c>
      <c r="E952" s="12" t="s">
        <v>566</v>
      </c>
      <c r="F952" s="10" t="s">
        <v>1606</v>
      </c>
      <c r="G952" s="12"/>
      <c r="H952" s="53">
        <f>H953</f>
        <v>2827</v>
      </c>
    </row>
    <row r="953" spans="1:8" s="28" customFormat="1" x14ac:dyDescent="0.25">
      <c r="A953" s="27">
        <v>9014699902001</v>
      </c>
      <c r="B953" s="26" t="s">
        <v>1435</v>
      </c>
      <c r="C953" s="12" t="s">
        <v>972</v>
      </c>
      <c r="D953" s="12" t="s">
        <v>406</v>
      </c>
      <c r="E953" s="12" t="s">
        <v>566</v>
      </c>
      <c r="F953" s="10" t="s">
        <v>1606</v>
      </c>
      <c r="G953" s="12" t="s">
        <v>1394</v>
      </c>
      <c r="H953" s="53">
        <v>2827</v>
      </c>
    </row>
    <row r="954" spans="1:8" s="28" customFormat="1" ht="47.25" x14ac:dyDescent="0.25">
      <c r="A954" s="27">
        <v>9014699999</v>
      </c>
      <c r="B954" s="26" t="s">
        <v>784</v>
      </c>
      <c r="C954" s="12" t="s">
        <v>972</v>
      </c>
      <c r="D954" s="12" t="s">
        <v>406</v>
      </c>
      <c r="E954" s="12" t="s">
        <v>566</v>
      </c>
      <c r="F954" s="10" t="s">
        <v>1605</v>
      </c>
      <c r="G954" s="12"/>
      <c r="H954" s="53">
        <f>H955</f>
        <v>777177</v>
      </c>
    </row>
    <row r="955" spans="1:8" s="28" customFormat="1" x14ac:dyDescent="0.25">
      <c r="A955" s="27">
        <v>9014699999001</v>
      </c>
      <c r="B955" s="26" t="s">
        <v>1435</v>
      </c>
      <c r="C955" s="12" t="s">
        <v>972</v>
      </c>
      <c r="D955" s="12" t="s">
        <v>406</v>
      </c>
      <c r="E955" s="12" t="s">
        <v>566</v>
      </c>
      <c r="F955" s="10" t="s">
        <v>1605</v>
      </c>
      <c r="G955" s="12" t="s">
        <v>1394</v>
      </c>
      <c r="H955" s="53">
        <v>777177</v>
      </c>
    </row>
    <row r="956" spans="1:8" s="28" customFormat="1" x14ac:dyDescent="0.25">
      <c r="A956" s="27">
        <v>901470</v>
      </c>
      <c r="B956" s="26" t="s">
        <v>202</v>
      </c>
      <c r="C956" s="12" t="s">
        <v>972</v>
      </c>
      <c r="D956" s="12" t="s">
        <v>406</v>
      </c>
      <c r="E956" s="12" t="s">
        <v>566</v>
      </c>
      <c r="F956" s="10" t="s">
        <v>1002</v>
      </c>
      <c r="G956" s="12"/>
      <c r="H956" s="53">
        <f>H957</f>
        <v>6956302</v>
      </c>
    </row>
    <row r="957" spans="1:8" s="28" customFormat="1" x14ac:dyDescent="0.25">
      <c r="A957" s="27">
        <v>90147099</v>
      </c>
      <c r="B957" s="26" t="s">
        <v>624</v>
      </c>
      <c r="C957" s="12" t="s">
        <v>972</v>
      </c>
      <c r="D957" s="12" t="s">
        <v>406</v>
      </c>
      <c r="E957" s="12" t="s">
        <v>566</v>
      </c>
      <c r="F957" s="10" t="s">
        <v>1607</v>
      </c>
      <c r="G957" s="12"/>
      <c r="H957" s="53">
        <f>H958+H960+H962</f>
        <v>6956302</v>
      </c>
    </row>
    <row r="958" spans="1:8" s="28" customFormat="1" ht="31.5" x14ac:dyDescent="0.25">
      <c r="A958" s="27">
        <v>9014709901</v>
      </c>
      <c r="B958" s="26" t="s">
        <v>1371</v>
      </c>
      <c r="C958" s="12" t="s">
        <v>972</v>
      </c>
      <c r="D958" s="12" t="s">
        <v>406</v>
      </c>
      <c r="E958" s="12" t="s">
        <v>566</v>
      </c>
      <c r="F958" s="10" t="s">
        <v>1608</v>
      </c>
      <c r="G958" s="12"/>
      <c r="H958" s="53">
        <f>H959</f>
        <v>464887</v>
      </c>
    </row>
    <row r="959" spans="1:8" s="28" customFormat="1" x14ac:dyDescent="0.25">
      <c r="A959" s="27">
        <v>9014709901001</v>
      </c>
      <c r="B959" s="26" t="s">
        <v>1435</v>
      </c>
      <c r="C959" s="12" t="s">
        <v>972</v>
      </c>
      <c r="D959" s="12" t="s">
        <v>406</v>
      </c>
      <c r="E959" s="12" t="s">
        <v>566</v>
      </c>
      <c r="F959" s="10" t="s">
        <v>1608</v>
      </c>
      <c r="G959" s="12" t="s">
        <v>1394</v>
      </c>
      <c r="H959" s="53">
        <v>464887</v>
      </c>
    </row>
    <row r="960" spans="1:8" s="28" customFormat="1" ht="31.5" x14ac:dyDescent="0.25">
      <c r="A960" s="27">
        <v>9014709902</v>
      </c>
      <c r="B960" s="26" t="s">
        <v>1305</v>
      </c>
      <c r="C960" s="12" t="s">
        <v>972</v>
      </c>
      <c r="D960" s="12" t="s">
        <v>406</v>
      </c>
      <c r="E960" s="12" t="s">
        <v>566</v>
      </c>
      <c r="F960" s="10" t="s">
        <v>217</v>
      </c>
      <c r="G960" s="12"/>
      <c r="H960" s="53">
        <f>H961</f>
        <v>300192</v>
      </c>
    </row>
    <row r="961" spans="1:9" s="28" customFormat="1" x14ac:dyDescent="0.25">
      <c r="A961" s="27">
        <v>9014709902001</v>
      </c>
      <c r="B961" s="26" t="s">
        <v>1435</v>
      </c>
      <c r="C961" s="12" t="s">
        <v>972</v>
      </c>
      <c r="D961" s="12" t="s">
        <v>406</v>
      </c>
      <c r="E961" s="12" t="s">
        <v>566</v>
      </c>
      <c r="F961" s="10" t="s">
        <v>217</v>
      </c>
      <c r="G961" s="12" t="s">
        <v>1394</v>
      </c>
      <c r="H961" s="53">
        <v>300192</v>
      </c>
    </row>
    <row r="962" spans="1:9" s="28" customFormat="1" ht="31.5" x14ac:dyDescent="0.25">
      <c r="A962" s="27">
        <v>9014709999</v>
      </c>
      <c r="B962" s="26" t="s">
        <v>1200</v>
      </c>
      <c r="C962" s="12" t="s">
        <v>972</v>
      </c>
      <c r="D962" s="12" t="s">
        <v>406</v>
      </c>
      <c r="E962" s="12" t="s">
        <v>566</v>
      </c>
      <c r="F962" s="10" t="s">
        <v>640</v>
      </c>
      <c r="G962" s="12"/>
      <c r="H962" s="53">
        <f>H963</f>
        <v>6191223</v>
      </c>
    </row>
    <row r="963" spans="1:9" s="28" customFormat="1" x14ac:dyDescent="0.25">
      <c r="A963" s="27">
        <v>9014709999001</v>
      </c>
      <c r="B963" s="26" t="s">
        <v>1435</v>
      </c>
      <c r="C963" s="12" t="s">
        <v>972</v>
      </c>
      <c r="D963" s="12" t="s">
        <v>406</v>
      </c>
      <c r="E963" s="12" t="s">
        <v>566</v>
      </c>
      <c r="F963" s="10" t="s">
        <v>640</v>
      </c>
      <c r="G963" s="12" t="s">
        <v>1394</v>
      </c>
      <c r="H963" s="53">
        <v>6191223</v>
      </c>
    </row>
    <row r="964" spans="1:9" s="147" customFormat="1" ht="31.5" x14ac:dyDescent="0.25">
      <c r="A964" s="188">
        <v>901485</v>
      </c>
      <c r="B964" s="38" t="s">
        <v>303</v>
      </c>
      <c r="C964" s="25" t="s">
        <v>972</v>
      </c>
      <c r="D964" s="25" t="s">
        <v>406</v>
      </c>
      <c r="E964" s="25" t="s">
        <v>566</v>
      </c>
      <c r="F964" s="11" t="s">
        <v>1213</v>
      </c>
      <c r="G964" s="25"/>
      <c r="H964" s="230">
        <f>H965+H967+H969</f>
        <v>5674763</v>
      </c>
    </row>
    <row r="965" spans="1:9" s="147" customFormat="1" ht="84.75" customHeight="1" x14ac:dyDescent="0.25">
      <c r="A965" s="188">
        <v>90148510</v>
      </c>
      <c r="B965" s="38" t="s">
        <v>607</v>
      </c>
      <c r="C965" s="25" t="s">
        <v>972</v>
      </c>
      <c r="D965" s="25" t="s">
        <v>406</v>
      </c>
      <c r="E965" s="25" t="s">
        <v>566</v>
      </c>
      <c r="F965" s="11" t="s">
        <v>1354</v>
      </c>
      <c r="G965" s="25"/>
      <c r="H965" s="230">
        <f>H966</f>
        <v>4655565</v>
      </c>
    </row>
    <row r="966" spans="1:9" s="147" customFormat="1" ht="19.5" customHeight="1" x14ac:dyDescent="0.25">
      <c r="A966" s="188">
        <v>90148510012</v>
      </c>
      <c r="B966" s="38" t="s">
        <v>1012</v>
      </c>
      <c r="C966" s="25" t="s">
        <v>972</v>
      </c>
      <c r="D966" s="25" t="s">
        <v>406</v>
      </c>
      <c r="E966" s="25" t="s">
        <v>566</v>
      </c>
      <c r="F966" s="11" t="s">
        <v>1354</v>
      </c>
      <c r="G966" s="25" t="s">
        <v>1224</v>
      </c>
      <c r="H966" s="230">
        <v>4655565</v>
      </c>
    </row>
    <row r="967" spans="1:9" s="147" customFormat="1" ht="31.5" hidden="1" x14ac:dyDescent="0.25">
      <c r="A967" s="188">
        <v>90148577</v>
      </c>
      <c r="B967" s="38" t="s">
        <v>465</v>
      </c>
      <c r="C967" s="25" t="s">
        <v>972</v>
      </c>
      <c r="D967" s="25" t="s">
        <v>406</v>
      </c>
      <c r="E967" s="25" t="s">
        <v>566</v>
      </c>
      <c r="F967" s="11" t="s">
        <v>466</v>
      </c>
      <c r="G967" s="25"/>
      <c r="H967" s="230">
        <f>H968</f>
        <v>0</v>
      </c>
    </row>
    <row r="968" spans="1:9" s="147" customFormat="1" hidden="1" x14ac:dyDescent="0.25">
      <c r="A968" s="188">
        <v>90148577012</v>
      </c>
      <c r="B968" s="38" t="s">
        <v>1012</v>
      </c>
      <c r="C968" s="25" t="s">
        <v>972</v>
      </c>
      <c r="D968" s="25" t="s">
        <v>406</v>
      </c>
      <c r="E968" s="25" t="s">
        <v>566</v>
      </c>
      <c r="F968" s="11" t="s">
        <v>466</v>
      </c>
      <c r="G968" s="25" t="s">
        <v>1224</v>
      </c>
      <c r="H968" s="230">
        <f>1764725+2890840-4655565</f>
        <v>0</v>
      </c>
    </row>
    <row r="969" spans="1:9" s="147" customFormat="1" ht="31.5" x14ac:dyDescent="0.25">
      <c r="A969" s="188">
        <v>90148597</v>
      </c>
      <c r="B969" s="38" t="s">
        <v>1718</v>
      </c>
      <c r="C969" s="25" t="s">
        <v>972</v>
      </c>
      <c r="D969" s="25" t="s">
        <v>406</v>
      </c>
      <c r="E969" s="25" t="s">
        <v>566</v>
      </c>
      <c r="F969" s="11" t="s">
        <v>1360</v>
      </c>
      <c r="G969" s="25"/>
      <c r="H969" s="230">
        <f>H970</f>
        <v>1019198</v>
      </c>
    </row>
    <row r="970" spans="1:9" s="147" customFormat="1" x14ac:dyDescent="0.25">
      <c r="A970" s="188">
        <v>90148597001</v>
      </c>
      <c r="B970" s="38" t="s">
        <v>1435</v>
      </c>
      <c r="C970" s="25" t="s">
        <v>972</v>
      </c>
      <c r="D970" s="25" t="s">
        <v>406</v>
      </c>
      <c r="E970" s="25" t="s">
        <v>566</v>
      </c>
      <c r="F970" s="11" t="s">
        <v>1360</v>
      </c>
      <c r="G970" s="25" t="s">
        <v>1394</v>
      </c>
      <c r="H970" s="230">
        <v>1019198</v>
      </c>
    </row>
    <row r="971" spans="1:9" s="28" customFormat="1" x14ac:dyDescent="0.25">
      <c r="A971" s="29">
        <v>902</v>
      </c>
      <c r="B971" s="26" t="s">
        <v>530</v>
      </c>
      <c r="C971" s="12" t="s">
        <v>972</v>
      </c>
      <c r="D971" s="12" t="s">
        <v>406</v>
      </c>
      <c r="E971" s="12" t="s">
        <v>567</v>
      </c>
      <c r="F971" s="12"/>
      <c r="G971" s="12"/>
      <c r="H971" s="53">
        <f>H972</f>
        <v>662232</v>
      </c>
      <c r="I971" s="151">
        <f>H971-(H975+H977+H979)</f>
        <v>0</v>
      </c>
    </row>
    <row r="972" spans="1:9" s="28" customFormat="1" x14ac:dyDescent="0.25">
      <c r="A972" s="27">
        <v>902471</v>
      </c>
      <c r="B972" s="26" t="s">
        <v>367</v>
      </c>
      <c r="C972" s="12" t="s">
        <v>972</v>
      </c>
      <c r="D972" s="12" t="s">
        <v>406</v>
      </c>
      <c r="E972" s="12" t="s">
        <v>567</v>
      </c>
      <c r="F972" s="10" t="s">
        <v>1368</v>
      </c>
      <c r="G972" s="12"/>
      <c r="H972" s="53">
        <f>H973</f>
        <v>662232</v>
      </c>
    </row>
    <row r="973" spans="1:9" s="28" customFormat="1" ht="18.75" customHeight="1" x14ac:dyDescent="0.25">
      <c r="A973" s="27">
        <v>90247199</v>
      </c>
      <c r="B973" s="26" t="s">
        <v>624</v>
      </c>
      <c r="C973" s="12" t="s">
        <v>972</v>
      </c>
      <c r="D973" s="12" t="s">
        <v>406</v>
      </c>
      <c r="E973" s="12" t="s">
        <v>567</v>
      </c>
      <c r="F973" s="10" t="s">
        <v>641</v>
      </c>
      <c r="G973" s="12"/>
      <c r="H973" s="53">
        <f>H974+H976+H978</f>
        <v>662232</v>
      </c>
    </row>
    <row r="974" spans="1:9" s="28" customFormat="1" ht="34.5" customHeight="1" x14ac:dyDescent="0.25">
      <c r="A974" s="27">
        <v>9024719901</v>
      </c>
      <c r="B974" s="26" t="s">
        <v>1698</v>
      </c>
      <c r="C974" s="12" t="s">
        <v>972</v>
      </c>
      <c r="D974" s="12" t="s">
        <v>406</v>
      </c>
      <c r="E974" s="12" t="s">
        <v>567</v>
      </c>
      <c r="F974" s="10" t="s">
        <v>91</v>
      </c>
      <c r="G974" s="12"/>
      <c r="H974" s="53">
        <f>H975</f>
        <v>36428</v>
      </c>
    </row>
    <row r="975" spans="1:9" s="28" customFormat="1" x14ac:dyDescent="0.25">
      <c r="A975" s="27">
        <v>9024719901001</v>
      </c>
      <c r="B975" s="26" t="s">
        <v>1435</v>
      </c>
      <c r="C975" s="12" t="s">
        <v>972</v>
      </c>
      <c r="D975" s="12" t="s">
        <v>406</v>
      </c>
      <c r="E975" s="12" t="s">
        <v>567</v>
      </c>
      <c r="F975" s="10" t="s">
        <v>91</v>
      </c>
      <c r="G975" s="12" t="s">
        <v>1394</v>
      </c>
      <c r="H975" s="53">
        <v>36428</v>
      </c>
    </row>
    <row r="976" spans="1:9" s="28" customFormat="1" ht="34.5" customHeight="1" x14ac:dyDescent="0.25">
      <c r="A976" s="27">
        <v>9024719902</v>
      </c>
      <c r="B976" s="26" t="s">
        <v>332</v>
      </c>
      <c r="C976" s="12" t="s">
        <v>972</v>
      </c>
      <c r="D976" s="12" t="s">
        <v>406</v>
      </c>
      <c r="E976" s="12" t="s">
        <v>567</v>
      </c>
      <c r="F976" s="10" t="s">
        <v>92</v>
      </c>
      <c r="G976" s="12"/>
      <c r="H976" s="53">
        <f>H977</f>
        <v>547</v>
      </c>
    </row>
    <row r="977" spans="1:9" s="28" customFormat="1" x14ac:dyDescent="0.25">
      <c r="A977" s="27">
        <v>9024719902001</v>
      </c>
      <c r="B977" s="26" t="s">
        <v>1435</v>
      </c>
      <c r="C977" s="12" t="s">
        <v>972</v>
      </c>
      <c r="D977" s="12" t="s">
        <v>406</v>
      </c>
      <c r="E977" s="12" t="s">
        <v>567</v>
      </c>
      <c r="F977" s="10" t="s">
        <v>92</v>
      </c>
      <c r="G977" s="12" t="s">
        <v>1394</v>
      </c>
      <c r="H977" s="53">
        <v>547</v>
      </c>
    </row>
    <row r="978" spans="1:9" s="28" customFormat="1" ht="34.5" customHeight="1" x14ac:dyDescent="0.25">
      <c r="A978" s="27">
        <v>9024719999</v>
      </c>
      <c r="B978" s="26" t="s">
        <v>552</v>
      </c>
      <c r="C978" s="12" t="s">
        <v>972</v>
      </c>
      <c r="D978" s="12" t="s">
        <v>406</v>
      </c>
      <c r="E978" s="12" t="s">
        <v>567</v>
      </c>
      <c r="F978" s="10" t="s">
        <v>1121</v>
      </c>
      <c r="G978" s="12"/>
      <c r="H978" s="53">
        <f>H979</f>
        <v>625257</v>
      </c>
    </row>
    <row r="979" spans="1:9" s="28" customFormat="1" x14ac:dyDescent="0.25">
      <c r="A979" s="27">
        <v>9024719999001</v>
      </c>
      <c r="B979" s="26" t="s">
        <v>1435</v>
      </c>
      <c r="C979" s="12" t="s">
        <v>972</v>
      </c>
      <c r="D979" s="12" t="s">
        <v>406</v>
      </c>
      <c r="E979" s="12" t="s">
        <v>567</v>
      </c>
      <c r="F979" s="10" t="s">
        <v>1121</v>
      </c>
      <c r="G979" s="12" t="s">
        <v>1394</v>
      </c>
      <c r="H979" s="53">
        <v>625257</v>
      </c>
    </row>
    <row r="980" spans="1:9" s="28" customFormat="1" x14ac:dyDescent="0.25">
      <c r="A980" s="29">
        <v>905</v>
      </c>
      <c r="B980" s="26" t="s">
        <v>1127</v>
      </c>
      <c r="C980" s="12" t="s">
        <v>972</v>
      </c>
      <c r="D980" s="12" t="s">
        <v>406</v>
      </c>
      <c r="E980" s="12" t="s">
        <v>175</v>
      </c>
      <c r="F980" s="12"/>
      <c r="G980" s="12"/>
      <c r="H980" s="53">
        <f>H981+H989</f>
        <v>724098</v>
      </c>
      <c r="I980" s="151">
        <f>H980-(H984+H986+H988+H992+H994+H996)</f>
        <v>0</v>
      </c>
    </row>
    <row r="981" spans="1:9" s="28" customFormat="1" x14ac:dyDescent="0.25">
      <c r="A981" s="27">
        <v>905473</v>
      </c>
      <c r="B981" s="26" t="s">
        <v>395</v>
      </c>
      <c r="C981" s="12" t="s">
        <v>972</v>
      </c>
      <c r="D981" s="12" t="s">
        <v>406</v>
      </c>
      <c r="E981" s="12" t="s">
        <v>175</v>
      </c>
      <c r="F981" s="10" t="s">
        <v>1365</v>
      </c>
      <c r="G981" s="12"/>
      <c r="H981" s="53">
        <f>H982</f>
        <v>411598</v>
      </c>
    </row>
    <row r="982" spans="1:9" s="28" customFormat="1" x14ac:dyDescent="0.25">
      <c r="A982" s="27">
        <v>90547399</v>
      </c>
      <c r="B982" s="26" t="s">
        <v>624</v>
      </c>
      <c r="C982" s="12" t="s">
        <v>972</v>
      </c>
      <c r="D982" s="12" t="s">
        <v>406</v>
      </c>
      <c r="E982" s="12" t="s">
        <v>175</v>
      </c>
      <c r="F982" s="10" t="s">
        <v>1122</v>
      </c>
      <c r="G982" s="12"/>
      <c r="H982" s="53">
        <f>H983+H985+H987</f>
        <v>411598</v>
      </c>
    </row>
    <row r="983" spans="1:9" s="28" customFormat="1" ht="31.5" x14ac:dyDescent="0.25">
      <c r="A983" s="27">
        <v>9054739901</v>
      </c>
      <c r="B983" s="26" t="s">
        <v>1308</v>
      </c>
      <c r="C983" s="12" t="s">
        <v>972</v>
      </c>
      <c r="D983" s="12" t="s">
        <v>406</v>
      </c>
      <c r="E983" s="12" t="s">
        <v>175</v>
      </c>
      <c r="F983" s="10" t="s">
        <v>1123</v>
      </c>
      <c r="G983" s="12"/>
      <c r="H983" s="53">
        <f>H984</f>
        <v>7560</v>
      </c>
    </row>
    <row r="984" spans="1:9" s="28" customFormat="1" x14ac:dyDescent="0.25">
      <c r="A984" s="27">
        <v>9054739901001</v>
      </c>
      <c r="B984" s="26" t="s">
        <v>1435</v>
      </c>
      <c r="C984" s="12" t="s">
        <v>972</v>
      </c>
      <c r="D984" s="12" t="s">
        <v>406</v>
      </c>
      <c r="E984" s="12" t="s">
        <v>175</v>
      </c>
      <c r="F984" s="10" t="s">
        <v>1123</v>
      </c>
      <c r="G984" s="12" t="s">
        <v>1394</v>
      </c>
      <c r="H984" s="53">
        <v>7560</v>
      </c>
    </row>
    <row r="985" spans="1:9" s="28" customFormat="1" ht="33.75" customHeight="1" x14ac:dyDescent="0.25">
      <c r="A985" s="27">
        <v>9054739902</v>
      </c>
      <c r="B985" s="26" t="s">
        <v>827</v>
      </c>
      <c r="C985" s="12" t="s">
        <v>972</v>
      </c>
      <c r="D985" s="12" t="s">
        <v>406</v>
      </c>
      <c r="E985" s="12" t="s">
        <v>175</v>
      </c>
      <c r="F985" s="10" t="s">
        <v>1124</v>
      </c>
      <c r="G985" s="12"/>
      <c r="H985" s="53">
        <f>H986</f>
        <v>31232</v>
      </c>
    </row>
    <row r="986" spans="1:9" s="28" customFormat="1" x14ac:dyDescent="0.25">
      <c r="A986" s="27">
        <v>9054739902001</v>
      </c>
      <c r="B986" s="26" t="s">
        <v>1435</v>
      </c>
      <c r="C986" s="12" t="s">
        <v>972</v>
      </c>
      <c r="D986" s="12" t="s">
        <v>406</v>
      </c>
      <c r="E986" s="12" t="s">
        <v>175</v>
      </c>
      <c r="F986" s="10" t="s">
        <v>1124</v>
      </c>
      <c r="G986" s="12" t="s">
        <v>1394</v>
      </c>
      <c r="H986" s="53">
        <v>31232</v>
      </c>
    </row>
    <row r="987" spans="1:9" s="28" customFormat="1" ht="31.5" x14ac:dyDescent="0.25">
      <c r="A987" s="27">
        <v>9054739999</v>
      </c>
      <c r="B987" s="26" t="s">
        <v>828</v>
      </c>
      <c r="C987" s="12" t="s">
        <v>972</v>
      </c>
      <c r="D987" s="12" t="s">
        <v>406</v>
      </c>
      <c r="E987" s="12" t="s">
        <v>175</v>
      </c>
      <c r="F987" s="10" t="s">
        <v>1125</v>
      </c>
      <c r="G987" s="12"/>
      <c r="H987" s="53">
        <f>H988</f>
        <v>372806</v>
      </c>
    </row>
    <row r="988" spans="1:9" s="28" customFormat="1" ht="16.5" customHeight="1" x14ac:dyDescent="0.25">
      <c r="A988" s="27">
        <v>9054739999001</v>
      </c>
      <c r="B988" s="26" t="s">
        <v>1435</v>
      </c>
      <c r="C988" s="12" t="s">
        <v>972</v>
      </c>
      <c r="D988" s="12" t="s">
        <v>406</v>
      </c>
      <c r="E988" s="12" t="s">
        <v>175</v>
      </c>
      <c r="F988" s="10" t="s">
        <v>1125</v>
      </c>
      <c r="G988" s="12" t="s">
        <v>1394</v>
      </c>
      <c r="H988" s="53">
        <v>372806</v>
      </c>
    </row>
    <row r="989" spans="1:9" s="28" customFormat="1" ht="18.75" customHeight="1" x14ac:dyDescent="0.25">
      <c r="A989" s="27">
        <v>905474</v>
      </c>
      <c r="B989" s="26" t="s">
        <v>1409</v>
      </c>
      <c r="C989" s="12" t="s">
        <v>972</v>
      </c>
      <c r="D989" s="12" t="s">
        <v>406</v>
      </c>
      <c r="E989" s="12" t="s">
        <v>175</v>
      </c>
      <c r="F989" s="10" t="s">
        <v>1366</v>
      </c>
      <c r="G989" s="12"/>
      <c r="H989" s="53">
        <f>H990</f>
        <v>312500</v>
      </c>
    </row>
    <row r="990" spans="1:9" s="28" customFormat="1" ht="18" customHeight="1" x14ac:dyDescent="0.25">
      <c r="A990" s="27">
        <v>90547499</v>
      </c>
      <c r="B990" s="26" t="s">
        <v>624</v>
      </c>
      <c r="C990" s="12" t="s">
        <v>972</v>
      </c>
      <c r="D990" s="12" t="s">
        <v>406</v>
      </c>
      <c r="E990" s="12" t="s">
        <v>175</v>
      </c>
      <c r="F990" s="10" t="s">
        <v>1492</v>
      </c>
      <c r="G990" s="12"/>
      <c r="H990" s="53">
        <f>H991+H993+H995</f>
        <v>312500</v>
      </c>
    </row>
    <row r="991" spans="1:9" s="28" customFormat="1" ht="32.25" customHeight="1" x14ac:dyDescent="0.25">
      <c r="A991" s="27">
        <v>9054749901</v>
      </c>
      <c r="B991" s="26" t="s">
        <v>644</v>
      </c>
      <c r="C991" s="12" t="s">
        <v>972</v>
      </c>
      <c r="D991" s="12" t="s">
        <v>406</v>
      </c>
      <c r="E991" s="12" t="s">
        <v>175</v>
      </c>
      <c r="F991" s="10" t="s">
        <v>1493</v>
      </c>
      <c r="G991" s="12"/>
      <c r="H991" s="53">
        <f>H992</f>
        <v>3254</v>
      </c>
    </row>
    <row r="992" spans="1:9" s="28" customFormat="1" x14ac:dyDescent="0.25">
      <c r="A992" s="27">
        <v>9054749901001</v>
      </c>
      <c r="B992" s="26" t="s">
        <v>1435</v>
      </c>
      <c r="C992" s="12" t="s">
        <v>972</v>
      </c>
      <c r="D992" s="12" t="s">
        <v>406</v>
      </c>
      <c r="E992" s="12" t="s">
        <v>175</v>
      </c>
      <c r="F992" s="10" t="s">
        <v>1493</v>
      </c>
      <c r="G992" s="12" t="s">
        <v>1394</v>
      </c>
      <c r="H992" s="53">
        <v>3254</v>
      </c>
    </row>
    <row r="993" spans="1:9" s="28" customFormat="1" ht="30.75" customHeight="1" x14ac:dyDescent="0.25">
      <c r="A993" s="27">
        <v>9054749902</v>
      </c>
      <c r="B993" s="26" t="s">
        <v>645</v>
      </c>
      <c r="C993" s="12" t="s">
        <v>972</v>
      </c>
      <c r="D993" s="12" t="s">
        <v>406</v>
      </c>
      <c r="E993" s="12" t="s">
        <v>175</v>
      </c>
      <c r="F993" s="10" t="s">
        <v>1494</v>
      </c>
      <c r="G993" s="12"/>
      <c r="H993" s="53">
        <f>H994</f>
        <v>24056</v>
      </c>
    </row>
    <row r="994" spans="1:9" s="28" customFormat="1" x14ac:dyDescent="0.25">
      <c r="A994" s="27">
        <v>9054749902001</v>
      </c>
      <c r="B994" s="26" t="s">
        <v>1435</v>
      </c>
      <c r="C994" s="12" t="s">
        <v>972</v>
      </c>
      <c r="D994" s="12" t="s">
        <v>406</v>
      </c>
      <c r="E994" s="12" t="s">
        <v>175</v>
      </c>
      <c r="F994" s="10" t="s">
        <v>1494</v>
      </c>
      <c r="G994" s="12" t="s">
        <v>1394</v>
      </c>
      <c r="H994" s="53">
        <v>24056</v>
      </c>
    </row>
    <row r="995" spans="1:9" s="28" customFormat="1" ht="31.5" x14ac:dyDescent="0.25">
      <c r="A995" s="27">
        <v>9054749999</v>
      </c>
      <c r="B995" s="26" t="s">
        <v>1321</v>
      </c>
      <c r="C995" s="12" t="s">
        <v>972</v>
      </c>
      <c r="D995" s="12" t="s">
        <v>406</v>
      </c>
      <c r="E995" s="12" t="s">
        <v>175</v>
      </c>
      <c r="F995" s="10" t="s">
        <v>1495</v>
      </c>
      <c r="G995" s="12"/>
      <c r="H995" s="53">
        <f>H996</f>
        <v>285190</v>
      </c>
    </row>
    <row r="996" spans="1:9" s="28" customFormat="1" ht="18" customHeight="1" x14ac:dyDescent="0.25">
      <c r="A996" s="27">
        <v>9054749999001</v>
      </c>
      <c r="B996" s="26" t="s">
        <v>1435</v>
      </c>
      <c r="C996" s="12" t="s">
        <v>972</v>
      </c>
      <c r="D996" s="12" t="s">
        <v>406</v>
      </c>
      <c r="E996" s="12" t="s">
        <v>175</v>
      </c>
      <c r="F996" s="10" t="s">
        <v>1495</v>
      </c>
      <c r="G996" s="12" t="s">
        <v>1394</v>
      </c>
      <c r="H996" s="53">
        <v>285190</v>
      </c>
    </row>
    <row r="997" spans="1:9" s="28" customFormat="1" ht="31.5" x14ac:dyDescent="0.25">
      <c r="A997" s="29">
        <v>906</v>
      </c>
      <c r="B997" s="26" t="s">
        <v>500</v>
      </c>
      <c r="C997" s="12" t="s">
        <v>972</v>
      </c>
      <c r="D997" s="12" t="s">
        <v>406</v>
      </c>
      <c r="E997" s="12" t="s">
        <v>1746</v>
      </c>
      <c r="F997" s="12"/>
      <c r="G997" s="12"/>
      <c r="H997" s="53">
        <f>H998</f>
        <v>377981</v>
      </c>
      <c r="I997" s="151">
        <f>H997-H1001-H1003-H1005</f>
        <v>0</v>
      </c>
    </row>
    <row r="998" spans="1:9" s="28" customFormat="1" ht="18" customHeight="1" x14ac:dyDescent="0.25">
      <c r="A998" s="27">
        <v>906472</v>
      </c>
      <c r="B998" s="26" t="s">
        <v>1168</v>
      </c>
      <c r="C998" s="12" t="s">
        <v>972</v>
      </c>
      <c r="D998" s="12" t="s">
        <v>406</v>
      </c>
      <c r="E998" s="12" t="s">
        <v>1746</v>
      </c>
      <c r="F998" s="10" t="s">
        <v>1437</v>
      </c>
      <c r="G998" s="12"/>
      <c r="H998" s="53">
        <f>H999</f>
        <v>377981</v>
      </c>
    </row>
    <row r="999" spans="1:9" s="28" customFormat="1" ht="18.75" customHeight="1" x14ac:dyDescent="0.25">
      <c r="A999" s="27">
        <v>90647299</v>
      </c>
      <c r="B999" s="26" t="s">
        <v>624</v>
      </c>
      <c r="C999" s="12" t="s">
        <v>972</v>
      </c>
      <c r="D999" s="12" t="s">
        <v>406</v>
      </c>
      <c r="E999" s="12" t="s">
        <v>1746</v>
      </c>
      <c r="F999" s="10" t="s">
        <v>1496</v>
      </c>
      <c r="G999" s="12"/>
      <c r="H999" s="53">
        <f>H1000+H1002+H1004</f>
        <v>377981</v>
      </c>
    </row>
    <row r="1000" spans="1:9" s="28" customFormat="1" ht="32.25" customHeight="1" x14ac:dyDescent="0.25">
      <c r="A1000" s="27">
        <v>9064729901</v>
      </c>
      <c r="B1000" s="26" t="s">
        <v>994</v>
      </c>
      <c r="C1000" s="12" t="s">
        <v>972</v>
      </c>
      <c r="D1000" s="12" t="s">
        <v>406</v>
      </c>
      <c r="E1000" s="12" t="s">
        <v>1746</v>
      </c>
      <c r="F1000" s="10" t="s">
        <v>1303</v>
      </c>
      <c r="G1000" s="12"/>
      <c r="H1000" s="53">
        <f>H1001</f>
        <v>91228</v>
      </c>
    </row>
    <row r="1001" spans="1:9" s="28" customFormat="1" x14ac:dyDescent="0.25">
      <c r="A1001" s="27">
        <v>9064729901001</v>
      </c>
      <c r="B1001" s="26" t="s">
        <v>1435</v>
      </c>
      <c r="C1001" s="12" t="s">
        <v>972</v>
      </c>
      <c r="D1001" s="12" t="s">
        <v>406</v>
      </c>
      <c r="E1001" s="12" t="s">
        <v>1746</v>
      </c>
      <c r="F1001" s="10" t="s">
        <v>1303</v>
      </c>
      <c r="G1001" s="12" t="s">
        <v>1394</v>
      </c>
      <c r="H1001" s="53">
        <v>91228</v>
      </c>
    </row>
    <row r="1002" spans="1:9" s="28" customFormat="1" ht="34.5" customHeight="1" x14ac:dyDescent="0.25">
      <c r="A1002" s="27">
        <v>9064729902</v>
      </c>
      <c r="B1002" s="26" t="s">
        <v>995</v>
      </c>
      <c r="C1002" s="12" t="s">
        <v>972</v>
      </c>
      <c r="D1002" s="12" t="s">
        <v>406</v>
      </c>
      <c r="E1002" s="12" t="s">
        <v>1746</v>
      </c>
      <c r="F1002" s="10" t="s">
        <v>1304</v>
      </c>
      <c r="G1002" s="12"/>
      <c r="H1002" s="53">
        <f>H1003</f>
        <v>356</v>
      </c>
    </row>
    <row r="1003" spans="1:9" s="28" customFormat="1" x14ac:dyDescent="0.25">
      <c r="A1003" s="27">
        <v>9064729902001</v>
      </c>
      <c r="B1003" s="26" t="s">
        <v>1435</v>
      </c>
      <c r="C1003" s="12" t="s">
        <v>972</v>
      </c>
      <c r="D1003" s="12" t="s">
        <v>406</v>
      </c>
      <c r="E1003" s="12" t="s">
        <v>1746</v>
      </c>
      <c r="F1003" s="10" t="s">
        <v>1304</v>
      </c>
      <c r="G1003" s="12" t="s">
        <v>1394</v>
      </c>
      <c r="H1003" s="53">
        <v>356</v>
      </c>
    </row>
    <row r="1004" spans="1:9" s="28" customFormat="1" ht="34.5" customHeight="1" x14ac:dyDescent="0.25">
      <c r="A1004" s="27">
        <v>9064729999</v>
      </c>
      <c r="B1004" s="26" t="s">
        <v>895</v>
      </c>
      <c r="C1004" s="12" t="s">
        <v>972</v>
      </c>
      <c r="D1004" s="12" t="s">
        <v>406</v>
      </c>
      <c r="E1004" s="12" t="s">
        <v>1746</v>
      </c>
      <c r="F1004" s="10" t="s">
        <v>1221</v>
      </c>
      <c r="G1004" s="12"/>
      <c r="H1004" s="53">
        <f>H1005</f>
        <v>286397</v>
      </c>
    </row>
    <row r="1005" spans="1:9" s="28" customFormat="1" ht="19.5" customHeight="1" x14ac:dyDescent="0.25">
      <c r="A1005" s="27">
        <v>9064729999001</v>
      </c>
      <c r="B1005" s="26" t="s">
        <v>1435</v>
      </c>
      <c r="C1005" s="12" t="s">
        <v>972</v>
      </c>
      <c r="D1005" s="12" t="s">
        <v>406</v>
      </c>
      <c r="E1005" s="12" t="s">
        <v>1746</v>
      </c>
      <c r="F1005" s="10" t="s">
        <v>1221</v>
      </c>
      <c r="G1005" s="12" t="s">
        <v>1394</v>
      </c>
      <c r="H1005" s="53">
        <v>286397</v>
      </c>
    </row>
    <row r="1006" spans="1:9" s="28" customFormat="1" ht="31.5" x14ac:dyDescent="0.25">
      <c r="A1006" s="29">
        <v>909</v>
      </c>
      <c r="B1006" s="37" t="s">
        <v>1345</v>
      </c>
      <c r="C1006" s="12" t="s">
        <v>972</v>
      </c>
      <c r="D1006" s="12" t="s">
        <v>406</v>
      </c>
      <c r="E1006" s="12" t="s">
        <v>406</v>
      </c>
      <c r="F1006" s="12"/>
      <c r="G1006" s="12"/>
      <c r="H1006" s="53">
        <f>H1007</f>
        <v>269728</v>
      </c>
      <c r="I1006" s="151">
        <f>H1006-H1010-H1012</f>
        <v>0</v>
      </c>
    </row>
    <row r="1007" spans="1:9" s="28" customFormat="1" x14ac:dyDescent="0.25">
      <c r="A1007" s="27">
        <v>909081</v>
      </c>
      <c r="B1007" s="26" t="s">
        <v>631</v>
      </c>
      <c r="C1007" s="12" t="s">
        <v>972</v>
      </c>
      <c r="D1007" s="12" t="s">
        <v>406</v>
      </c>
      <c r="E1007" s="12" t="s">
        <v>406</v>
      </c>
      <c r="F1007" s="12" t="s">
        <v>1076</v>
      </c>
      <c r="G1007" s="12"/>
      <c r="H1007" s="53">
        <f>H1008</f>
        <v>269728</v>
      </c>
    </row>
    <row r="1008" spans="1:9" s="28" customFormat="1" x14ac:dyDescent="0.25">
      <c r="A1008" s="27">
        <v>90908199</v>
      </c>
      <c r="B1008" s="26" t="s">
        <v>624</v>
      </c>
      <c r="C1008" s="12" t="s">
        <v>972</v>
      </c>
      <c r="D1008" s="12" t="s">
        <v>406</v>
      </c>
      <c r="E1008" s="12" t="s">
        <v>406</v>
      </c>
      <c r="F1008" s="12" t="s">
        <v>1212</v>
      </c>
      <c r="G1008" s="12"/>
      <c r="H1008" s="53">
        <f>H1009+H1011</f>
        <v>269728</v>
      </c>
    </row>
    <row r="1009" spans="1:9" s="28" customFormat="1" ht="31.5" x14ac:dyDescent="0.25">
      <c r="A1009" s="27">
        <v>9090819901</v>
      </c>
      <c r="B1009" s="26" t="s">
        <v>1696</v>
      </c>
      <c r="C1009" s="12" t="s">
        <v>972</v>
      </c>
      <c r="D1009" s="12" t="s">
        <v>406</v>
      </c>
      <c r="E1009" s="12" t="s">
        <v>406</v>
      </c>
      <c r="F1009" s="12" t="s">
        <v>478</v>
      </c>
      <c r="G1009" s="12"/>
      <c r="H1009" s="53">
        <f>H1010</f>
        <v>7395</v>
      </c>
    </row>
    <row r="1010" spans="1:9" s="28" customFormat="1" x14ac:dyDescent="0.25">
      <c r="A1010" s="27">
        <v>9090819901001</v>
      </c>
      <c r="B1010" s="26" t="s">
        <v>1435</v>
      </c>
      <c r="C1010" s="12" t="s">
        <v>972</v>
      </c>
      <c r="D1010" s="12" t="s">
        <v>406</v>
      </c>
      <c r="E1010" s="12" t="s">
        <v>406</v>
      </c>
      <c r="F1010" s="12" t="s">
        <v>478</v>
      </c>
      <c r="G1010" s="12" t="s">
        <v>1394</v>
      </c>
      <c r="H1010" s="53">
        <v>7395</v>
      </c>
    </row>
    <row r="1011" spans="1:9" s="28" customFormat="1" x14ac:dyDescent="0.25">
      <c r="A1011" s="27">
        <v>9090819999</v>
      </c>
      <c r="B1011" s="26" t="s">
        <v>744</v>
      </c>
      <c r="C1011" s="12" t="s">
        <v>972</v>
      </c>
      <c r="D1011" s="12" t="s">
        <v>406</v>
      </c>
      <c r="E1011" s="12" t="s">
        <v>406</v>
      </c>
      <c r="F1011" s="12" t="s">
        <v>479</v>
      </c>
      <c r="G1011" s="12"/>
      <c r="H1011" s="53">
        <f>H1012</f>
        <v>262333</v>
      </c>
    </row>
    <row r="1012" spans="1:9" s="28" customFormat="1" x14ac:dyDescent="0.25">
      <c r="A1012" s="27">
        <v>9090819999001</v>
      </c>
      <c r="B1012" s="26" t="s">
        <v>1435</v>
      </c>
      <c r="C1012" s="12" t="s">
        <v>972</v>
      </c>
      <c r="D1012" s="12" t="s">
        <v>406</v>
      </c>
      <c r="E1012" s="12" t="s">
        <v>406</v>
      </c>
      <c r="F1012" s="12" t="s">
        <v>479</v>
      </c>
      <c r="G1012" s="12" t="s">
        <v>1394</v>
      </c>
      <c r="H1012" s="53">
        <v>262333</v>
      </c>
    </row>
    <row r="1013" spans="1:9" s="28" customFormat="1" ht="31.5" x14ac:dyDescent="0.25">
      <c r="A1013" s="29">
        <v>910</v>
      </c>
      <c r="B1013" s="26" t="s">
        <v>877</v>
      </c>
      <c r="C1013" s="12" t="s">
        <v>972</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7.25" x14ac:dyDescent="0.25">
      <c r="A1014" s="27">
        <v>910002</v>
      </c>
      <c r="B1014" s="26" t="s">
        <v>1657</v>
      </c>
      <c r="C1014" s="12" t="s">
        <v>972</v>
      </c>
      <c r="D1014" s="12" t="s">
        <v>406</v>
      </c>
      <c r="E1014" s="12">
        <v>10</v>
      </c>
      <c r="F1014" s="12" t="s">
        <v>200</v>
      </c>
      <c r="G1014" s="12"/>
      <c r="H1014" s="53">
        <f>H1015</f>
        <v>150268</v>
      </c>
    </row>
    <row r="1015" spans="1:9" s="28" customFormat="1" x14ac:dyDescent="0.25">
      <c r="A1015" s="27">
        <v>91000204</v>
      </c>
      <c r="B1015" s="26" t="s">
        <v>638</v>
      </c>
      <c r="C1015" s="12" t="s">
        <v>972</v>
      </c>
      <c r="D1015" s="12" t="s">
        <v>406</v>
      </c>
      <c r="E1015" s="12">
        <v>10</v>
      </c>
      <c r="F1015" s="12" t="s">
        <v>797</v>
      </c>
      <c r="G1015" s="12"/>
      <c r="H1015" s="53">
        <f>H1016</f>
        <v>150268</v>
      </c>
    </row>
    <row r="1016" spans="1:9" s="131" customFormat="1" x14ac:dyDescent="0.25">
      <c r="A1016" s="27">
        <v>91000204012</v>
      </c>
      <c r="B1016" s="38" t="s">
        <v>1012</v>
      </c>
      <c r="C1016" s="12" t="s">
        <v>972</v>
      </c>
      <c r="D1016" s="12" t="s">
        <v>406</v>
      </c>
      <c r="E1016" s="12">
        <v>10</v>
      </c>
      <c r="F1016" s="25" t="s">
        <v>797</v>
      </c>
      <c r="G1016" s="25" t="s">
        <v>1224</v>
      </c>
      <c r="H1016" s="185">
        <v>150268</v>
      </c>
    </row>
    <row r="1017" spans="1:9" s="28" customFormat="1" ht="31.5" x14ac:dyDescent="0.25">
      <c r="A1017" s="27">
        <v>910485</v>
      </c>
      <c r="B1017" s="26" t="s">
        <v>303</v>
      </c>
      <c r="C1017" s="12" t="s">
        <v>972</v>
      </c>
      <c r="D1017" s="12" t="s">
        <v>406</v>
      </c>
      <c r="E1017" s="12">
        <v>10</v>
      </c>
      <c r="F1017" s="10" t="s">
        <v>1213</v>
      </c>
      <c r="G1017" s="12"/>
      <c r="H1017" s="53">
        <f>H1018+H1020</f>
        <v>4470</v>
      </c>
    </row>
    <row r="1018" spans="1:9" s="28" customFormat="1" ht="31.5" hidden="1" x14ac:dyDescent="0.25">
      <c r="A1018" s="27">
        <v>91048577</v>
      </c>
      <c r="B1018" s="26" t="s">
        <v>465</v>
      </c>
      <c r="C1018" s="12" t="s">
        <v>972</v>
      </c>
      <c r="D1018" s="12" t="s">
        <v>406</v>
      </c>
      <c r="E1018" s="12">
        <v>10</v>
      </c>
      <c r="F1018" s="10" t="s">
        <v>466</v>
      </c>
      <c r="G1018" s="12"/>
      <c r="H1018" s="53">
        <f>H1019</f>
        <v>0</v>
      </c>
    </row>
    <row r="1019" spans="1:9" s="28" customFormat="1" hidden="1" x14ac:dyDescent="0.25">
      <c r="A1019" s="27">
        <v>91048577012</v>
      </c>
      <c r="B1019" s="26" t="s">
        <v>1012</v>
      </c>
      <c r="C1019" s="12" t="s">
        <v>972</v>
      </c>
      <c r="D1019" s="12" t="s">
        <v>406</v>
      </c>
      <c r="E1019" s="12">
        <v>10</v>
      </c>
      <c r="F1019" s="10" t="s">
        <v>466</v>
      </c>
      <c r="G1019" s="12" t="s">
        <v>1224</v>
      </c>
      <c r="H1019" s="230">
        <f>1764725-1764725</f>
        <v>0</v>
      </c>
    </row>
    <row r="1020" spans="1:9" s="28" customFormat="1" ht="31.5" x14ac:dyDescent="0.25">
      <c r="A1020" s="27">
        <v>91048597</v>
      </c>
      <c r="B1020" s="26" t="s">
        <v>1718</v>
      </c>
      <c r="C1020" s="12" t="s">
        <v>972</v>
      </c>
      <c r="D1020" s="12" t="s">
        <v>406</v>
      </c>
      <c r="E1020" s="12">
        <v>10</v>
      </c>
      <c r="F1020" s="10" t="s">
        <v>1360</v>
      </c>
      <c r="G1020" s="12"/>
      <c r="H1020" s="53">
        <f>H1021+H1022</f>
        <v>4470</v>
      </c>
    </row>
    <row r="1021" spans="1:9" s="28" customFormat="1" hidden="1" x14ac:dyDescent="0.25">
      <c r="A1021" s="27">
        <v>91048597001</v>
      </c>
      <c r="B1021" s="26" t="s">
        <v>1435</v>
      </c>
      <c r="C1021" s="12" t="s">
        <v>972</v>
      </c>
      <c r="D1021" s="12" t="s">
        <v>406</v>
      </c>
      <c r="E1021" s="12">
        <v>10</v>
      </c>
      <c r="F1021" s="10" t="s">
        <v>1360</v>
      </c>
      <c r="G1021" s="12" t="s">
        <v>1394</v>
      </c>
      <c r="H1021" s="230">
        <f>1019198-1019198</f>
        <v>0</v>
      </c>
    </row>
    <row r="1022" spans="1:9" s="28" customFormat="1" ht="31.5" x14ac:dyDescent="0.25">
      <c r="A1022" s="27">
        <v>91048597079</v>
      </c>
      <c r="B1022" s="26" t="s">
        <v>467</v>
      </c>
      <c r="C1022" s="12" t="s">
        <v>972</v>
      </c>
      <c r="D1022" s="12" t="s">
        <v>406</v>
      </c>
      <c r="E1022" s="12">
        <v>10</v>
      </c>
      <c r="F1022" s="10" t="s">
        <v>1360</v>
      </c>
      <c r="G1022" s="12" t="s">
        <v>168</v>
      </c>
      <c r="H1022" s="230">
        <f>975739-971269</f>
        <v>4470</v>
      </c>
    </row>
    <row r="1023" spans="1:9" s="28" customFormat="1" x14ac:dyDescent="0.25">
      <c r="A1023" s="27">
        <v>910486</v>
      </c>
      <c r="B1023" s="38" t="s">
        <v>975</v>
      </c>
      <c r="C1023" s="12" t="s">
        <v>972</v>
      </c>
      <c r="D1023" s="12" t="s">
        <v>406</v>
      </c>
      <c r="E1023" s="12">
        <v>10</v>
      </c>
      <c r="F1023" s="10" t="s">
        <v>1367</v>
      </c>
      <c r="G1023" s="12"/>
      <c r="H1023" s="53">
        <f>H1024</f>
        <v>545947</v>
      </c>
    </row>
    <row r="1024" spans="1:9" s="28" customFormat="1" x14ac:dyDescent="0.25">
      <c r="A1024" s="27">
        <v>91048699</v>
      </c>
      <c r="B1024" s="26" t="s">
        <v>624</v>
      </c>
      <c r="C1024" s="12" t="s">
        <v>972</v>
      </c>
      <c r="D1024" s="12" t="s">
        <v>406</v>
      </c>
      <c r="E1024" s="12">
        <v>10</v>
      </c>
      <c r="F1024" s="10" t="s">
        <v>468</v>
      </c>
      <c r="G1024" s="12"/>
      <c r="H1024" s="53">
        <f>H1025+H1027+H1029</f>
        <v>545947</v>
      </c>
    </row>
    <row r="1025" spans="1:8" s="28" customFormat="1" ht="18.75" customHeight="1" x14ac:dyDescent="0.25">
      <c r="A1025" s="27">
        <v>9104869901</v>
      </c>
      <c r="B1025" s="26" t="s">
        <v>825</v>
      </c>
      <c r="C1025" s="12" t="s">
        <v>972</v>
      </c>
      <c r="D1025" s="12" t="s">
        <v>406</v>
      </c>
      <c r="E1025" s="12">
        <v>10</v>
      </c>
      <c r="F1025" s="10" t="s">
        <v>469</v>
      </c>
      <c r="G1025" s="12"/>
      <c r="H1025" s="53">
        <f>H1026</f>
        <v>2424</v>
      </c>
    </row>
    <row r="1026" spans="1:8" s="28" customFormat="1" x14ac:dyDescent="0.25">
      <c r="A1026" s="27">
        <v>9104869901001</v>
      </c>
      <c r="B1026" s="26" t="s">
        <v>1435</v>
      </c>
      <c r="C1026" s="12" t="s">
        <v>972</v>
      </c>
      <c r="D1026" s="12" t="s">
        <v>406</v>
      </c>
      <c r="E1026" s="12">
        <v>10</v>
      </c>
      <c r="F1026" s="10" t="s">
        <v>469</v>
      </c>
      <c r="G1026" s="12" t="s">
        <v>1394</v>
      </c>
      <c r="H1026" s="53">
        <v>2424</v>
      </c>
    </row>
    <row r="1027" spans="1:8" s="28" customFormat="1" ht="19.5" customHeight="1" x14ac:dyDescent="0.25">
      <c r="A1027" s="27">
        <v>9104869902</v>
      </c>
      <c r="B1027" s="26" t="s">
        <v>826</v>
      </c>
      <c r="C1027" s="12" t="s">
        <v>972</v>
      </c>
      <c r="D1027" s="12" t="s">
        <v>406</v>
      </c>
      <c r="E1027" s="12">
        <v>10</v>
      </c>
      <c r="F1027" s="10" t="s">
        <v>470</v>
      </c>
      <c r="G1027" s="12"/>
      <c r="H1027" s="53">
        <f>H1028</f>
        <v>56969</v>
      </c>
    </row>
    <row r="1028" spans="1:8" s="28" customFormat="1" x14ac:dyDescent="0.25">
      <c r="A1028" s="27">
        <v>9104869902001</v>
      </c>
      <c r="B1028" s="26" t="s">
        <v>1435</v>
      </c>
      <c r="C1028" s="12" t="s">
        <v>972</v>
      </c>
      <c r="D1028" s="12" t="s">
        <v>406</v>
      </c>
      <c r="E1028" s="12">
        <v>10</v>
      </c>
      <c r="F1028" s="10" t="s">
        <v>470</v>
      </c>
      <c r="G1028" s="12" t="s">
        <v>1394</v>
      </c>
      <c r="H1028" s="53">
        <v>56969</v>
      </c>
    </row>
    <row r="1029" spans="1:8" s="28" customFormat="1" ht="31.5" x14ac:dyDescent="0.25">
      <c r="A1029" s="27">
        <v>9104869999</v>
      </c>
      <c r="B1029" s="26" t="s">
        <v>1334</v>
      </c>
      <c r="C1029" s="12" t="s">
        <v>972</v>
      </c>
      <c r="D1029" s="12" t="s">
        <v>406</v>
      </c>
      <c r="E1029" s="12">
        <v>10</v>
      </c>
      <c r="F1029" s="10" t="s">
        <v>471</v>
      </c>
      <c r="G1029" s="12"/>
      <c r="H1029" s="53">
        <f>H1030</f>
        <v>486554</v>
      </c>
    </row>
    <row r="1030" spans="1:8" s="28" customFormat="1" x14ac:dyDescent="0.25">
      <c r="A1030" s="27">
        <v>9104869999001</v>
      </c>
      <c r="B1030" s="26" t="s">
        <v>1435</v>
      </c>
      <c r="C1030" s="12" t="s">
        <v>972</v>
      </c>
      <c r="D1030" s="12" t="s">
        <v>406</v>
      </c>
      <c r="E1030" s="12">
        <v>10</v>
      </c>
      <c r="F1030" s="10" t="s">
        <v>471</v>
      </c>
      <c r="G1030" s="12" t="s">
        <v>1394</v>
      </c>
      <c r="H1030" s="53">
        <v>486554</v>
      </c>
    </row>
    <row r="1031" spans="1:8" s="28" customFormat="1" x14ac:dyDescent="0.25">
      <c r="A1031" s="27">
        <v>910522</v>
      </c>
      <c r="B1031" s="26" t="s">
        <v>153</v>
      </c>
      <c r="C1031" s="12" t="s">
        <v>972</v>
      </c>
      <c r="D1031" s="12" t="s">
        <v>406</v>
      </c>
      <c r="E1031" s="12">
        <v>10</v>
      </c>
      <c r="F1031" s="10" t="s">
        <v>611</v>
      </c>
      <c r="G1031" s="12"/>
      <c r="H1031" s="53">
        <f>H1032+H1035+H1037</f>
        <v>1144219</v>
      </c>
    </row>
    <row r="1032" spans="1:8" s="28" customFormat="1" ht="47.25" x14ac:dyDescent="0.25">
      <c r="A1032" s="195">
        <v>91052210</v>
      </c>
      <c r="B1032" s="26" t="s">
        <v>285</v>
      </c>
      <c r="C1032" s="12" t="s">
        <v>972</v>
      </c>
      <c r="D1032" s="12" t="s">
        <v>406</v>
      </c>
      <c r="E1032" s="12">
        <v>10</v>
      </c>
      <c r="F1032" s="10" t="s">
        <v>1483</v>
      </c>
      <c r="G1032" s="12"/>
      <c r="H1032" s="53">
        <f>H1033</f>
        <v>43200</v>
      </c>
    </row>
    <row r="1033" spans="1:8" s="28" customFormat="1" ht="47.25" x14ac:dyDescent="0.25">
      <c r="A1033" s="195">
        <v>9105221004</v>
      </c>
      <c r="B1033" s="26" t="s">
        <v>371</v>
      </c>
      <c r="C1033" s="12" t="s">
        <v>972</v>
      </c>
      <c r="D1033" s="12" t="s">
        <v>406</v>
      </c>
      <c r="E1033" s="12">
        <v>10</v>
      </c>
      <c r="F1033" s="10" t="s">
        <v>1391</v>
      </c>
      <c r="G1033" s="12"/>
      <c r="H1033" s="53">
        <f>H1034</f>
        <v>43200</v>
      </c>
    </row>
    <row r="1034" spans="1:8" s="28" customFormat="1" ht="31.5" x14ac:dyDescent="0.25">
      <c r="A1034" s="195">
        <v>9105221004079</v>
      </c>
      <c r="B1034" s="26" t="s">
        <v>467</v>
      </c>
      <c r="C1034" s="12" t="s">
        <v>972</v>
      </c>
      <c r="D1034" s="12" t="s">
        <v>406</v>
      </c>
      <c r="E1034" s="12">
        <v>10</v>
      </c>
      <c r="F1034" s="10" t="s">
        <v>1391</v>
      </c>
      <c r="G1034" s="12" t="s">
        <v>168</v>
      </c>
      <c r="H1034" s="53">
        <v>43200</v>
      </c>
    </row>
    <row r="1035" spans="1:8" s="28" customFormat="1" ht="50.25" customHeight="1" x14ac:dyDescent="0.25">
      <c r="A1035" s="195">
        <v>91052211</v>
      </c>
      <c r="B1035" s="26" t="s">
        <v>1685</v>
      </c>
      <c r="C1035" s="12" t="s">
        <v>972</v>
      </c>
      <c r="D1035" s="12" t="s">
        <v>406</v>
      </c>
      <c r="E1035" s="12">
        <v>10</v>
      </c>
      <c r="F1035" s="10" t="s">
        <v>1227</v>
      </c>
      <c r="G1035" s="12"/>
      <c r="H1035" s="53">
        <f>H1036</f>
        <v>129750</v>
      </c>
    </row>
    <row r="1036" spans="1:8" s="28" customFormat="1" ht="31.5" x14ac:dyDescent="0.25">
      <c r="A1036" s="195">
        <v>91052211079</v>
      </c>
      <c r="B1036" s="26" t="s">
        <v>467</v>
      </c>
      <c r="C1036" s="12" t="s">
        <v>972</v>
      </c>
      <c r="D1036" s="12" t="s">
        <v>406</v>
      </c>
      <c r="E1036" s="12">
        <v>10</v>
      </c>
      <c r="F1036" s="10" t="s">
        <v>1227</v>
      </c>
      <c r="G1036" s="12" t="s">
        <v>168</v>
      </c>
      <c r="H1036" s="53">
        <v>129750</v>
      </c>
    </row>
    <row r="1037" spans="1:8" s="147" customFormat="1" ht="50.25" customHeight="1" x14ac:dyDescent="0.25">
      <c r="A1037" s="199">
        <v>91052212</v>
      </c>
      <c r="B1037" s="38" t="s">
        <v>78</v>
      </c>
      <c r="C1037" s="25" t="s">
        <v>972</v>
      </c>
      <c r="D1037" s="25" t="s">
        <v>406</v>
      </c>
      <c r="E1037" s="25">
        <v>10</v>
      </c>
      <c r="F1037" s="11" t="s">
        <v>77</v>
      </c>
      <c r="G1037" s="25"/>
      <c r="H1037" s="230">
        <f>H1038+H1040+H1042+H1044+H1046+H1048+H1050+H1052+H1054+H1056</f>
        <v>971269</v>
      </c>
    </row>
    <row r="1038" spans="1:8" s="147" customFormat="1" x14ac:dyDescent="0.25">
      <c r="A1038" s="199">
        <v>9105221201</v>
      </c>
      <c r="B1038" s="38" t="s">
        <v>1686</v>
      </c>
      <c r="C1038" s="25" t="s">
        <v>972</v>
      </c>
      <c r="D1038" s="25" t="s">
        <v>406</v>
      </c>
      <c r="E1038" s="25">
        <v>10</v>
      </c>
      <c r="F1038" s="11" t="s">
        <v>79</v>
      </c>
      <c r="G1038" s="25"/>
      <c r="H1038" s="230">
        <f>H1039</f>
        <v>117185</v>
      </c>
    </row>
    <row r="1039" spans="1:8" s="147" customFormat="1" ht="31.5" x14ac:dyDescent="0.25">
      <c r="A1039" s="199">
        <v>9105221201079</v>
      </c>
      <c r="B1039" s="38" t="s">
        <v>467</v>
      </c>
      <c r="C1039" s="25" t="s">
        <v>972</v>
      </c>
      <c r="D1039" s="25" t="s">
        <v>406</v>
      </c>
      <c r="E1039" s="25">
        <v>10</v>
      </c>
      <c r="F1039" s="11" t="s">
        <v>79</v>
      </c>
      <c r="G1039" s="25" t="s">
        <v>168</v>
      </c>
      <c r="H1039" s="230">
        <v>117185</v>
      </c>
    </row>
    <row r="1040" spans="1:8" s="147" customFormat="1" x14ac:dyDescent="0.25">
      <c r="A1040" s="199">
        <v>9105221202</v>
      </c>
      <c r="B1040" s="38" t="s">
        <v>790</v>
      </c>
      <c r="C1040" s="25" t="s">
        <v>972</v>
      </c>
      <c r="D1040" s="25" t="s">
        <v>406</v>
      </c>
      <c r="E1040" s="25">
        <v>10</v>
      </c>
      <c r="F1040" s="11" t="s">
        <v>80</v>
      </c>
      <c r="G1040" s="25"/>
      <c r="H1040" s="230">
        <f>H1041</f>
        <v>115250</v>
      </c>
    </row>
    <row r="1041" spans="1:8" s="147" customFormat="1" ht="31.5" x14ac:dyDescent="0.25">
      <c r="A1041" s="199">
        <v>9105221202079</v>
      </c>
      <c r="B1041" s="38" t="s">
        <v>467</v>
      </c>
      <c r="C1041" s="25" t="s">
        <v>972</v>
      </c>
      <c r="D1041" s="25" t="s">
        <v>406</v>
      </c>
      <c r="E1041" s="25">
        <v>10</v>
      </c>
      <c r="F1041" s="11" t="s">
        <v>80</v>
      </c>
      <c r="G1041" s="25" t="s">
        <v>168</v>
      </c>
      <c r="H1041" s="230">
        <v>115250</v>
      </c>
    </row>
    <row r="1042" spans="1:8" s="147" customFormat="1" ht="47.25" x14ac:dyDescent="0.25">
      <c r="A1042" s="199">
        <v>9105221203</v>
      </c>
      <c r="B1042" s="38" t="s">
        <v>179</v>
      </c>
      <c r="C1042" s="25" t="s">
        <v>972</v>
      </c>
      <c r="D1042" s="25" t="s">
        <v>406</v>
      </c>
      <c r="E1042" s="25">
        <v>10</v>
      </c>
      <c r="F1042" s="11" t="s">
        <v>1173</v>
      </c>
      <c r="G1042" s="25"/>
      <c r="H1042" s="230">
        <f>H1043</f>
        <v>116027</v>
      </c>
    </row>
    <row r="1043" spans="1:8" s="147" customFormat="1" ht="31.5" x14ac:dyDescent="0.25">
      <c r="A1043" s="199">
        <v>9105221203079</v>
      </c>
      <c r="B1043" s="38" t="s">
        <v>467</v>
      </c>
      <c r="C1043" s="25" t="s">
        <v>972</v>
      </c>
      <c r="D1043" s="25" t="s">
        <v>406</v>
      </c>
      <c r="E1043" s="25">
        <v>10</v>
      </c>
      <c r="F1043" s="11" t="s">
        <v>1173</v>
      </c>
      <c r="G1043" s="25" t="s">
        <v>168</v>
      </c>
      <c r="H1043" s="230">
        <v>116027</v>
      </c>
    </row>
    <row r="1044" spans="1:8" s="147" customFormat="1" x14ac:dyDescent="0.25">
      <c r="A1044" s="199">
        <v>9105221204</v>
      </c>
      <c r="B1044" s="38" t="s">
        <v>1269</v>
      </c>
      <c r="C1044" s="25" t="s">
        <v>972</v>
      </c>
      <c r="D1044" s="25" t="s">
        <v>406</v>
      </c>
      <c r="E1044" s="25">
        <v>10</v>
      </c>
      <c r="F1044" s="11" t="s">
        <v>1174</v>
      </c>
      <c r="G1044" s="25"/>
      <c r="H1044" s="230">
        <f>H1045</f>
        <v>354630</v>
      </c>
    </row>
    <row r="1045" spans="1:8" s="147" customFormat="1" ht="31.5" x14ac:dyDescent="0.25">
      <c r="A1045" s="199">
        <v>9105221204079</v>
      </c>
      <c r="B1045" s="38" t="s">
        <v>467</v>
      </c>
      <c r="C1045" s="25" t="s">
        <v>972</v>
      </c>
      <c r="D1045" s="25" t="s">
        <v>406</v>
      </c>
      <c r="E1045" s="25">
        <v>10</v>
      </c>
      <c r="F1045" s="11" t="s">
        <v>1174</v>
      </c>
      <c r="G1045" s="25" t="s">
        <v>168</v>
      </c>
      <c r="H1045" s="230">
        <v>354630</v>
      </c>
    </row>
    <row r="1046" spans="1:8" s="147" customFormat="1" ht="31.5" x14ac:dyDescent="0.25">
      <c r="A1046" s="199">
        <v>9105221205</v>
      </c>
      <c r="B1046" s="38" t="s">
        <v>1489</v>
      </c>
      <c r="C1046" s="25" t="s">
        <v>972</v>
      </c>
      <c r="D1046" s="25" t="s">
        <v>406</v>
      </c>
      <c r="E1046" s="25">
        <v>10</v>
      </c>
      <c r="F1046" s="11" t="s">
        <v>791</v>
      </c>
      <c r="G1046" s="25"/>
      <c r="H1046" s="230">
        <f>H1047</f>
        <v>3394</v>
      </c>
    </row>
    <row r="1047" spans="1:8" s="147" customFormat="1" ht="31.5" x14ac:dyDescent="0.25">
      <c r="A1047" s="199">
        <v>9105221205079</v>
      </c>
      <c r="B1047" s="38" t="s">
        <v>467</v>
      </c>
      <c r="C1047" s="25" t="s">
        <v>972</v>
      </c>
      <c r="D1047" s="25" t="s">
        <v>406</v>
      </c>
      <c r="E1047" s="25">
        <v>10</v>
      </c>
      <c r="F1047" s="11" t="s">
        <v>791</v>
      </c>
      <c r="G1047" s="25" t="s">
        <v>168</v>
      </c>
      <c r="H1047" s="230">
        <v>3394</v>
      </c>
    </row>
    <row r="1048" spans="1:8" s="147" customFormat="1" x14ac:dyDescent="0.25">
      <c r="A1048" s="199">
        <v>9105221206</v>
      </c>
      <c r="B1048" s="38" t="s">
        <v>903</v>
      </c>
      <c r="C1048" s="25" t="s">
        <v>972</v>
      </c>
      <c r="D1048" s="25" t="s">
        <v>406</v>
      </c>
      <c r="E1048" s="25">
        <v>10</v>
      </c>
      <c r="F1048" s="11" t="s">
        <v>158</v>
      </c>
      <c r="G1048" s="25"/>
      <c r="H1048" s="230">
        <f>H1049</f>
        <v>68500</v>
      </c>
    </row>
    <row r="1049" spans="1:8" s="147" customFormat="1" ht="31.5" x14ac:dyDescent="0.25">
      <c r="A1049" s="199">
        <v>9105221206079</v>
      </c>
      <c r="B1049" s="38" t="s">
        <v>467</v>
      </c>
      <c r="C1049" s="25" t="s">
        <v>972</v>
      </c>
      <c r="D1049" s="25" t="s">
        <v>406</v>
      </c>
      <c r="E1049" s="25">
        <v>10</v>
      </c>
      <c r="F1049" s="11" t="s">
        <v>158</v>
      </c>
      <c r="G1049" s="25" t="s">
        <v>168</v>
      </c>
      <c r="H1049" s="230">
        <v>68500</v>
      </c>
    </row>
    <row r="1050" spans="1:8" s="147" customFormat="1" x14ac:dyDescent="0.25">
      <c r="A1050" s="199">
        <v>9105221207</v>
      </c>
      <c r="B1050" s="38" t="s">
        <v>793</v>
      </c>
      <c r="C1050" s="25" t="s">
        <v>972</v>
      </c>
      <c r="D1050" s="25" t="s">
        <v>406</v>
      </c>
      <c r="E1050" s="25">
        <v>10</v>
      </c>
      <c r="F1050" s="11" t="s">
        <v>794</v>
      </c>
      <c r="G1050" s="25"/>
      <c r="H1050" s="230">
        <f>H1051</f>
        <v>131070</v>
      </c>
    </row>
    <row r="1051" spans="1:8" s="147" customFormat="1" ht="31.5" x14ac:dyDescent="0.25">
      <c r="A1051" s="199">
        <v>9105221207079</v>
      </c>
      <c r="B1051" s="38" t="s">
        <v>467</v>
      </c>
      <c r="C1051" s="25" t="s">
        <v>972</v>
      </c>
      <c r="D1051" s="25" t="s">
        <v>406</v>
      </c>
      <c r="E1051" s="25">
        <v>10</v>
      </c>
      <c r="F1051" s="11" t="s">
        <v>794</v>
      </c>
      <c r="G1051" s="25" t="s">
        <v>168</v>
      </c>
      <c r="H1051" s="230">
        <v>131070</v>
      </c>
    </row>
    <row r="1052" spans="1:8" s="147" customFormat="1" x14ac:dyDescent="0.25">
      <c r="A1052" s="199">
        <v>9105221208</v>
      </c>
      <c r="B1052" s="38" t="s">
        <v>718</v>
      </c>
      <c r="C1052" s="25" t="s">
        <v>972</v>
      </c>
      <c r="D1052" s="25" t="s">
        <v>406</v>
      </c>
      <c r="E1052" s="25">
        <v>10</v>
      </c>
      <c r="F1052" s="11" t="s">
        <v>795</v>
      </c>
      <c r="G1052" s="25"/>
      <c r="H1052" s="230">
        <f>H1053</f>
        <v>34550</v>
      </c>
    </row>
    <row r="1053" spans="1:8" s="147" customFormat="1" ht="31.5" x14ac:dyDescent="0.25">
      <c r="A1053" s="199">
        <v>9105221208079</v>
      </c>
      <c r="B1053" s="38" t="s">
        <v>467</v>
      </c>
      <c r="C1053" s="25" t="s">
        <v>972</v>
      </c>
      <c r="D1053" s="25" t="s">
        <v>406</v>
      </c>
      <c r="E1053" s="25">
        <v>10</v>
      </c>
      <c r="F1053" s="11" t="s">
        <v>795</v>
      </c>
      <c r="G1053" s="25" t="s">
        <v>168</v>
      </c>
      <c r="H1053" s="230">
        <v>34550</v>
      </c>
    </row>
    <row r="1054" spans="1:8" s="147" customFormat="1" ht="31.5" x14ac:dyDescent="0.25">
      <c r="A1054" s="199">
        <v>9105221209</v>
      </c>
      <c r="B1054" s="38" t="s">
        <v>1284</v>
      </c>
      <c r="C1054" s="25" t="s">
        <v>972</v>
      </c>
      <c r="D1054" s="25" t="s">
        <v>406</v>
      </c>
      <c r="E1054" s="25">
        <v>10</v>
      </c>
      <c r="F1054" s="11" t="s">
        <v>796</v>
      </c>
      <c r="G1054" s="25"/>
      <c r="H1054" s="230">
        <f>H1055</f>
        <v>29125</v>
      </c>
    </row>
    <row r="1055" spans="1:8" s="147" customFormat="1" ht="31.5" x14ac:dyDescent="0.25">
      <c r="A1055" s="199">
        <v>9105221209079</v>
      </c>
      <c r="B1055" s="38" t="s">
        <v>467</v>
      </c>
      <c r="C1055" s="25" t="s">
        <v>972</v>
      </c>
      <c r="D1055" s="25" t="s">
        <v>406</v>
      </c>
      <c r="E1055" s="25">
        <v>10</v>
      </c>
      <c r="F1055" s="11" t="s">
        <v>796</v>
      </c>
      <c r="G1055" s="25" t="s">
        <v>168</v>
      </c>
      <c r="H1055" s="230">
        <v>29125</v>
      </c>
    </row>
    <row r="1056" spans="1:8" s="147" customFormat="1" x14ac:dyDescent="0.25">
      <c r="A1056" s="199">
        <v>9105221210</v>
      </c>
      <c r="B1056" s="38" t="s">
        <v>1286</v>
      </c>
      <c r="C1056" s="25" t="s">
        <v>972</v>
      </c>
      <c r="D1056" s="25" t="s">
        <v>406</v>
      </c>
      <c r="E1056" s="25">
        <v>10</v>
      </c>
      <c r="F1056" s="11" t="s">
        <v>1285</v>
      </c>
      <c r="G1056" s="25"/>
      <c r="H1056" s="230">
        <f>H1057</f>
        <v>1538</v>
      </c>
    </row>
    <row r="1057" spans="1:8" s="147" customFormat="1" ht="31.5" x14ac:dyDescent="0.25">
      <c r="A1057" s="199">
        <v>9105221210079</v>
      </c>
      <c r="B1057" s="38" t="s">
        <v>467</v>
      </c>
      <c r="C1057" s="25" t="s">
        <v>972</v>
      </c>
      <c r="D1057" s="25" t="s">
        <v>406</v>
      </c>
      <c r="E1057" s="25">
        <v>10</v>
      </c>
      <c r="F1057" s="11" t="s">
        <v>1285</v>
      </c>
      <c r="G1057" s="25" t="s">
        <v>168</v>
      </c>
      <c r="H1057" s="230">
        <v>1538</v>
      </c>
    </row>
    <row r="1058" spans="1:8" s="28" customFormat="1" x14ac:dyDescent="0.25">
      <c r="A1058" s="27">
        <v>910803</v>
      </c>
      <c r="B1058" s="26" t="s">
        <v>1226</v>
      </c>
      <c r="C1058" s="12" t="s">
        <v>972</v>
      </c>
      <c r="D1058" s="12" t="s">
        <v>406</v>
      </c>
      <c r="E1058" s="12">
        <v>10</v>
      </c>
      <c r="F1058" s="10" t="s">
        <v>1045</v>
      </c>
      <c r="G1058" s="10"/>
      <c r="H1058" s="53">
        <f>H1059+H1061+H1063+H1065</f>
        <v>72665</v>
      </c>
    </row>
    <row r="1059" spans="1:8" ht="31.5" x14ac:dyDescent="0.25">
      <c r="A1059" s="27">
        <v>9108030001</v>
      </c>
      <c r="B1059" s="26" t="s">
        <v>546</v>
      </c>
      <c r="C1059" s="12" t="s">
        <v>972</v>
      </c>
      <c r="D1059" s="12" t="s">
        <v>406</v>
      </c>
      <c r="E1059" s="12">
        <v>10</v>
      </c>
      <c r="F1059" s="10" t="s">
        <v>1310</v>
      </c>
      <c r="G1059" s="4"/>
      <c r="H1059" s="185">
        <f>H1060</f>
        <v>64153</v>
      </c>
    </row>
    <row r="1060" spans="1:8" x14ac:dyDescent="0.25">
      <c r="A1060" s="27">
        <v>9108030001013</v>
      </c>
      <c r="B1060" s="26" t="s">
        <v>1335</v>
      </c>
      <c r="C1060" s="12" t="s">
        <v>972</v>
      </c>
      <c r="D1060" s="12" t="s">
        <v>406</v>
      </c>
      <c r="E1060" s="12">
        <v>10</v>
      </c>
      <c r="F1060" s="10" t="s">
        <v>1310</v>
      </c>
      <c r="G1060" s="12" t="s">
        <v>972</v>
      </c>
      <c r="H1060" s="185">
        <v>64153</v>
      </c>
    </row>
    <row r="1061" spans="1:8" ht="42.75" customHeight="1" x14ac:dyDescent="0.25">
      <c r="A1061" s="27">
        <v>9108030002</v>
      </c>
      <c r="B1061" s="26" t="s">
        <v>1415</v>
      </c>
      <c r="C1061" s="12" t="s">
        <v>972</v>
      </c>
      <c r="D1061" s="12" t="s">
        <v>406</v>
      </c>
      <c r="E1061" s="12">
        <v>10</v>
      </c>
      <c r="F1061" s="10" t="s">
        <v>1311</v>
      </c>
      <c r="G1061" s="4"/>
      <c r="H1061" s="185">
        <f>H1062</f>
        <v>4928</v>
      </c>
    </row>
    <row r="1062" spans="1:8" x14ac:dyDescent="0.25">
      <c r="A1062" s="27">
        <v>9108030002013</v>
      </c>
      <c r="B1062" s="26" t="s">
        <v>1335</v>
      </c>
      <c r="C1062" s="12" t="s">
        <v>972</v>
      </c>
      <c r="D1062" s="12" t="s">
        <v>406</v>
      </c>
      <c r="E1062" s="12">
        <v>10</v>
      </c>
      <c r="F1062" s="10" t="s">
        <v>1311</v>
      </c>
      <c r="G1062" s="12" t="s">
        <v>972</v>
      </c>
      <c r="H1062" s="185">
        <v>4928</v>
      </c>
    </row>
    <row r="1063" spans="1:8" ht="32.25" customHeight="1" x14ac:dyDescent="0.25">
      <c r="A1063" s="27">
        <v>9108030003</v>
      </c>
      <c r="B1063" s="26" t="s">
        <v>915</v>
      </c>
      <c r="C1063" s="12" t="s">
        <v>972</v>
      </c>
      <c r="D1063" s="12" t="s">
        <v>406</v>
      </c>
      <c r="E1063" s="12">
        <v>10</v>
      </c>
      <c r="F1063" s="10" t="s">
        <v>916</v>
      </c>
      <c r="G1063" s="4"/>
      <c r="H1063" s="185">
        <f>H1064</f>
        <v>3584</v>
      </c>
    </row>
    <row r="1064" spans="1:8" x14ac:dyDescent="0.25">
      <c r="A1064" s="27">
        <v>9108030003013</v>
      </c>
      <c r="B1064" s="26" t="s">
        <v>1335</v>
      </c>
      <c r="C1064" s="12" t="s">
        <v>972</v>
      </c>
      <c r="D1064" s="12" t="s">
        <v>406</v>
      </c>
      <c r="E1064" s="12">
        <v>10</v>
      </c>
      <c r="F1064" s="10" t="s">
        <v>916</v>
      </c>
      <c r="G1064" s="12" t="s">
        <v>972</v>
      </c>
      <c r="H1064" s="185">
        <v>3584</v>
      </c>
    </row>
    <row r="1065" spans="1:8" s="131" customFormat="1" ht="64.5" hidden="1" customHeight="1" x14ac:dyDescent="0.25">
      <c r="A1065" s="188">
        <v>9108030005</v>
      </c>
      <c r="B1065" s="38" t="s">
        <v>19</v>
      </c>
      <c r="C1065" s="25" t="s">
        <v>972</v>
      </c>
      <c r="D1065" s="25" t="s">
        <v>406</v>
      </c>
      <c r="E1065" s="25">
        <v>10</v>
      </c>
      <c r="F1065" s="11" t="s">
        <v>525</v>
      </c>
      <c r="G1065" s="203"/>
      <c r="H1065" s="185">
        <f>H1066</f>
        <v>0</v>
      </c>
    </row>
    <row r="1066" spans="1:8" s="131" customFormat="1" hidden="1" x14ac:dyDescent="0.25">
      <c r="A1066" s="188">
        <v>9108030005013</v>
      </c>
      <c r="B1066" s="38" t="s">
        <v>1335</v>
      </c>
      <c r="C1066" s="25" t="s">
        <v>972</v>
      </c>
      <c r="D1066" s="25" t="s">
        <v>406</v>
      </c>
      <c r="E1066" s="25">
        <v>10</v>
      </c>
      <c r="F1066" s="11" t="s">
        <v>525</v>
      </c>
      <c r="G1066" s="25" t="s">
        <v>972</v>
      </c>
      <c r="H1066" s="185">
        <f>4704-4704</f>
        <v>0</v>
      </c>
    </row>
    <row r="1067" spans="1:8" s="147" customFormat="1" x14ac:dyDescent="0.25">
      <c r="A1067" s="188">
        <v>910808</v>
      </c>
      <c r="B1067" s="193" t="s">
        <v>1457</v>
      </c>
      <c r="C1067" s="25" t="s">
        <v>972</v>
      </c>
      <c r="D1067" s="25" t="s">
        <v>406</v>
      </c>
      <c r="E1067" s="25">
        <v>10</v>
      </c>
      <c r="F1067" s="80" t="s">
        <v>1376</v>
      </c>
      <c r="G1067" s="80"/>
      <c r="H1067" s="53">
        <f>H1068</f>
        <v>250</v>
      </c>
    </row>
    <row r="1068" spans="1:8" s="147" customFormat="1" ht="17.25" customHeight="1" x14ac:dyDescent="0.25">
      <c r="A1068" s="188">
        <v>910808013</v>
      </c>
      <c r="B1068" s="38" t="s">
        <v>1335</v>
      </c>
      <c r="C1068" s="25" t="s">
        <v>972</v>
      </c>
      <c r="D1068" s="25" t="s">
        <v>406</v>
      </c>
      <c r="E1068" s="25">
        <v>10</v>
      </c>
      <c r="F1068" s="80" t="s">
        <v>1376</v>
      </c>
      <c r="G1068" s="25" t="s">
        <v>972</v>
      </c>
      <c r="H1068" s="53">
        <v>250</v>
      </c>
    </row>
    <row r="1069" spans="1:8" s="147" customFormat="1" x14ac:dyDescent="0.25">
      <c r="A1069" s="160"/>
      <c r="B1069" s="161"/>
      <c r="C1069" s="25"/>
      <c r="D1069" s="25"/>
      <c r="E1069" s="25"/>
      <c r="F1069" s="25"/>
      <c r="G1069" s="25"/>
      <c r="H1069" s="53"/>
    </row>
    <row r="1070" spans="1:8" s="164" customFormat="1" x14ac:dyDescent="0.25">
      <c r="A1070" s="162">
        <v>0</v>
      </c>
      <c r="B1070" s="163" t="s">
        <v>308</v>
      </c>
      <c r="C1070" s="58" t="s">
        <v>379</v>
      </c>
      <c r="D1070" s="32"/>
      <c r="E1070" s="32"/>
      <c r="F1070" s="32"/>
      <c r="G1070" s="32"/>
      <c r="H1070" s="187">
        <f>H1071+H1076+H1081+H1086+H1288</f>
        <v>15040672</v>
      </c>
    </row>
    <row r="1071" spans="1:8" s="165" customFormat="1" x14ac:dyDescent="0.25">
      <c r="A1071" s="160">
        <v>1</v>
      </c>
      <c r="B1071" s="204" t="s">
        <v>482</v>
      </c>
      <c r="C1071" s="25" t="s">
        <v>379</v>
      </c>
      <c r="D1071" s="25" t="s">
        <v>566</v>
      </c>
      <c r="E1071" s="11"/>
      <c r="F1071" s="11"/>
      <c r="G1071" s="11"/>
      <c r="H1071" s="53">
        <f>H1072</f>
        <v>1100</v>
      </c>
    </row>
    <row r="1072" spans="1:8" s="165" customFormat="1" x14ac:dyDescent="0.25">
      <c r="A1072" s="160">
        <v>108</v>
      </c>
      <c r="B1072" s="38" t="s">
        <v>286</v>
      </c>
      <c r="C1072" s="25" t="s">
        <v>379</v>
      </c>
      <c r="D1072" s="25" t="s">
        <v>566</v>
      </c>
      <c r="E1072" s="25" t="s">
        <v>290</v>
      </c>
      <c r="F1072" s="25"/>
      <c r="G1072" s="11"/>
      <c r="H1072" s="53">
        <f>H1073</f>
        <v>1100</v>
      </c>
    </row>
    <row r="1073" spans="1:9" s="165" customFormat="1" ht="21" customHeight="1" x14ac:dyDescent="0.25">
      <c r="A1073" s="188">
        <v>108522</v>
      </c>
      <c r="B1073" s="193" t="s">
        <v>153</v>
      </c>
      <c r="C1073" s="25" t="s">
        <v>379</v>
      </c>
      <c r="D1073" s="25" t="s">
        <v>566</v>
      </c>
      <c r="E1073" s="25" t="s">
        <v>290</v>
      </c>
      <c r="F1073" s="11" t="s">
        <v>611</v>
      </c>
      <c r="G1073" s="25"/>
      <c r="H1073" s="53">
        <f>H1074</f>
        <v>1100</v>
      </c>
    </row>
    <row r="1074" spans="1:9" s="165" customFormat="1" ht="35.25" customHeight="1" x14ac:dyDescent="0.25">
      <c r="A1074" s="188">
        <v>10852209</v>
      </c>
      <c r="B1074" s="123" t="s">
        <v>782</v>
      </c>
      <c r="C1074" s="25" t="s">
        <v>379</v>
      </c>
      <c r="D1074" s="25" t="s">
        <v>566</v>
      </c>
      <c r="E1074" s="25" t="s">
        <v>290</v>
      </c>
      <c r="F1074" s="11" t="s">
        <v>29</v>
      </c>
      <c r="G1074" s="25"/>
      <c r="H1074" s="53">
        <f>H1075</f>
        <v>1100</v>
      </c>
    </row>
    <row r="1075" spans="1:9" s="165" customFormat="1" x14ac:dyDescent="0.25">
      <c r="A1075" s="188">
        <v>10852209012</v>
      </c>
      <c r="B1075" s="193" t="s">
        <v>1012</v>
      </c>
      <c r="C1075" s="25" t="s">
        <v>379</v>
      </c>
      <c r="D1075" s="25" t="s">
        <v>566</v>
      </c>
      <c r="E1075" s="25" t="s">
        <v>290</v>
      </c>
      <c r="F1075" s="11" t="s">
        <v>29</v>
      </c>
      <c r="G1075" s="24" t="s">
        <v>1224</v>
      </c>
      <c r="H1075" s="53">
        <v>1100</v>
      </c>
    </row>
    <row r="1076" spans="1:9" s="164" customFormat="1" x14ac:dyDescent="0.25">
      <c r="A1076" s="188">
        <v>2</v>
      </c>
      <c r="B1076" s="204" t="s">
        <v>271</v>
      </c>
      <c r="C1076" s="25" t="s">
        <v>379</v>
      </c>
      <c r="D1076" s="25" t="s">
        <v>567</v>
      </c>
      <c r="E1076" s="32"/>
      <c r="F1076" s="32"/>
      <c r="G1076" s="32"/>
      <c r="H1076" s="53">
        <f>H1077</f>
        <v>520</v>
      </c>
    </row>
    <row r="1077" spans="1:9" s="164" customFormat="1" x14ac:dyDescent="0.25">
      <c r="A1077" s="188">
        <v>204</v>
      </c>
      <c r="B1077" s="38" t="s">
        <v>1054</v>
      </c>
      <c r="C1077" s="25" t="s">
        <v>379</v>
      </c>
      <c r="D1077" s="25" t="s">
        <v>567</v>
      </c>
      <c r="E1077" s="25" t="s">
        <v>1181</v>
      </c>
      <c r="F1077" s="32"/>
      <c r="G1077" s="32"/>
      <c r="H1077" s="53">
        <f>H1078</f>
        <v>520</v>
      </c>
    </row>
    <row r="1078" spans="1:9" s="164" customFormat="1" ht="31.5" x14ac:dyDescent="0.25">
      <c r="A1078" s="188">
        <v>204209</v>
      </c>
      <c r="B1078" s="38" t="s">
        <v>141</v>
      </c>
      <c r="C1078" s="25" t="s">
        <v>379</v>
      </c>
      <c r="D1078" s="25" t="s">
        <v>567</v>
      </c>
      <c r="E1078" s="25" t="s">
        <v>1181</v>
      </c>
      <c r="F1078" s="11" t="s">
        <v>270</v>
      </c>
      <c r="G1078" s="32"/>
      <c r="H1078" s="53">
        <f>H1079</f>
        <v>520</v>
      </c>
    </row>
    <row r="1079" spans="1:9" s="164" customFormat="1" ht="31.5" x14ac:dyDescent="0.25">
      <c r="A1079" s="188">
        <v>20420901</v>
      </c>
      <c r="B1079" s="38" t="s">
        <v>1408</v>
      </c>
      <c r="C1079" s="25" t="s">
        <v>379</v>
      </c>
      <c r="D1079" s="25" t="s">
        <v>567</v>
      </c>
      <c r="E1079" s="25" t="s">
        <v>1181</v>
      </c>
      <c r="F1079" s="11" t="s">
        <v>956</v>
      </c>
      <c r="G1079" s="32"/>
      <c r="H1079" s="53">
        <f>H1080</f>
        <v>520</v>
      </c>
    </row>
    <row r="1080" spans="1:9" s="164" customFormat="1" x14ac:dyDescent="0.25">
      <c r="A1080" s="188">
        <v>20420901012</v>
      </c>
      <c r="B1080" s="193" t="s">
        <v>1012</v>
      </c>
      <c r="C1080" s="25" t="s">
        <v>379</v>
      </c>
      <c r="D1080" s="25" t="s">
        <v>567</v>
      </c>
      <c r="E1080" s="25" t="s">
        <v>1181</v>
      </c>
      <c r="F1080" s="11" t="s">
        <v>956</v>
      </c>
      <c r="G1080" s="25" t="s">
        <v>1224</v>
      </c>
      <c r="H1080" s="53">
        <v>520</v>
      </c>
    </row>
    <row r="1081" spans="1:9" s="147" customFormat="1" ht="19.5" customHeight="1" x14ac:dyDescent="0.25">
      <c r="A1081" s="188">
        <v>3</v>
      </c>
      <c r="B1081" s="204" t="s">
        <v>1049</v>
      </c>
      <c r="C1081" s="25" t="s">
        <v>379</v>
      </c>
      <c r="D1081" s="25" t="s">
        <v>193</v>
      </c>
      <c r="E1081" s="25"/>
      <c r="F1081" s="11"/>
      <c r="G1081" s="25"/>
      <c r="H1081" s="53">
        <f>H1082</f>
        <v>6650</v>
      </c>
    </row>
    <row r="1082" spans="1:9" s="147" customFormat="1" ht="47.25" x14ac:dyDescent="0.25">
      <c r="A1082" s="188">
        <v>309</v>
      </c>
      <c r="B1082" s="26" t="s">
        <v>133</v>
      </c>
      <c r="C1082" s="25" t="s">
        <v>379</v>
      </c>
      <c r="D1082" s="25" t="s">
        <v>193</v>
      </c>
      <c r="E1082" s="25" t="s">
        <v>406</v>
      </c>
      <c r="F1082" s="11"/>
      <c r="G1082" s="25"/>
      <c r="H1082" s="53">
        <f>H1083</f>
        <v>6650</v>
      </c>
    </row>
    <row r="1083" spans="1:9" s="147" customFormat="1" x14ac:dyDescent="0.25">
      <c r="A1083" s="188">
        <v>309219</v>
      </c>
      <c r="B1083" s="38" t="s">
        <v>1098</v>
      </c>
      <c r="C1083" s="25" t="s">
        <v>379</v>
      </c>
      <c r="D1083" s="25" t="s">
        <v>193</v>
      </c>
      <c r="E1083" s="25" t="s">
        <v>406</v>
      </c>
      <c r="F1083" s="11" t="s">
        <v>620</v>
      </c>
      <c r="G1083" s="25"/>
      <c r="H1083" s="53">
        <f>H1084</f>
        <v>6650</v>
      </c>
    </row>
    <row r="1084" spans="1:9" s="147" customFormat="1" ht="31.5" x14ac:dyDescent="0.25">
      <c r="A1084" s="188">
        <v>30921901</v>
      </c>
      <c r="B1084" s="38" t="s">
        <v>591</v>
      </c>
      <c r="C1084" s="25" t="s">
        <v>379</v>
      </c>
      <c r="D1084" s="25" t="s">
        <v>193</v>
      </c>
      <c r="E1084" s="25" t="s">
        <v>406</v>
      </c>
      <c r="F1084" s="11" t="s">
        <v>269</v>
      </c>
      <c r="G1084" s="25"/>
      <c r="H1084" s="53">
        <f>H1085</f>
        <v>6650</v>
      </c>
    </row>
    <row r="1085" spans="1:9" s="147" customFormat="1" x14ac:dyDescent="0.25">
      <c r="A1085" s="188">
        <v>30921901012</v>
      </c>
      <c r="B1085" s="193" t="s">
        <v>1012</v>
      </c>
      <c r="C1085" s="25" t="s">
        <v>379</v>
      </c>
      <c r="D1085" s="25" t="s">
        <v>193</v>
      </c>
      <c r="E1085" s="25" t="s">
        <v>406</v>
      </c>
      <c r="F1085" s="11" t="s">
        <v>269</v>
      </c>
      <c r="G1085" s="25" t="s">
        <v>1224</v>
      </c>
      <c r="H1085" s="53">
        <v>6650</v>
      </c>
    </row>
    <row r="1086" spans="1:9" s="147" customFormat="1" x14ac:dyDescent="0.25">
      <c r="A1086" s="160">
        <v>7</v>
      </c>
      <c r="B1086" s="204" t="s">
        <v>174</v>
      </c>
      <c r="C1086" s="25" t="s">
        <v>379</v>
      </c>
      <c r="D1086" s="25" t="s">
        <v>205</v>
      </c>
      <c r="E1086" s="189"/>
      <c r="F1086" s="11"/>
      <c r="G1086" s="11"/>
      <c r="H1086" s="53">
        <f>H1087+H1094+H1156+H1178+H1196+H1205+H1227+H1231+H1235</f>
        <v>12224640</v>
      </c>
      <c r="I1086" s="152"/>
    </row>
    <row r="1087" spans="1:9" s="147" customFormat="1" x14ac:dyDescent="0.25">
      <c r="A1087" s="160">
        <v>701</v>
      </c>
      <c r="B1087" s="38" t="s">
        <v>389</v>
      </c>
      <c r="C1087" s="25" t="s">
        <v>379</v>
      </c>
      <c r="D1087" s="25" t="s">
        <v>205</v>
      </c>
      <c r="E1087" s="25" t="s">
        <v>566</v>
      </c>
      <c r="F1087" s="11"/>
      <c r="G1087" s="11"/>
      <c r="H1087" s="230">
        <f>H1088</f>
        <v>45109</v>
      </c>
    </row>
    <row r="1088" spans="1:9" s="147" customFormat="1" x14ac:dyDescent="0.25">
      <c r="A1088" s="188">
        <v>701420</v>
      </c>
      <c r="B1088" s="38" t="s">
        <v>309</v>
      </c>
      <c r="C1088" s="25" t="s">
        <v>379</v>
      </c>
      <c r="D1088" s="25" t="s">
        <v>205</v>
      </c>
      <c r="E1088" s="25" t="s">
        <v>566</v>
      </c>
      <c r="F1088" s="11" t="s">
        <v>4</v>
      </c>
      <c r="G1088" s="25"/>
      <c r="H1088" s="230">
        <f>H1089</f>
        <v>45109</v>
      </c>
    </row>
    <row r="1089" spans="1:8" s="147" customFormat="1" x14ac:dyDescent="0.25">
      <c r="A1089" s="188">
        <v>70142099</v>
      </c>
      <c r="B1089" s="38" t="s">
        <v>624</v>
      </c>
      <c r="C1089" s="25" t="s">
        <v>379</v>
      </c>
      <c r="D1089" s="25" t="s">
        <v>205</v>
      </c>
      <c r="E1089" s="25" t="s">
        <v>566</v>
      </c>
      <c r="F1089" s="11" t="s">
        <v>5</v>
      </c>
      <c r="G1089" s="25"/>
      <c r="H1089" s="230">
        <f>H1090+H1092</f>
        <v>45109</v>
      </c>
    </row>
    <row r="1090" spans="1:8" s="147" customFormat="1" ht="31.5" x14ac:dyDescent="0.25">
      <c r="A1090" s="188">
        <v>7014209902</v>
      </c>
      <c r="B1090" s="38" t="s">
        <v>1410</v>
      </c>
      <c r="C1090" s="25" t="s">
        <v>379</v>
      </c>
      <c r="D1090" s="24" t="s">
        <v>205</v>
      </c>
      <c r="E1090" s="25" t="s">
        <v>566</v>
      </c>
      <c r="F1090" s="80" t="s">
        <v>6</v>
      </c>
      <c r="G1090" s="24"/>
      <c r="H1090" s="230">
        <f>H1091</f>
        <v>6031</v>
      </c>
    </row>
    <row r="1091" spans="1:8" s="147" customFormat="1" x14ac:dyDescent="0.25">
      <c r="A1091" s="188">
        <v>7014209902001</v>
      </c>
      <c r="B1091" s="38" t="s">
        <v>1435</v>
      </c>
      <c r="C1091" s="25" t="s">
        <v>379</v>
      </c>
      <c r="D1091" s="24" t="s">
        <v>205</v>
      </c>
      <c r="E1091" s="25" t="s">
        <v>566</v>
      </c>
      <c r="F1091" s="80" t="s">
        <v>6</v>
      </c>
      <c r="G1091" s="24" t="s">
        <v>1394</v>
      </c>
      <c r="H1091" s="230">
        <v>6031</v>
      </c>
    </row>
    <row r="1092" spans="1:8" s="147" customFormat="1" ht="22.5" customHeight="1" x14ac:dyDescent="0.25">
      <c r="A1092" s="188">
        <v>7014209999</v>
      </c>
      <c r="B1092" s="38" t="s">
        <v>1411</v>
      </c>
      <c r="C1092" s="25" t="s">
        <v>379</v>
      </c>
      <c r="D1092" s="24" t="s">
        <v>205</v>
      </c>
      <c r="E1092" s="25" t="s">
        <v>566</v>
      </c>
      <c r="F1092" s="80" t="s">
        <v>7</v>
      </c>
      <c r="G1092" s="24"/>
      <c r="H1092" s="230">
        <f>H1093</f>
        <v>39078</v>
      </c>
    </row>
    <row r="1093" spans="1:8" s="147" customFormat="1" x14ac:dyDescent="0.25">
      <c r="A1093" s="188">
        <v>7014209999001</v>
      </c>
      <c r="B1093" s="38" t="s">
        <v>1435</v>
      </c>
      <c r="C1093" s="25" t="s">
        <v>379</v>
      </c>
      <c r="D1093" s="24" t="s">
        <v>205</v>
      </c>
      <c r="E1093" s="25" t="s">
        <v>566</v>
      </c>
      <c r="F1093" s="80" t="s">
        <v>7</v>
      </c>
      <c r="G1093" s="24" t="s">
        <v>1394</v>
      </c>
      <c r="H1093" s="230">
        <v>39078</v>
      </c>
    </row>
    <row r="1094" spans="1:8" s="147" customFormat="1" x14ac:dyDescent="0.25">
      <c r="A1094" s="160">
        <v>702</v>
      </c>
      <c r="B1094" s="161" t="s">
        <v>734</v>
      </c>
      <c r="C1094" s="25" t="s">
        <v>379</v>
      </c>
      <c r="D1094" s="25" t="s">
        <v>205</v>
      </c>
      <c r="E1094" s="25" t="s">
        <v>567</v>
      </c>
      <c r="F1094" s="11"/>
      <c r="G1094" s="11"/>
      <c r="H1094" s="53">
        <f>H1095+H1109+H1123+H1127+H1137+H1151</f>
        <v>932483</v>
      </c>
    </row>
    <row r="1095" spans="1:8" s="147" customFormat="1" ht="31.5" x14ac:dyDescent="0.25">
      <c r="A1095" s="188">
        <v>702421</v>
      </c>
      <c r="B1095" s="38" t="s">
        <v>513</v>
      </c>
      <c r="C1095" s="25" t="s">
        <v>379</v>
      </c>
      <c r="D1095" s="25" t="s">
        <v>205</v>
      </c>
      <c r="E1095" s="25" t="s">
        <v>567</v>
      </c>
      <c r="F1095" s="11" t="s">
        <v>1713</v>
      </c>
      <c r="G1095" s="25"/>
      <c r="H1095" s="53">
        <f>H1096+H1098</f>
        <v>230652</v>
      </c>
    </row>
    <row r="1096" spans="1:8" s="147" customFormat="1" hidden="1" x14ac:dyDescent="0.25">
      <c r="A1096" s="188">
        <v>70242103</v>
      </c>
      <c r="B1096" s="38" t="s">
        <v>312</v>
      </c>
      <c r="C1096" s="25" t="s">
        <v>379</v>
      </c>
      <c r="D1096" s="24" t="s">
        <v>205</v>
      </c>
      <c r="E1096" s="24" t="s">
        <v>567</v>
      </c>
      <c r="F1096" s="80" t="s">
        <v>60</v>
      </c>
      <c r="G1096" s="24"/>
      <c r="H1096" s="53">
        <f>H1097</f>
        <v>0</v>
      </c>
    </row>
    <row r="1097" spans="1:8" s="147" customFormat="1" hidden="1" x14ac:dyDescent="0.25">
      <c r="A1097" s="188">
        <v>70242103012</v>
      </c>
      <c r="B1097" s="38" t="s">
        <v>1012</v>
      </c>
      <c r="C1097" s="25" t="s">
        <v>379</v>
      </c>
      <c r="D1097" s="24" t="s">
        <v>205</v>
      </c>
      <c r="E1097" s="24" t="s">
        <v>567</v>
      </c>
      <c r="F1097" s="80" t="s">
        <v>60</v>
      </c>
      <c r="G1097" s="24" t="s">
        <v>1224</v>
      </c>
      <c r="H1097" s="230">
        <f>35100-35100</f>
        <v>0</v>
      </c>
    </row>
    <row r="1098" spans="1:8" s="147" customFormat="1" x14ac:dyDescent="0.25">
      <c r="A1098" s="188">
        <v>70242199</v>
      </c>
      <c r="B1098" s="38" t="s">
        <v>624</v>
      </c>
      <c r="C1098" s="25" t="s">
        <v>379</v>
      </c>
      <c r="D1098" s="25" t="s">
        <v>205</v>
      </c>
      <c r="E1098" s="25" t="s">
        <v>567</v>
      </c>
      <c r="F1098" s="11" t="s">
        <v>59</v>
      </c>
      <c r="G1098" s="25"/>
      <c r="H1098" s="53">
        <f>H1099+H1101+H1103+H1105+H1107</f>
        <v>230652</v>
      </c>
    </row>
    <row r="1099" spans="1:8" s="147" customFormat="1" ht="31.5" x14ac:dyDescent="0.25">
      <c r="A1099" s="188">
        <v>7024219902</v>
      </c>
      <c r="B1099" s="38" t="s">
        <v>135</v>
      </c>
      <c r="C1099" s="25" t="s">
        <v>379</v>
      </c>
      <c r="D1099" s="24" t="s">
        <v>205</v>
      </c>
      <c r="E1099" s="24" t="s">
        <v>567</v>
      </c>
      <c r="F1099" s="80" t="s">
        <v>61</v>
      </c>
      <c r="G1099" s="24"/>
      <c r="H1099" s="53">
        <f>H1100</f>
        <v>9326</v>
      </c>
    </row>
    <row r="1100" spans="1:8" s="147" customFormat="1" x14ac:dyDescent="0.25">
      <c r="A1100" s="188">
        <v>7024219902001</v>
      </c>
      <c r="B1100" s="38" t="s">
        <v>1435</v>
      </c>
      <c r="C1100" s="25" t="s">
        <v>379</v>
      </c>
      <c r="D1100" s="24" t="s">
        <v>205</v>
      </c>
      <c r="E1100" s="24" t="s">
        <v>567</v>
      </c>
      <c r="F1100" s="80" t="s">
        <v>61</v>
      </c>
      <c r="G1100" s="24" t="s">
        <v>1394</v>
      </c>
      <c r="H1100" s="53">
        <v>9326</v>
      </c>
    </row>
    <row r="1101" spans="1:8" s="147" customFormat="1" ht="31.5" x14ac:dyDescent="0.25">
      <c r="A1101" s="188">
        <v>7024219903</v>
      </c>
      <c r="B1101" s="148" t="s">
        <v>771</v>
      </c>
      <c r="C1101" s="25" t="s">
        <v>379</v>
      </c>
      <c r="D1101" s="24" t="s">
        <v>205</v>
      </c>
      <c r="E1101" s="24" t="s">
        <v>567</v>
      </c>
      <c r="F1101" s="80" t="s">
        <v>62</v>
      </c>
      <c r="G1101" s="24"/>
      <c r="H1101" s="53">
        <f>H1102</f>
        <v>12</v>
      </c>
    </row>
    <row r="1102" spans="1:8" s="147" customFormat="1" x14ac:dyDescent="0.25">
      <c r="A1102" s="188">
        <v>7024219903001</v>
      </c>
      <c r="B1102" s="38" t="s">
        <v>1435</v>
      </c>
      <c r="C1102" s="25" t="s">
        <v>379</v>
      </c>
      <c r="D1102" s="24" t="s">
        <v>205</v>
      </c>
      <c r="E1102" s="24" t="s">
        <v>567</v>
      </c>
      <c r="F1102" s="80" t="s">
        <v>62</v>
      </c>
      <c r="G1102" s="24" t="s">
        <v>1394</v>
      </c>
      <c r="H1102" s="53">
        <v>12</v>
      </c>
    </row>
    <row r="1103" spans="1:8" s="147" customFormat="1" ht="63" x14ac:dyDescent="0.25">
      <c r="A1103" s="188">
        <v>7024219905</v>
      </c>
      <c r="B1103" s="148" t="s">
        <v>962</v>
      </c>
      <c r="C1103" s="25" t="s">
        <v>379</v>
      </c>
      <c r="D1103" s="24" t="s">
        <v>205</v>
      </c>
      <c r="E1103" s="24" t="s">
        <v>567</v>
      </c>
      <c r="F1103" s="80" t="s">
        <v>63</v>
      </c>
      <c r="G1103" s="24"/>
      <c r="H1103" s="53">
        <f>H1104</f>
        <v>22</v>
      </c>
    </row>
    <row r="1104" spans="1:8" s="147" customFormat="1" x14ac:dyDescent="0.25">
      <c r="A1104" s="188">
        <v>7024219905001</v>
      </c>
      <c r="B1104" s="38" t="s">
        <v>1435</v>
      </c>
      <c r="C1104" s="25" t="s">
        <v>379</v>
      </c>
      <c r="D1104" s="24" t="s">
        <v>205</v>
      </c>
      <c r="E1104" s="24" t="s">
        <v>567</v>
      </c>
      <c r="F1104" s="80" t="s">
        <v>63</v>
      </c>
      <c r="G1104" s="24" t="s">
        <v>1394</v>
      </c>
      <c r="H1104" s="53">
        <v>22</v>
      </c>
    </row>
    <row r="1105" spans="1:8" s="147" customFormat="1" ht="47.25" x14ac:dyDescent="0.25">
      <c r="A1105" s="188">
        <v>7024219907</v>
      </c>
      <c r="B1105" s="148" t="s">
        <v>681</v>
      </c>
      <c r="C1105" s="25" t="s">
        <v>379</v>
      </c>
      <c r="D1105" s="24" t="s">
        <v>205</v>
      </c>
      <c r="E1105" s="24" t="s">
        <v>567</v>
      </c>
      <c r="F1105" s="80" t="s">
        <v>64</v>
      </c>
      <c r="G1105" s="24"/>
      <c r="H1105" s="53">
        <f>H1106</f>
        <v>225</v>
      </c>
    </row>
    <row r="1106" spans="1:8" s="147" customFormat="1" x14ac:dyDescent="0.25">
      <c r="A1106" s="188">
        <v>7024219907001</v>
      </c>
      <c r="B1106" s="38" t="s">
        <v>1435</v>
      </c>
      <c r="C1106" s="25" t="s">
        <v>379</v>
      </c>
      <c r="D1106" s="24" t="s">
        <v>205</v>
      </c>
      <c r="E1106" s="24" t="s">
        <v>567</v>
      </c>
      <c r="F1106" s="80" t="s">
        <v>64</v>
      </c>
      <c r="G1106" s="24" t="s">
        <v>1394</v>
      </c>
      <c r="H1106" s="53">
        <v>225</v>
      </c>
    </row>
    <row r="1107" spans="1:8" s="147" customFormat="1" ht="47.25" x14ac:dyDescent="0.25">
      <c r="A1107" s="188">
        <v>7024219999</v>
      </c>
      <c r="B1107" s="38" t="s">
        <v>1263</v>
      </c>
      <c r="C1107" s="25" t="s">
        <v>379</v>
      </c>
      <c r="D1107" s="24" t="s">
        <v>205</v>
      </c>
      <c r="E1107" s="24" t="s">
        <v>567</v>
      </c>
      <c r="F1107" s="80" t="s">
        <v>65</v>
      </c>
      <c r="G1107" s="24"/>
      <c r="H1107" s="53">
        <f>H1108</f>
        <v>221067</v>
      </c>
    </row>
    <row r="1108" spans="1:8" s="147" customFormat="1" x14ac:dyDescent="0.25">
      <c r="A1108" s="188">
        <v>7024219999001</v>
      </c>
      <c r="B1108" s="38" t="s">
        <v>1435</v>
      </c>
      <c r="C1108" s="25" t="s">
        <v>379</v>
      </c>
      <c r="D1108" s="24" t="s">
        <v>205</v>
      </c>
      <c r="E1108" s="24" t="s">
        <v>567</v>
      </c>
      <c r="F1108" s="80" t="s">
        <v>65</v>
      </c>
      <c r="G1108" s="24" t="s">
        <v>1394</v>
      </c>
      <c r="H1108" s="53">
        <v>221067</v>
      </c>
    </row>
    <row r="1109" spans="1:8" s="147" customFormat="1" x14ac:dyDescent="0.25">
      <c r="A1109" s="188">
        <v>702422</v>
      </c>
      <c r="B1109" s="38" t="s">
        <v>1009</v>
      </c>
      <c r="C1109" s="25" t="s">
        <v>379</v>
      </c>
      <c r="D1109" s="25" t="s">
        <v>205</v>
      </c>
      <c r="E1109" s="25" t="s">
        <v>567</v>
      </c>
      <c r="F1109" s="11" t="s">
        <v>1714</v>
      </c>
      <c r="G1109" s="25"/>
      <c r="H1109" s="53">
        <f>H1110</f>
        <v>337493</v>
      </c>
    </row>
    <row r="1110" spans="1:8" s="147" customFormat="1" x14ac:dyDescent="0.25">
      <c r="A1110" s="188">
        <v>70242299</v>
      </c>
      <c r="B1110" s="38" t="s">
        <v>624</v>
      </c>
      <c r="C1110" s="25" t="s">
        <v>379</v>
      </c>
      <c r="D1110" s="25" t="s">
        <v>205</v>
      </c>
      <c r="E1110" s="25" t="s">
        <v>567</v>
      </c>
      <c r="F1110" s="11" t="s">
        <v>772</v>
      </c>
      <c r="G1110" s="25"/>
      <c r="H1110" s="53">
        <f>H1111+H1113+H1115+H1117+H1119+H1121</f>
        <v>337493</v>
      </c>
    </row>
    <row r="1111" spans="1:8" s="147" customFormat="1" ht="31.5" x14ac:dyDescent="0.25">
      <c r="A1111" s="188">
        <v>7024229902</v>
      </c>
      <c r="B1111" s="38" t="s">
        <v>134</v>
      </c>
      <c r="C1111" s="25" t="s">
        <v>379</v>
      </c>
      <c r="D1111" s="24" t="s">
        <v>205</v>
      </c>
      <c r="E1111" s="24" t="s">
        <v>567</v>
      </c>
      <c r="F1111" s="80" t="s">
        <v>773</v>
      </c>
      <c r="G1111" s="24"/>
      <c r="H1111" s="53">
        <f>H1112</f>
        <v>40703</v>
      </c>
    </row>
    <row r="1112" spans="1:8" s="147" customFormat="1" x14ac:dyDescent="0.25">
      <c r="A1112" s="188">
        <v>7024229902001</v>
      </c>
      <c r="B1112" s="38" t="s">
        <v>1435</v>
      </c>
      <c r="C1112" s="25" t="s">
        <v>379</v>
      </c>
      <c r="D1112" s="24" t="s">
        <v>205</v>
      </c>
      <c r="E1112" s="24" t="s">
        <v>567</v>
      </c>
      <c r="F1112" s="80" t="s">
        <v>773</v>
      </c>
      <c r="G1112" s="24" t="s">
        <v>1394</v>
      </c>
      <c r="H1112" s="230">
        <f>14381+26322</f>
        <v>40703</v>
      </c>
    </row>
    <row r="1113" spans="1:8" s="147" customFormat="1" ht="31.5" x14ac:dyDescent="0.25">
      <c r="A1113" s="188">
        <v>7024229903</v>
      </c>
      <c r="B1113" s="148" t="s">
        <v>1683</v>
      </c>
      <c r="C1113" s="25" t="s">
        <v>379</v>
      </c>
      <c r="D1113" s="24" t="s">
        <v>205</v>
      </c>
      <c r="E1113" s="24" t="s">
        <v>567</v>
      </c>
      <c r="F1113" s="80" t="s">
        <v>1412</v>
      </c>
      <c r="G1113" s="24"/>
      <c r="H1113" s="230">
        <f>H1114</f>
        <v>48</v>
      </c>
    </row>
    <row r="1114" spans="1:8" s="147" customFormat="1" x14ac:dyDescent="0.25">
      <c r="A1114" s="188">
        <v>7024229903001</v>
      </c>
      <c r="B1114" s="38" t="s">
        <v>1435</v>
      </c>
      <c r="C1114" s="25" t="s">
        <v>379</v>
      </c>
      <c r="D1114" s="24" t="s">
        <v>205</v>
      </c>
      <c r="E1114" s="24" t="s">
        <v>567</v>
      </c>
      <c r="F1114" s="80" t="s">
        <v>1412</v>
      </c>
      <c r="G1114" s="24" t="s">
        <v>1394</v>
      </c>
      <c r="H1114" s="230">
        <v>48</v>
      </c>
    </row>
    <row r="1115" spans="1:8" s="147" customFormat="1" ht="31.5" x14ac:dyDescent="0.25">
      <c r="A1115" s="188">
        <v>7024229904</v>
      </c>
      <c r="B1115" s="148" t="s">
        <v>998</v>
      </c>
      <c r="C1115" s="25" t="s">
        <v>379</v>
      </c>
      <c r="D1115" s="24" t="s">
        <v>205</v>
      </c>
      <c r="E1115" s="24" t="s">
        <v>567</v>
      </c>
      <c r="F1115" s="80" t="s">
        <v>774</v>
      </c>
      <c r="G1115" s="24"/>
      <c r="H1115" s="53">
        <f>H1116</f>
        <v>100</v>
      </c>
    </row>
    <row r="1116" spans="1:8" s="159" customFormat="1" x14ac:dyDescent="0.25">
      <c r="A1116" s="188">
        <v>7024229904001</v>
      </c>
      <c r="B1116" s="38" t="s">
        <v>1435</v>
      </c>
      <c r="C1116" s="25" t="s">
        <v>379</v>
      </c>
      <c r="D1116" s="24" t="s">
        <v>205</v>
      </c>
      <c r="E1116" s="24" t="s">
        <v>567</v>
      </c>
      <c r="F1116" s="80" t="s">
        <v>774</v>
      </c>
      <c r="G1116" s="24" t="s">
        <v>1394</v>
      </c>
      <c r="H1116" s="230">
        <f>80+20</f>
        <v>100</v>
      </c>
    </row>
    <row r="1117" spans="1:8" s="147" customFormat="1" ht="63" x14ac:dyDescent="0.25">
      <c r="A1117" s="188">
        <v>7024229905</v>
      </c>
      <c r="B1117" s="148" t="s">
        <v>1470</v>
      </c>
      <c r="C1117" s="25" t="s">
        <v>379</v>
      </c>
      <c r="D1117" s="24" t="s">
        <v>205</v>
      </c>
      <c r="E1117" s="24" t="s">
        <v>567</v>
      </c>
      <c r="F1117" s="80" t="s">
        <v>775</v>
      </c>
      <c r="G1117" s="24"/>
      <c r="H1117" s="53">
        <f>H1118</f>
        <v>434</v>
      </c>
    </row>
    <row r="1118" spans="1:8" s="159" customFormat="1" x14ac:dyDescent="0.25">
      <c r="A1118" s="188">
        <v>7024229905001</v>
      </c>
      <c r="B1118" s="38" t="s">
        <v>1435</v>
      </c>
      <c r="C1118" s="25" t="s">
        <v>379</v>
      </c>
      <c r="D1118" s="24" t="s">
        <v>205</v>
      </c>
      <c r="E1118" s="24" t="s">
        <v>567</v>
      </c>
      <c r="F1118" s="80" t="s">
        <v>775</v>
      </c>
      <c r="G1118" s="24" t="s">
        <v>1394</v>
      </c>
      <c r="H1118" s="230">
        <f>36+398</f>
        <v>434</v>
      </c>
    </row>
    <row r="1119" spans="1:8" s="147" customFormat="1" ht="47.25" x14ac:dyDescent="0.25">
      <c r="A1119" s="188">
        <v>7024229907</v>
      </c>
      <c r="B1119" s="148" t="s">
        <v>681</v>
      </c>
      <c r="C1119" s="25" t="s">
        <v>379</v>
      </c>
      <c r="D1119" s="24" t="s">
        <v>205</v>
      </c>
      <c r="E1119" s="24" t="s">
        <v>567</v>
      </c>
      <c r="F1119" s="80" t="s">
        <v>1413</v>
      </c>
      <c r="G1119" s="24"/>
      <c r="H1119" s="230">
        <f>H1120</f>
        <v>608</v>
      </c>
    </row>
    <row r="1120" spans="1:8" s="147" customFormat="1" x14ac:dyDescent="0.25">
      <c r="A1120" s="188">
        <v>7024229907001</v>
      </c>
      <c r="B1120" s="38" t="s">
        <v>1435</v>
      </c>
      <c r="C1120" s="25" t="s">
        <v>379</v>
      </c>
      <c r="D1120" s="24" t="s">
        <v>205</v>
      </c>
      <c r="E1120" s="24" t="s">
        <v>567</v>
      </c>
      <c r="F1120" s="80" t="s">
        <v>1413</v>
      </c>
      <c r="G1120" s="24" t="s">
        <v>1394</v>
      </c>
      <c r="H1120" s="230">
        <v>608</v>
      </c>
    </row>
    <row r="1121" spans="1:8" s="159" customFormat="1" ht="31.5" x14ac:dyDescent="0.25">
      <c r="A1121" s="188">
        <v>7024229999</v>
      </c>
      <c r="B1121" s="38" t="s">
        <v>1478</v>
      </c>
      <c r="C1121" s="25" t="s">
        <v>379</v>
      </c>
      <c r="D1121" s="24" t="s">
        <v>205</v>
      </c>
      <c r="E1121" s="24" t="s">
        <v>567</v>
      </c>
      <c r="F1121" s="80" t="s">
        <v>776</v>
      </c>
      <c r="G1121" s="24"/>
      <c r="H1121" s="53">
        <f>H1122</f>
        <v>295600</v>
      </c>
    </row>
    <row r="1122" spans="1:8" s="159" customFormat="1" x14ac:dyDescent="0.25">
      <c r="A1122" s="188">
        <v>7024229999001</v>
      </c>
      <c r="B1122" s="38" t="s">
        <v>1435</v>
      </c>
      <c r="C1122" s="25" t="s">
        <v>379</v>
      </c>
      <c r="D1122" s="24" t="s">
        <v>205</v>
      </c>
      <c r="E1122" s="24" t="s">
        <v>567</v>
      </c>
      <c r="F1122" s="80" t="s">
        <v>776</v>
      </c>
      <c r="G1122" s="24" t="s">
        <v>1394</v>
      </c>
      <c r="H1122" s="230">
        <f>42363+253237</f>
        <v>295600</v>
      </c>
    </row>
    <row r="1123" spans="1:8" s="147" customFormat="1" x14ac:dyDescent="0.25">
      <c r="A1123" s="188">
        <v>702423</v>
      </c>
      <c r="B1123" s="38" t="s">
        <v>1551</v>
      </c>
      <c r="C1123" s="25" t="s">
        <v>379</v>
      </c>
      <c r="D1123" s="25" t="s">
        <v>205</v>
      </c>
      <c r="E1123" s="25" t="s">
        <v>567</v>
      </c>
      <c r="F1123" s="11" t="s">
        <v>1087</v>
      </c>
      <c r="G1123" s="25"/>
      <c r="H1123" s="53">
        <f>H1124</f>
        <v>44937</v>
      </c>
    </row>
    <row r="1124" spans="1:8" s="147" customFormat="1" x14ac:dyDescent="0.25">
      <c r="A1124" s="188">
        <v>70242399</v>
      </c>
      <c r="B1124" s="38" t="s">
        <v>624</v>
      </c>
      <c r="C1124" s="25" t="s">
        <v>379</v>
      </c>
      <c r="D1124" s="25" t="s">
        <v>205</v>
      </c>
      <c r="E1124" s="25" t="s">
        <v>567</v>
      </c>
      <c r="F1124" s="11" t="s">
        <v>778</v>
      </c>
      <c r="G1124" s="25"/>
      <c r="H1124" s="53">
        <f>H1125</f>
        <v>44937</v>
      </c>
    </row>
    <row r="1125" spans="1:8" s="147" customFormat="1" ht="31.5" x14ac:dyDescent="0.25">
      <c r="A1125" s="188">
        <v>7024239999</v>
      </c>
      <c r="B1125" s="193" t="s">
        <v>1454</v>
      </c>
      <c r="C1125" s="25" t="s">
        <v>379</v>
      </c>
      <c r="D1125" s="25" t="s">
        <v>205</v>
      </c>
      <c r="E1125" s="25" t="s">
        <v>567</v>
      </c>
      <c r="F1125" s="11" t="s">
        <v>779</v>
      </c>
      <c r="G1125" s="25"/>
      <c r="H1125" s="53">
        <f>H1126</f>
        <v>44937</v>
      </c>
    </row>
    <row r="1126" spans="1:8" s="147" customFormat="1" x14ac:dyDescent="0.25">
      <c r="A1126" s="188">
        <v>7024239999001</v>
      </c>
      <c r="B1126" s="38" t="s">
        <v>1435</v>
      </c>
      <c r="C1126" s="25" t="s">
        <v>379</v>
      </c>
      <c r="D1126" s="25" t="s">
        <v>205</v>
      </c>
      <c r="E1126" s="25" t="s">
        <v>567</v>
      </c>
      <c r="F1126" s="11" t="s">
        <v>779</v>
      </c>
      <c r="G1126" s="24" t="s">
        <v>1394</v>
      </c>
      <c r="H1126" s="53">
        <v>44937</v>
      </c>
    </row>
    <row r="1127" spans="1:8" s="147" customFormat="1" x14ac:dyDescent="0.25">
      <c r="A1127" s="188">
        <v>702424</v>
      </c>
      <c r="B1127" s="38" t="s">
        <v>1552</v>
      </c>
      <c r="C1127" s="25" t="s">
        <v>379</v>
      </c>
      <c r="D1127" s="25" t="s">
        <v>205</v>
      </c>
      <c r="E1127" s="25" t="s">
        <v>567</v>
      </c>
      <c r="F1127" s="11" t="s">
        <v>1715</v>
      </c>
      <c r="G1127" s="25"/>
      <c r="H1127" s="53">
        <f>H1128</f>
        <v>282617</v>
      </c>
    </row>
    <row r="1128" spans="1:8" s="147" customFormat="1" x14ac:dyDescent="0.25">
      <c r="A1128" s="188">
        <v>70242499</v>
      </c>
      <c r="B1128" s="38" t="s">
        <v>624</v>
      </c>
      <c r="C1128" s="25" t="s">
        <v>379</v>
      </c>
      <c r="D1128" s="25" t="s">
        <v>205</v>
      </c>
      <c r="E1128" s="25" t="s">
        <v>567</v>
      </c>
      <c r="F1128" s="11" t="s">
        <v>780</v>
      </c>
      <c r="G1128" s="25"/>
      <c r="H1128" s="53">
        <f>H1129+H1131+H1133+H1135</f>
        <v>282617</v>
      </c>
    </row>
    <row r="1129" spans="1:8" s="147" customFormat="1" x14ac:dyDescent="0.25">
      <c r="A1129" s="188">
        <v>7024249902</v>
      </c>
      <c r="B1129" s="38" t="s">
        <v>701</v>
      </c>
      <c r="C1129" s="25" t="s">
        <v>379</v>
      </c>
      <c r="D1129" s="24" t="s">
        <v>205</v>
      </c>
      <c r="E1129" s="24" t="s">
        <v>567</v>
      </c>
      <c r="F1129" s="80" t="s">
        <v>702</v>
      </c>
      <c r="G1129" s="24"/>
      <c r="H1129" s="53">
        <f>H1130</f>
        <v>26245</v>
      </c>
    </row>
    <row r="1130" spans="1:8" s="147" customFormat="1" x14ac:dyDescent="0.25">
      <c r="A1130" s="188">
        <v>7024249902001</v>
      </c>
      <c r="B1130" s="38" t="s">
        <v>1435</v>
      </c>
      <c r="C1130" s="25" t="s">
        <v>379</v>
      </c>
      <c r="D1130" s="24" t="s">
        <v>205</v>
      </c>
      <c r="E1130" s="24" t="s">
        <v>567</v>
      </c>
      <c r="F1130" s="80" t="s">
        <v>702</v>
      </c>
      <c r="G1130" s="24" t="s">
        <v>1394</v>
      </c>
      <c r="H1130" s="53">
        <v>26245</v>
      </c>
    </row>
    <row r="1131" spans="1:8" s="147" customFormat="1" ht="31.5" x14ac:dyDescent="0.25">
      <c r="A1131" s="188">
        <v>7024249903</v>
      </c>
      <c r="B1131" s="148" t="s">
        <v>1659</v>
      </c>
      <c r="C1131" s="25" t="s">
        <v>379</v>
      </c>
      <c r="D1131" s="24" t="s">
        <v>205</v>
      </c>
      <c r="E1131" s="24" t="s">
        <v>567</v>
      </c>
      <c r="F1131" s="80" t="s">
        <v>703</v>
      </c>
      <c r="G1131" s="24"/>
      <c r="H1131" s="53">
        <f>H1132</f>
        <v>72</v>
      </c>
    </row>
    <row r="1132" spans="1:8" s="147" customFormat="1" x14ac:dyDescent="0.25">
      <c r="A1132" s="188">
        <v>7024249903001</v>
      </c>
      <c r="B1132" s="38" t="s">
        <v>1435</v>
      </c>
      <c r="C1132" s="25" t="s">
        <v>379</v>
      </c>
      <c r="D1132" s="24" t="s">
        <v>205</v>
      </c>
      <c r="E1132" s="24" t="s">
        <v>567</v>
      </c>
      <c r="F1132" s="80" t="s">
        <v>703</v>
      </c>
      <c r="G1132" s="24" t="s">
        <v>1394</v>
      </c>
      <c r="H1132" s="53">
        <v>72</v>
      </c>
    </row>
    <row r="1133" spans="1:8" s="147" customFormat="1" ht="63" x14ac:dyDescent="0.25">
      <c r="A1133" s="188">
        <v>7024249905</v>
      </c>
      <c r="B1133" s="148" t="s">
        <v>1120</v>
      </c>
      <c r="C1133" s="25" t="s">
        <v>379</v>
      </c>
      <c r="D1133" s="24" t="s">
        <v>205</v>
      </c>
      <c r="E1133" s="24" t="s">
        <v>567</v>
      </c>
      <c r="F1133" s="80" t="s">
        <v>704</v>
      </c>
      <c r="G1133" s="24"/>
      <c r="H1133" s="53">
        <f>H1134</f>
        <v>993</v>
      </c>
    </row>
    <row r="1134" spans="1:8" s="147" customFormat="1" x14ac:dyDescent="0.25">
      <c r="A1134" s="188">
        <v>7024249905001</v>
      </c>
      <c r="B1134" s="38" t="s">
        <v>1435</v>
      </c>
      <c r="C1134" s="25" t="s">
        <v>379</v>
      </c>
      <c r="D1134" s="24" t="s">
        <v>205</v>
      </c>
      <c r="E1134" s="24" t="s">
        <v>567</v>
      </c>
      <c r="F1134" s="80" t="s">
        <v>704</v>
      </c>
      <c r="G1134" s="24" t="s">
        <v>1394</v>
      </c>
      <c r="H1134" s="53">
        <v>993</v>
      </c>
    </row>
    <row r="1135" spans="1:8" s="147" customFormat="1" ht="31.5" x14ac:dyDescent="0.25">
      <c r="A1135" s="188">
        <v>7024249999</v>
      </c>
      <c r="B1135" s="38" t="s">
        <v>261</v>
      </c>
      <c r="C1135" s="25" t="s">
        <v>379</v>
      </c>
      <c r="D1135" s="24" t="s">
        <v>205</v>
      </c>
      <c r="E1135" s="24" t="s">
        <v>567</v>
      </c>
      <c r="F1135" s="80" t="s">
        <v>272</v>
      </c>
      <c r="G1135" s="24"/>
      <c r="H1135" s="53">
        <f>H1136</f>
        <v>255307</v>
      </c>
    </row>
    <row r="1136" spans="1:8" s="147" customFormat="1" x14ac:dyDescent="0.25">
      <c r="A1136" s="188">
        <v>7024249999001</v>
      </c>
      <c r="B1136" s="38" t="s">
        <v>1435</v>
      </c>
      <c r="C1136" s="25" t="s">
        <v>379</v>
      </c>
      <c r="D1136" s="24" t="s">
        <v>205</v>
      </c>
      <c r="E1136" s="24" t="s">
        <v>567</v>
      </c>
      <c r="F1136" s="80" t="s">
        <v>272</v>
      </c>
      <c r="G1136" s="24" t="s">
        <v>1394</v>
      </c>
      <c r="H1136" s="53">
        <v>255307</v>
      </c>
    </row>
    <row r="1137" spans="1:8" s="147" customFormat="1" hidden="1" x14ac:dyDescent="0.25">
      <c r="A1137" s="188">
        <v>702433</v>
      </c>
      <c r="B1137" s="38" t="s">
        <v>671</v>
      </c>
      <c r="C1137" s="25" t="s">
        <v>379</v>
      </c>
      <c r="D1137" s="25" t="s">
        <v>205</v>
      </c>
      <c r="E1137" s="25" t="s">
        <v>567</v>
      </c>
      <c r="F1137" s="11" t="s">
        <v>670</v>
      </c>
      <c r="G1137" s="25"/>
      <c r="H1137" s="53">
        <f>H1138</f>
        <v>0</v>
      </c>
    </row>
    <row r="1138" spans="1:8" s="147" customFormat="1" hidden="1" x14ac:dyDescent="0.25">
      <c r="A1138" s="188">
        <v>70243399</v>
      </c>
      <c r="B1138" s="38" t="s">
        <v>624</v>
      </c>
      <c r="C1138" s="25" t="s">
        <v>379</v>
      </c>
      <c r="D1138" s="25" t="s">
        <v>205</v>
      </c>
      <c r="E1138" s="25" t="s">
        <v>567</v>
      </c>
      <c r="F1138" s="11" t="s">
        <v>1660</v>
      </c>
      <c r="G1138" s="25"/>
      <c r="H1138" s="53">
        <f>H1139+H1141+H1143+H1145+H1147+H1149</f>
        <v>0</v>
      </c>
    </row>
    <row r="1139" spans="1:8" s="159" customFormat="1" ht="31.5" hidden="1" x14ac:dyDescent="0.25">
      <c r="A1139" s="188">
        <v>7024339902</v>
      </c>
      <c r="B1139" s="38" t="s">
        <v>532</v>
      </c>
      <c r="C1139" s="25" t="s">
        <v>379</v>
      </c>
      <c r="D1139" s="24" t="s">
        <v>205</v>
      </c>
      <c r="E1139" s="24" t="s">
        <v>567</v>
      </c>
      <c r="F1139" s="80" t="s">
        <v>1661</v>
      </c>
      <c r="G1139" s="24"/>
      <c r="H1139" s="53">
        <f>H1140</f>
        <v>0</v>
      </c>
    </row>
    <row r="1140" spans="1:8" s="159" customFormat="1" hidden="1" x14ac:dyDescent="0.25">
      <c r="A1140" s="188">
        <v>7024339902001</v>
      </c>
      <c r="B1140" s="38" t="s">
        <v>1435</v>
      </c>
      <c r="C1140" s="25" t="s">
        <v>379</v>
      </c>
      <c r="D1140" s="24" t="s">
        <v>205</v>
      </c>
      <c r="E1140" s="24" t="s">
        <v>567</v>
      </c>
      <c r="F1140" s="80" t="s">
        <v>1661</v>
      </c>
      <c r="G1140" s="24" t="s">
        <v>1394</v>
      </c>
      <c r="H1140" s="230">
        <f>34443-34443</f>
        <v>0</v>
      </c>
    </row>
    <row r="1141" spans="1:8" s="159" customFormat="1" ht="31.5" hidden="1" x14ac:dyDescent="0.25">
      <c r="A1141" s="188">
        <v>7024339903</v>
      </c>
      <c r="B1141" s="148" t="s">
        <v>1683</v>
      </c>
      <c r="C1141" s="25" t="s">
        <v>379</v>
      </c>
      <c r="D1141" s="24" t="s">
        <v>205</v>
      </c>
      <c r="E1141" s="24" t="s">
        <v>567</v>
      </c>
      <c r="F1141" s="80" t="s">
        <v>1662</v>
      </c>
      <c r="G1141" s="24"/>
      <c r="H1141" s="53">
        <f>H1142</f>
        <v>0</v>
      </c>
    </row>
    <row r="1142" spans="1:8" s="159" customFormat="1" hidden="1" x14ac:dyDescent="0.25">
      <c r="A1142" s="188">
        <v>7024339903001</v>
      </c>
      <c r="B1142" s="38" t="s">
        <v>1435</v>
      </c>
      <c r="C1142" s="25" t="s">
        <v>379</v>
      </c>
      <c r="D1142" s="24" t="s">
        <v>205</v>
      </c>
      <c r="E1142" s="24" t="s">
        <v>567</v>
      </c>
      <c r="F1142" s="80" t="s">
        <v>1662</v>
      </c>
      <c r="G1142" s="24" t="s">
        <v>1394</v>
      </c>
      <c r="H1142" s="230">
        <f>48-48</f>
        <v>0</v>
      </c>
    </row>
    <row r="1143" spans="1:8" s="159" customFormat="1" ht="31.5" hidden="1" x14ac:dyDescent="0.25">
      <c r="A1143" s="188">
        <v>7024339904</v>
      </c>
      <c r="B1143" s="148" t="s">
        <v>998</v>
      </c>
      <c r="C1143" s="25" t="s">
        <v>379</v>
      </c>
      <c r="D1143" s="24" t="s">
        <v>205</v>
      </c>
      <c r="E1143" s="24" t="s">
        <v>567</v>
      </c>
      <c r="F1143" s="80" t="s">
        <v>228</v>
      </c>
      <c r="G1143" s="24"/>
      <c r="H1143" s="53">
        <f>H1144</f>
        <v>0</v>
      </c>
    </row>
    <row r="1144" spans="1:8" s="159" customFormat="1" hidden="1" x14ac:dyDescent="0.25">
      <c r="A1144" s="188">
        <v>7024339904001</v>
      </c>
      <c r="B1144" s="38" t="s">
        <v>1435</v>
      </c>
      <c r="C1144" s="25" t="s">
        <v>379</v>
      </c>
      <c r="D1144" s="24" t="s">
        <v>205</v>
      </c>
      <c r="E1144" s="24" t="s">
        <v>567</v>
      </c>
      <c r="F1144" s="80" t="s">
        <v>228</v>
      </c>
      <c r="G1144" s="24" t="s">
        <v>1394</v>
      </c>
      <c r="H1144" s="230">
        <f>20-20</f>
        <v>0</v>
      </c>
    </row>
    <row r="1145" spans="1:8" s="159" customFormat="1" ht="63" hidden="1" x14ac:dyDescent="0.25">
      <c r="A1145" s="188">
        <v>7024339905</v>
      </c>
      <c r="B1145" s="148" t="s">
        <v>1120</v>
      </c>
      <c r="C1145" s="25" t="s">
        <v>379</v>
      </c>
      <c r="D1145" s="24" t="s">
        <v>205</v>
      </c>
      <c r="E1145" s="24" t="s">
        <v>567</v>
      </c>
      <c r="F1145" s="80" t="s">
        <v>229</v>
      </c>
      <c r="G1145" s="24"/>
      <c r="H1145" s="53">
        <f>H1146</f>
        <v>0</v>
      </c>
    </row>
    <row r="1146" spans="1:8" s="159" customFormat="1" hidden="1" x14ac:dyDescent="0.25">
      <c r="A1146" s="188">
        <v>7024339905001</v>
      </c>
      <c r="B1146" s="38" t="s">
        <v>1435</v>
      </c>
      <c r="C1146" s="25" t="s">
        <v>379</v>
      </c>
      <c r="D1146" s="24" t="s">
        <v>205</v>
      </c>
      <c r="E1146" s="24" t="s">
        <v>567</v>
      </c>
      <c r="F1146" s="80" t="s">
        <v>229</v>
      </c>
      <c r="G1146" s="24" t="s">
        <v>1394</v>
      </c>
      <c r="H1146" s="230">
        <f>398-398</f>
        <v>0</v>
      </c>
    </row>
    <row r="1147" spans="1:8" s="159" customFormat="1" ht="47.25" hidden="1" x14ac:dyDescent="0.25">
      <c r="A1147" s="188">
        <v>7024339907</v>
      </c>
      <c r="B1147" s="148" t="s">
        <v>681</v>
      </c>
      <c r="C1147" s="25" t="s">
        <v>379</v>
      </c>
      <c r="D1147" s="24" t="s">
        <v>205</v>
      </c>
      <c r="E1147" s="24" t="s">
        <v>567</v>
      </c>
      <c r="F1147" s="80" t="s">
        <v>230</v>
      </c>
      <c r="G1147" s="24"/>
      <c r="H1147" s="53">
        <f>H1148</f>
        <v>0</v>
      </c>
    </row>
    <row r="1148" spans="1:8" s="159" customFormat="1" hidden="1" x14ac:dyDescent="0.25">
      <c r="A1148" s="188">
        <v>7024339907001</v>
      </c>
      <c r="B1148" s="38" t="s">
        <v>1435</v>
      </c>
      <c r="C1148" s="25" t="s">
        <v>379</v>
      </c>
      <c r="D1148" s="24" t="s">
        <v>205</v>
      </c>
      <c r="E1148" s="24" t="s">
        <v>567</v>
      </c>
      <c r="F1148" s="80" t="s">
        <v>230</v>
      </c>
      <c r="G1148" s="24" t="s">
        <v>1394</v>
      </c>
      <c r="H1148" s="230">
        <f>608-608</f>
        <v>0</v>
      </c>
    </row>
    <row r="1149" spans="1:8" s="159" customFormat="1" ht="30.75" hidden="1" customHeight="1" x14ac:dyDescent="0.25">
      <c r="A1149" s="188">
        <v>7024339999</v>
      </c>
      <c r="B1149" s="38" t="s">
        <v>953</v>
      </c>
      <c r="C1149" s="25" t="s">
        <v>379</v>
      </c>
      <c r="D1149" s="24" t="s">
        <v>205</v>
      </c>
      <c r="E1149" s="24" t="s">
        <v>567</v>
      </c>
      <c r="F1149" s="80" t="s">
        <v>1521</v>
      </c>
      <c r="G1149" s="24"/>
      <c r="H1149" s="53">
        <f>H1150</f>
        <v>0</v>
      </c>
    </row>
    <row r="1150" spans="1:8" s="159" customFormat="1" hidden="1" x14ac:dyDescent="0.25">
      <c r="A1150" s="188">
        <v>7024339999001</v>
      </c>
      <c r="B1150" s="38" t="s">
        <v>1435</v>
      </c>
      <c r="C1150" s="25" t="s">
        <v>379</v>
      </c>
      <c r="D1150" s="24" t="s">
        <v>205</v>
      </c>
      <c r="E1150" s="24" t="s">
        <v>567</v>
      </c>
      <c r="F1150" s="80" t="s">
        <v>1521</v>
      </c>
      <c r="G1150" s="24" t="s">
        <v>1394</v>
      </c>
      <c r="H1150" s="230">
        <f>330724-330724</f>
        <v>0</v>
      </c>
    </row>
    <row r="1151" spans="1:8" s="147" customFormat="1" x14ac:dyDescent="0.25">
      <c r="A1151" s="188">
        <v>702520</v>
      </c>
      <c r="B1151" s="193" t="s">
        <v>279</v>
      </c>
      <c r="C1151" s="25" t="s">
        <v>379</v>
      </c>
      <c r="D1151" s="25" t="s">
        <v>205</v>
      </c>
      <c r="E1151" s="25" t="s">
        <v>567</v>
      </c>
      <c r="F1151" s="11" t="s">
        <v>627</v>
      </c>
      <c r="G1151" s="25"/>
      <c r="H1151" s="53">
        <f>H1152+H1154</f>
        <v>36784</v>
      </c>
    </row>
    <row r="1152" spans="1:8" s="147" customFormat="1" ht="33" customHeight="1" x14ac:dyDescent="0.25">
      <c r="A1152" s="188">
        <v>70252009</v>
      </c>
      <c r="B1152" s="193" t="s">
        <v>387</v>
      </c>
      <c r="C1152" s="25" t="s">
        <v>379</v>
      </c>
      <c r="D1152" s="25" t="s">
        <v>205</v>
      </c>
      <c r="E1152" s="25" t="s">
        <v>567</v>
      </c>
      <c r="F1152" s="11" t="s">
        <v>950</v>
      </c>
      <c r="G1152" s="25"/>
      <c r="H1152" s="53">
        <f>H1153</f>
        <v>884</v>
      </c>
    </row>
    <row r="1153" spans="1:8" s="147" customFormat="1" x14ac:dyDescent="0.25">
      <c r="A1153" s="188">
        <v>70252009001</v>
      </c>
      <c r="B1153" s="38" t="s">
        <v>1435</v>
      </c>
      <c r="C1153" s="25" t="s">
        <v>379</v>
      </c>
      <c r="D1153" s="25" t="s">
        <v>205</v>
      </c>
      <c r="E1153" s="25" t="s">
        <v>567</v>
      </c>
      <c r="F1153" s="11" t="s">
        <v>950</v>
      </c>
      <c r="G1153" s="24" t="s">
        <v>1394</v>
      </c>
      <c r="H1153" s="53">
        <v>884</v>
      </c>
    </row>
    <row r="1154" spans="1:8" s="147" customFormat="1" x14ac:dyDescent="0.25">
      <c r="A1154" s="188">
        <v>70252011</v>
      </c>
      <c r="B1154" s="193" t="s">
        <v>312</v>
      </c>
      <c r="C1154" s="25" t="s">
        <v>379</v>
      </c>
      <c r="D1154" s="25" t="s">
        <v>205</v>
      </c>
      <c r="E1154" s="25" t="s">
        <v>567</v>
      </c>
      <c r="F1154" s="11" t="s">
        <v>1684</v>
      </c>
      <c r="G1154" s="25"/>
      <c r="H1154" s="53">
        <f>H1155</f>
        <v>35900</v>
      </c>
    </row>
    <row r="1155" spans="1:8" s="147" customFormat="1" x14ac:dyDescent="0.25">
      <c r="A1155" s="188">
        <v>70252011012</v>
      </c>
      <c r="B1155" s="193" t="s">
        <v>1012</v>
      </c>
      <c r="C1155" s="25" t="s">
        <v>379</v>
      </c>
      <c r="D1155" s="25" t="s">
        <v>205</v>
      </c>
      <c r="E1155" s="25" t="s">
        <v>567</v>
      </c>
      <c r="F1155" s="11" t="s">
        <v>1684</v>
      </c>
      <c r="G1155" s="24" t="s">
        <v>1224</v>
      </c>
      <c r="H1155" s="53">
        <v>35900</v>
      </c>
    </row>
    <row r="1156" spans="1:8" s="147" customFormat="1" x14ac:dyDescent="0.25">
      <c r="A1156" s="160">
        <v>703</v>
      </c>
      <c r="B1156" s="38" t="s">
        <v>1553</v>
      </c>
      <c r="C1156" s="25" t="s">
        <v>379</v>
      </c>
      <c r="D1156" s="25" t="s">
        <v>205</v>
      </c>
      <c r="E1156" s="25" t="s">
        <v>193</v>
      </c>
      <c r="F1156" s="11"/>
      <c r="G1156" s="11"/>
      <c r="H1156" s="53">
        <f>H1157</f>
        <v>4630807</v>
      </c>
    </row>
    <row r="1157" spans="1:8" s="147" customFormat="1" x14ac:dyDescent="0.25">
      <c r="A1157" s="188">
        <v>703425</v>
      </c>
      <c r="B1157" s="38" t="s">
        <v>1554</v>
      </c>
      <c r="C1157" s="25" t="s">
        <v>379</v>
      </c>
      <c r="D1157" s="25" t="s">
        <v>205</v>
      </c>
      <c r="E1157" s="25" t="s">
        <v>193</v>
      </c>
      <c r="F1157" s="11" t="s">
        <v>565</v>
      </c>
      <c r="G1157" s="25"/>
      <c r="H1157" s="53">
        <f>H1158</f>
        <v>4630807</v>
      </c>
    </row>
    <row r="1158" spans="1:8" s="147" customFormat="1" x14ac:dyDescent="0.25">
      <c r="A1158" s="188">
        <v>70342599</v>
      </c>
      <c r="B1158" s="38" t="s">
        <v>624</v>
      </c>
      <c r="C1158" s="25" t="s">
        <v>379</v>
      </c>
      <c r="D1158" s="25" t="s">
        <v>205</v>
      </c>
      <c r="E1158" s="25" t="s">
        <v>193</v>
      </c>
      <c r="F1158" s="11" t="s">
        <v>1327</v>
      </c>
      <c r="G1158" s="25"/>
      <c r="H1158" s="53">
        <f>H1159+H1161+H1163+H1165+H1167+H1169+H1171+H1173+H1175+H1177</f>
        <v>4630807</v>
      </c>
    </row>
    <row r="1159" spans="1:8" s="159" customFormat="1" ht="31.5" x14ac:dyDescent="0.25">
      <c r="A1159" s="188">
        <v>7034259901</v>
      </c>
      <c r="B1159" s="38" t="s">
        <v>160</v>
      </c>
      <c r="C1159" s="25" t="s">
        <v>379</v>
      </c>
      <c r="D1159" s="24" t="s">
        <v>205</v>
      </c>
      <c r="E1159" s="24" t="s">
        <v>193</v>
      </c>
      <c r="F1159" s="80" t="s">
        <v>1328</v>
      </c>
      <c r="G1159" s="24"/>
      <c r="H1159" s="53">
        <f>H1160</f>
        <v>313617</v>
      </c>
    </row>
    <row r="1160" spans="1:8" s="159" customFormat="1" x14ac:dyDescent="0.25">
      <c r="A1160" s="188">
        <v>7034259901001</v>
      </c>
      <c r="B1160" s="38" t="s">
        <v>1435</v>
      </c>
      <c r="C1160" s="25" t="s">
        <v>379</v>
      </c>
      <c r="D1160" s="24" t="s">
        <v>205</v>
      </c>
      <c r="E1160" s="24" t="s">
        <v>193</v>
      </c>
      <c r="F1160" s="80" t="s">
        <v>1328</v>
      </c>
      <c r="G1160" s="24" t="s">
        <v>1394</v>
      </c>
      <c r="H1160" s="53">
        <v>313617</v>
      </c>
    </row>
    <row r="1161" spans="1:8" s="159" customFormat="1" ht="31.5" x14ac:dyDescent="0.25">
      <c r="A1161" s="188">
        <v>7034259902</v>
      </c>
      <c r="B1161" s="38" t="s">
        <v>1119</v>
      </c>
      <c r="C1161" s="25" t="s">
        <v>379</v>
      </c>
      <c r="D1161" s="24" t="s">
        <v>205</v>
      </c>
      <c r="E1161" s="24" t="s">
        <v>193</v>
      </c>
      <c r="F1161" s="80" t="s">
        <v>1329</v>
      </c>
      <c r="G1161" s="24"/>
      <c r="H1161" s="53">
        <f>H1162</f>
        <v>486591</v>
      </c>
    </row>
    <row r="1162" spans="1:8" s="159" customFormat="1" x14ac:dyDescent="0.25">
      <c r="A1162" s="188">
        <v>7034259902001</v>
      </c>
      <c r="B1162" s="38" t="s">
        <v>1435</v>
      </c>
      <c r="C1162" s="25" t="s">
        <v>379</v>
      </c>
      <c r="D1162" s="24" t="s">
        <v>205</v>
      </c>
      <c r="E1162" s="24" t="s">
        <v>193</v>
      </c>
      <c r="F1162" s="80" t="s">
        <v>1329</v>
      </c>
      <c r="G1162" s="24" t="s">
        <v>1394</v>
      </c>
      <c r="H1162" s="53">
        <v>486591</v>
      </c>
    </row>
    <row r="1163" spans="1:8" s="159" customFormat="1" ht="31.5" x14ac:dyDescent="0.25">
      <c r="A1163" s="188">
        <v>7034259903</v>
      </c>
      <c r="B1163" s="148" t="s">
        <v>771</v>
      </c>
      <c r="C1163" s="25" t="s">
        <v>379</v>
      </c>
      <c r="D1163" s="24" t="s">
        <v>205</v>
      </c>
      <c r="E1163" s="24" t="s">
        <v>193</v>
      </c>
      <c r="F1163" s="80" t="s">
        <v>1330</v>
      </c>
      <c r="G1163" s="24"/>
      <c r="H1163" s="53">
        <f>H1164</f>
        <v>174</v>
      </c>
    </row>
    <row r="1164" spans="1:8" s="159" customFormat="1" x14ac:dyDescent="0.25">
      <c r="A1164" s="188">
        <v>7034259903001</v>
      </c>
      <c r="B1164" s="38" t="s">
        <v>1435</v>
      </c>
      <c r="C1164" s="25" t="s">
        <v>379</v>
      </c>
      <c r="D1164" s="24" t="s">
        <v>205</v>
      </c>
      <c r="E1164" s="24" t="s">
        <v>193</v>
      </c>
      <c r="F1164" s="80" t="s">
        <v>1330</v>
      </c>
      <c r="G1164" s="24" t="s">
        <v>1394</v>
      </c>
      <c r="H1164" s="53">
        <v>174</v>
      </c>
    </row>
    <row r="1165" spans="1:8" s="159" customFormat="1" ht="31.5" x14ac:dyDescent="0.25">
      <c r="A1165" s="188">
        <v>7034259904</v>
      </c>
      <c r="B1165" s="148" t="s">
        <v>998</v>
      </c>
      <c r="C1165" s="25" t="s">
        <v>379</v>
      </c>
      <c r="D1165" s="24" t="s">
        <v>205</v>
      </c>
      <c r="E1165" s="24" t="s">
        <v>193</v>
      </c>
      <c r="F1165" s="80" t="s">
        <v>978</v>
      </c>
      <c r="G1165" s="24"/>
      <c r="H1165" s="53">
        <f>H1166</f>
        <v>18700</v>
      </c>
    </row>
    <row r="1166" spans="1:8" s="159" customFormat="1" x14ac:dyDescent="0.25">
      <c r="A1166" s="188">
        <v>7034259904001</v>
      </c>
      <c r="B1166" s="38" t="s">
        <v>1435</v>
      </c>
      <c r="C1166" s="25" t="s">
        <v>379</v>
      </c>
      <c r="D1166" s="24" t="s">
        <v>205</v>
      </c>
      <c r="E1166" s="24" t="s">
        <v>193</v>
      </c>
      <c r="F1166" s="80" t="s">
        <v>978</v>
      </c>
      <c r="G1166" s="24" t="s">
        <v>1394</v>
      </c>
      <c r="H1166" s="53">
        <v>18700</v>
      </c>
    </row>
    <row r="1167" spans="1:8" s="159" customFormat="1" ht="47.25" x14ac:dyDescent="0.25">
      <c r="A1167" s="188">
        <v>7034259906</v>
      </c>
      <c r="B1167" s="148" t="s">
        <v>34</v>
      </c>
      <c r="C1167" s="25" t="s">
        <v>379</v>
      </c>
      <c r="D1167" s="24" t="s">
        <v>205</v>
      </c>
      <c r="E1167" s="24" t="s">
        <v>193</v>
      </c>
      <c r="F1167" s="80" t="s">
        <v>979</v>
      </c>
      <c r="G1167" s="24"/>
      <c r="H1167" s="53">
        <f>H1168</f>
        <v>19179</v>
      </c>
    </row>
    <row r="1168" spans="1:8" s="159" customFormat="1" x14ac:dyDescent="0.25">
      <c r="A1168" s="188">
        <v>7034259906001</v>
      </c>
      <c r="B1168" s="38" t="s">
        <v>1435</v>
      </c>
      <c r="C1168" s="25" t="s">
        <v>379</v>
      </c>
      <c r="D1168" s="24" t="s">
        <v>205</v>
      </c>
      <c r="E1168" s="24" t="s">
        <v>193</v>
      </c>
      <c r="F1168" s="80" t="s">
        <v>979</v>
      </c>
      <c r="G1168" s="24" t="s">
        <v>1394</v>
      </c>
      <c r="H1168" s="53">
        <v>19179</v>
      </c>
    </row>
    <row r="1169" spans="1:8" s="159" customFormat="1" ht="47.25" x14ac:dyDescent="0.25">
      <c r="A1169" s="188">
        <v>7034259907</v>
      </c>
      <c r="B1169" s="148" t="s">
        <v>681</v>
      </c>
      <c r="C1169" s="25" t="s">
        <v>379</v>
      </c>
      <c r="D1169" s="24" t="s">
        <v>205</v>
      </c>
      <c r="E1169" s="24" t="s">
        <v>193</v>
      </c>
      <c r="F1169" s="80" t="s">
        <v>980</v>
      </c>
      <c r="G1169" s="24"/>
      <c r="H1169" s="53">
        <f>H1170</f>
        <v>15070</v>
      </c>
    </row>
    <row r="1170" spans="1:8" s="159" customFormat="1" x14ac:dyDescent="0.25">
      <c r="A1170" s="188">
        <v>7034259907001</v>
      </c>
      <c r="B1170" s="38" t="s">
        <v>1435</v>
      </c>
      <c r="C1170" s="25" t="s">
        <v>379</v>
      </c>
      <c r="D1170" s="24" t="s">
        <v>205</v>
      </c>
      <c r="E1170" s="24" t="s">
        <v>193</v>
      </c>
      <c r="F1170" s="80" t="s">
        <v>980</v>
      </c>
      <c r="G1170" s="24" t="s">
        <v>1394</v>
      </c>
      <c r="H1170" s="53">
        <v>15070</v>
      </c>
    </row>
    <row r="1171" spans="1:8" s="159" customFormat="1" ht="47.25" x14ac:dyDescent="0.25">
      <c r="A1171" s="188">
        <v>7034259909</v>
      </c>
      <c r="B1171" s="148" t="s">
        <v>896</v>
      </c>
      <c r="C1171" s="25" t="s">
        <v>379</v>
      </c>
      <c r="D1171" s="24" t="s">
        <v>205</v>
      </c>
      <c r="E1171" s="24" t="s">
        <v>193</v>
      </c>
      <c r="F1171" s="80" t="s">
        <v>11</v>
      </c>
      <c r="G1171" s="24"/>
      <c r="H1171" s="53">
        <f>H1172</f>
        <v>83840</v>
      </c>
    </row>
    <row r="1172" spans="1:8" s="159" customFormat="1" x14ac:dyDescent="0.25">
      <c r="A1172" s="188">
        <v>7034259909001</v>
      </c>
      <c r="B1172" s="38" t="s">
        <v>1435</v>
      </c>
      <c r="C1172" s="25" t="s">
        <v>379</v>
      </c>
      <c r="D1172" s="24" t="s">
        <v>205</v>
      </c>
      <c r="E1172" s="24" t="s">
        <v>193</v>
      </c>
      <c r="F1172" s="80" t="s">
        <v>11</v>
      </c>
      <c r="G1172" s="24" t="s">
        <v>1394</v>
      </c>
      <c r="H1172" s="53">
        <v>83840</v>
      </c>
    </row>
    <row r="1173" spans="1:8" s="159" customFormat="1" ht="63" x14ac:dyDescent="0.25">
      <c r="A1173" s="188">
        <v>7034259910</v>
      </c>
      <c r="B1173" s="148" t="s">
        <v>1490</v>
      </c>
      <c r="C1173" s="25" t="s">
        <v>379</v>
      </c>
      <c r="D1173" s="24" t="s">
        <v>205</v>
      </c>
      <c r="E1173" s="24" t="s">
        <v>193</v>
      </c>
      <c r="F1173" s="80" t="s">
        <v>12</v>
      </c>
      <c r="G1173" s="24"/>
      <c r="H1173" s="53">
        <f>H1174</f>
        <v>5240</v>
      </c>
    </row>
    <row r="1174" spans="1:8" s="159" customFormat="1" x14ac:dyDescent="0.25">
      <c r="A1174" s="188">
        <v>7034259910001</v>
      </c>
      <c r="B1174" s="38" t="s">
        <v>1435</v>
      </c>
      <c r="C1174" s="25" t="s">
        <v>379</v>
      </c>
      <c r="D1174" s="24" t="s">
        <v>205</v>
      </c>
      <c r="E1174" s="24" t="s">
        <v>193</v>
      </c>
      <c r="F1174" s="80" t="s">
        <v>12</v>
      </c>
      <c r="G1174" s="24" t="s">
        <v>1394</v>
      </c>
      <c r="H1174" s="53">
        <v>5240</v>
      </c>
    </row>
    <row r="1175" spans="1:8" s="147" customFormat="1" ht="33.75" customHeight="1" x14ac:dyDescent="0.25">
      <c r="A1175" s="188">
        <v>7034259999</v>
      </c>
      <c r="B1175" s="38" t="s">
        <v>1018</v>
      </c>
      <c r="C1175" s="25" t="s">
        <v>379</v>
      </c>
      <c r="D1175" s="24" t="s">
        <v>205</v>
      </c>
      <c r="E1175" s="24" t="s">
        <v>193</v>
      </c>
      <c r="F1175" s="80" t="s">
        <v>159</v>
      </c>
      <c r="G1175" s="24"/>
      <c r="H1175" s="53">
        <f>H1176</f>
        <v>3673198</v>
      </c>
    </row>
    <row r="1176" spans="1:8" s="28" customFormat="1" x14ac:dyDescent="0.25">
      <c r="A1176" s="27">
        <v>7034259999001</v>
      </c>
      <c r="B1176" s="26" t="s">
        <v>1435</v>
      </c>
      <c r="C1176" s="12" t="s">
        <v>379</v>
      </c>
      <c r="D1176" s="6" t="s">
        <v>205</v>
      </c>
      <c r="E1176" s="6" t="s">
        <v>193</v>
      </c>
      <c r="F1176" s="19" t="s">
        <v>159</v>
      </c>
      <c r="G1176" s="6" t="s">
        <v>1394</v>
      </c>
      <c r="H1176" s="53">
        <v>3673198</v>
      </c>
    </row>
    <row r="1177" spans="1:8" s="28" customFormat="1" ht="47.25" x14ac:dyDescent="0.25">
      <c r="A1177" s="27">
        <v>70342599910</v>
      </c>
      <c r="B1177" s="26" t="s">
        <v>307</v>
      </c>
      <c r="C1177" s="12" t="s">
        <v>379</v>
      </c>
      <c r="D1177" s="12" t="s">
        <v>205</v>
      </c>
      <c r="E1177" s="12" t="s">
        <v>193</v>
      </c>
      <c r="F1177" s="10" t="s">
        <v>1327</v>
      </c>
      <c r="G1177" s="12">
        <v>910</v>
      </c>
      <c r="H1177" s="53">
        <v>15198</v>
      </c>
    </row>
    <row r="1178" spans="1:8" s="28" customFormat="1" x14ac:dyDescent="0.25">
      <c r="A1178" s="27">
        <v>704</v>
      </c>
      <c r="B1178" s="26" t="s">
        <v>973</v>
      </c>
      <c r="C1178" s="12" t="s">
        <v>379</v>
      </c>
      <c r="D1178" s="12" t="s">
        <v>205</v>
      </c>
      <c r="E1178" s="12" t="s">
        <v>1181</v>
      </c>
      <c r="F1178" s="10"/>
      <c r="G1178" s="10"/>
      <c r="H1178" s="53">
        <f>H1179</f>
        <v>1647655</v>
      </c>
    </row>
    <row r="1179" spans="1:8" s="28" customFormat="1" x14ac:dyDescent="0.25">
      <c r="A1179" s="27">
        <v>704427</v>
      </c>
      <c r="B1179" s="26" t="s">
        <v>974</v>
      </c>
      <c r="C1179" s="12" t="s">
        <v>379</v>
      </c>
      <c r="D1179" s="12" t="s">
        <v>205</v>
      </c>
      <c r="E1179" s="12" t="s">
        <v>1181</v>
      </c>
      <c r="F1179" s="10" t="s">
        <v>867</v>
      </c>
      <c r="G1179" s="12"/>
      <c r="H1179" s="53">
        <f>H1180</f>
        <v>1647655</v>
      </c>
    </row>
    <row r="1180" spans="1:8" s="147" customFormat="1" x14ac:dyDescent="0.25">
      <c r="A1180" s="188">
        <v>70442799</v>
      </c>
      <c r="B1180" s="38" t="s">
        <v>624</v>
      </c>
      <c r="C1180" s="25" t="s">
        <v>379</v>
      </c>
      <c r="D1180" s="24" t="s">
        <v>205</v>
      </c>
      <c r="E1180" s="24" t="s">
        <v>1181</v>
      </c>
      <c r="F1180" s="80" t="s">
        <v>263</v>
      </c>
      <c r="G1180" s="24"/>
      <c r="H1180" s="53">
        <f>H1181+H1183+H1185+H1187+H1189+H1191+H1193+H1195</f>
        <v>1647655</v>
      </c>
    </row>
    <row r="1181" spans="1:8" s="147" customFormat="1" ht="31.5" x14ac:dyDescent="0.25">
      <c r="A1181" s="188">
        <v>7044279901</v>
      </c>
      <c r="B1181" s="38" t="s">
        <v>9</v>
      </c>
      <c r="C1181" s="25" t="s">
        <v>379</v>
      </c>
      <c r="D1181" s="24" t="s">
        <v>205</v>
      </c>
      <c r="E1181" s="24" t="s">
        <v>1181</v>
      </c>
      <c r="F1181" s="80" t="s">
        <v>264</v>
      </c>
      <c r="G1181" s="24"/>
      <c r="H1181" s="53">
        <f>H1182</f>
        <v>114459</v>
      </c>
    </row>
    <row r="1182" spans="1:8" s="147" customFormat="1" x14ac:dyDescent="0.25">
      <c r="A1182" s="188">
        <v>7044279901001</v>
      </c>
      <c r="B1182" s="38" t="s">
        <v>1435</v>
      </c>
      <c r="C1182" s="25" t="s">
        <v>379</v>
      </c>
      <c r="D1182" s="24" t="s">
        <v>205</v>
      </c>
      <c r="E1182" s="24" t="s">
        <v>1181</v>
      </c>
      <c r="F1182" s="80" t="s">
        <v>264</v>
      </c>
      <c r="G1182" s="25" t="s">
        <v>1394</v>
      </c>
      <c r="H1182" s="53">
        <v>114459</v>
      </c>
    </row>
    <row r="1183" spans="1:8" s="147" customFormat="1" ht="31.5" x14ac:dyDescent="0.25">
      <c r="A1183" s="188">
        <v>7044279902</v>
      </c>
      <c r="B1183" s="38" t="s">
        <v>10</v>
      </c>
      <c r="C1183" s="25" t="s">
        <v>379</v>
      </c>
      <c r="D1183" s="24" t="s">
        <v>205</v>
      </c>
      <c r="E1183" s="24" t="s">
        <v>1181</v>
      </c>
      <c r="F1183" s="80" t="s">
        <v>265</v>
      </c>
      <c r="G1183" s="24"/>
      <c r="H1183" s="53">
        <f>H1184</f>
        <v>62805</v>
      </c>
    </row>
    <row r="1184" spans="1:8" s="147" customFormat="1" x14ac:dyDescent="0.25">
      <c r="A1184" s="188">
        <v>7044279902001</v>
      </c>
      <c r="B1184" s="38" t="s">
        <v>1435</v>
      </c>
      <c r="C1184" s="25" t="s">
        <v>379</v>
      </c>
      <c r="D1184" s="24" t="s">
        <v>205</v>
      </c>
      <c r="E1184" s="24" t="s">
        <v>1181</v>
      </c>
      <c r="F1184" s="80" t="s">
        <v>265</v>
      </c>
      <c r="G1184" s="24" t="s">
        <v>1394</v>
      </c>
      <c r="H1184" s="53">
        <v>62805</v>
      </c>
    </row>
    <row r="1185" spans="1:8" s="147" customFormat="1" ht="31.5" x14ac:dyDescent="0.25">
      <c r="A1185" s="188">
        <v>7044279903</v>
      </c>
      <c r="B1185" s="148" t="s">
        <v>771</v>
      </c>
      <c r="C1185" s="25" t="s">
        <v>379</v>
      </c>
      <c r="D1185" s="24" t="s">
        <v>205</v>
      </c>
      <c r="E1185" s="24" t="s">
        <v>1181</v>
      </c>
      <c r="F1185" s="80" t="s">
        <v>369</v>
      </c>
      <c r="G1185" s="24"/>
      <c r="H1185" s="53">
        <f>H1186</f>
        <v>8</v>
      </c>
    </row>
    <row r="1186" spans="1:8" s="147" customFormat="1" x14ac:dyDescent="0.25">
      <c r="A1186" s="188">
        <v>7044279903001</v>
      </c>
      <c r="B1186" s="38" t="s">
        <v>1435</v>
      </c>
      <c r="C1186" s="25" t="s">
        <v>379</v>
      </c>
      <c r="D1186" s="24" t="s">
        <v>205</v>
      </c>
      <c r="E1186" s="24" t="s">
        <v>1181</v>
      </c>
      <c r="F1186" s="80" t="s">
        <v>369</v>
      </c>
      <c r="G1186" s="24" t="s">
        <v>1394</v>
      </c>
      <c r="H1186" s="53">
        <v>8</v>
      </c>
    </row>
    <row r="1187" spans="1:8" s="147" customFormat="1" ht="31.5" x14ac:dyDescent="0.25">
      <c r="A1187" s="188">
        <v>7044279904</v>
      </c>
      <c r="B1187" s="148" t="s">
        <v>998</v>
      </c>
      <c r="C1187" s="25" t="s">
        <v>379</v>
      </c>
      <c r="D1187" s="24" t="s">
        <v>205</v>
      </c>
      <c r="E1187" s="24" t="s">
        <v>1181</v>
      </c>
      <c r="F1187" s="80" t="s">
        <v>414</v>
      </c>
      <c r="G1187" s="24"/>
      <c r="H1187" s="53">
        <f>H1188</f>
        <v>2840</v>
      </c>
    </row>
    <row r="1188" spans="1:8" s="147" customFormat="1" x14ac:dyDescent="0.25">
      <c r="A1188" s="188">
        <v>7044279904001</v>
      </c>
      <c r="B1188" s="38" t="s">
        <v>1435</v>
      </c>
      <c r="C1188" s="25" t="s">
        <v>379</v>
      </c>
      <c r="D1188" s="24" t="s">
        <v>205</v>
      </c>
      <c r="E1188" s="24" t="s">
        <v>1181</v>
      </c>
      <c r="F1188" s="80" t="s">
        <v>414</v>
      </c>
      <c r="G1188" s="24" t="s">
        <v>1394</v>
      </c>
      <c r="H1188" s="53">
        <v>2840</v>
      </c>
    </row>
    <row r="1189" spans="1:8" s="147" customFormat="1" ht="47.25" x14ac:dyDescent="0.25">
      <c r="A1189" s="188">
        <v>7044279907</v>
      </c>
      <c r="B1189" s="148" t="s">
        <v>681</v>
      </c>
      <c r="C1189" s="25" t="s">
        <v>379</v>
      </c>
      <c r="D1189" s="24" t="s">
        <v>205</v>
      </c>
      <c r="E1189" s="24" t="s">
        <v>1181</v>
      </c>
      <c r="F1189" s="80" t="s">
        <v>415</v>
      </c>
      <c r="G1189" s="24"/>
      <c r="H1189" s="53">
        <f>H1190</f>
        <v>2026</v>
      </c>
    </row>
    <row r="1190" spans="1:8" s="147" customFormat="1" x14ac:dyDescent="0.25">
      <c r="A1190" s="188">
        <v>7044279907001</v>
      </c>
      <c r="B1190" s="38" t="s">
        <v>1435</v>
      </c>
      <c r="C1190" s="25" t="s">
        <v>379</v>
      </c>
      <c r="D1190" s="24" t="s">
        <v>205</v>
      </c>
      <c r="E1190" s="24" t="s">
        <v>1181</v>
      </c>
      <c r="F1190" s="80" t="s">
        <v>415</v>
      </c>
      <c r="G1190" s="24" t="s">
        <v>1394</v>
      </c>
      <c r="H1190" s="53">
        <v>2026</v>
      </c>
    </row>
    <row r="1191" spans="1:8" s="147" customFormat="1" ht="31.5" x14ac:dyDescent="0.25">
      <c r="A1191" s="188">
        <v>7044279912</v>
      </c>
      <c r="B1191" s="148" t="s">
        <v>441</v>
      </c>
      <c r="C1191" s="25" t="s">
        <v>379</v>
      </c>
      <c r="D1191" s="24" t="s">
        <v>205</v>
      </c>
      <c r="E1191" s="24" t="s">
        <v>1181</v>
      </c>
      <c r="F1191" s="80" t="s">
        <v>413</v>
      </c>
      <c r="G1191" s="24"/>
      <c r="H1191" s="53">
        <f>H1192</f>
        <v>11863</v>
      </c>
    </row>
    <row r="1192" spans="1:8" s="147" customFormat="1" x14ac:dyDescent="0.25">
      <c r="A1192" s="188">
        <v>7044279912001</v>
      </c>
      <c r="B1192" s="38" t="s">
        <v>1435</v>
      </c>
      <c r="C1192" s="25" t="s">
        <v>379</v>
      </c>
      <c r="D1192" s="24" t="s">
        <v>205</v>
      </c>
      <c r="E1192" s="24" t="s">
        <v>1181</v>
      </c>
      <c r="F1192" s="80" t="s">
        <v>413</v>
      </c>
      <c r="G1192" s="24" t="s">
        <v>1394</v>
      </c>
      <c r="H1192" s="53">
        <v>11863</v>
      </c>
    </row>
    <row r="1193" spans="1:8" s="147" customFormat="1" ht="36.75" customHeight="1" x14ac:dyDescent="0.25">
      <c r="A1193" s="188">
        <v>7044279999</v>
      </c>
      <c r="B1193" s="38" t="s">
        <v>1089</v>
      </c>
      <c r="C1193" s="25" t="s">
        <v>379</v>
      </c>
      <c r="D1193" s="24" t="s">
        <v>205</v>
      </c>
      <c r="E1193" s="24" t="s">
        <v>1181</v>
      </c>
      <c r="F1193" s="80" t="s">
        <v>266</v>
      </c>
      <c r="G1193" s="24"/>
      <c r="H1193" s="53">
        <f>H1194</f>
        <v>1451400</v>
      </c>
    </row>
    <row r="1194" spans="1:8" s="147" customFormat="1" x14ac:dyDescent="0.25">
      <c r="A1194" s="188">
        <v>7044279999001</v>
      </c>
      <c r="B1194" s="38" t="s">
        <v>1435</v>
      </c>
      <c r="C1194" s="25" t="s">
        <v>379</v>
      </c>
      <c r="D1194" s="24" t="s">
        <v>205</v>
      </c>
      <c r="E1194" s="24" t="s">
        <v>1181</v>
      </c>
      <c r="F1194" s="80" t="s">
        <v>266</v>
      </c>
      <c r="G1194" s="24" t="s">
        <v>1394</v>
      </c>
      <c r="H1194" s="53">
        <v>1451400</v>
      </c>
    </row>
    <row r="1195" spans="1:8" s="28" customFormat="1" ht="47.25" x14ac:dyDescent="0.25">
      <c r="A1195" s="27">
        <v>70442799910</v>
      </c>
      <c r="B1195" s="26" t="s">
        <v>307</v>
      </c>
      <c r="C1195" s="12" t="s">
        <v>379</v>
      </c>
      <c r="D1195" s="12" t="s">
        <v>205</v>
      </c>
      <c r="E1195" s="12" t="s">
        <v>1181</v>
      </c>
      <c r="F1195" s="10" t="s">
        <v>263</v>
      </c>
      <c r="G1195" s="12">
        <v>910</v>
      </c>
      <c r="H1195" s="53">
        <v>2254</v>
      </c>
    </row>
    <row r="1196" spans="1:8" s="28" customFormat="1" ht="31.5" x14ac:dyDescent="0.25">
      <c r="A1196" s="29">
        <v>705</v>
      </c>
      <c r="B1196" s="37" t="s">
        <v>244</v>
      </c>
      <c r="C1196" s="12" t="s">
        <v>379</v>
      </c>
      <c r="D1196" s="12" t="s">
        <v>205</v>
      </c>
      <c r="E1196" s="12" t="s">
        <v>175</v>
      </c>
      <c r="F1196" s="10"/>
      <c r="G1196" s="10"/>
      <c r="H1196" s="53">
        <f>H1197</f>
        <v>175682</v>
      </c>
    </row>
    <row r="1197" spans="1:8" s="28" customFormat="1" x14ac:dyDescent="0.25">
      <c r="A1197" s="27">
        <v>705428</v>
      </c>
      <c r="B1197" s="26" t="s">
        <v>1555</v>
      </c>
      <c r="C1197" s="12" t="s">
        <v>379</v>
      </c>
      <c r="D1197" s="12" t="s">
        <v>205</v>
      </c>
      <c r="E1197" s="12" t="s">
        <v>175</v>
      </c>
      <c r="F1197" s="10" t="s">
        <v>1013</v>
      </c>
      <c r="G1197" s="12"/>
      <c r="H1197" s="53">
        <f>H1198</f>
        <v>175682</v>
      </c>
    </row>
    <row r="1198" spans="1:8" s="28" customFormat="1" x14ac:dyDescent="0.25">
      <c r="A1198" s="27">
        <v>70542899</v>
      </c>
      <c r="B1198" s="26" t="s">
        <v>624</v>
      </c>
      <c r="C1198" s="12" t="s">
        <v>379</v>
      </c>
      <c r="D1198" s="12" t="s">
        <v>205</v>
      </c>
      <c r="E1198" s="12" t="s">
        <v>175</v>
      </c>
      <c r="F1198" s="10" t="s">
        <v>577</v>
      </c>
      <c r="G1198" s="12"/>
      <c r="H1198" s="53">
        <f>H1199+H1201+H1203</f>
        <v>175682</v>
      </c>
    </row>
    <row r="1199" spans="1:8" s="128" customFormat="1" ht="31.5" x14ac:dyDescent="0.25">
      <c r="A1199" s="27">
        <v>7054289901</v>
      </c>
      <c r="B1199" s="26" t="s">
        <v>559</v>
      </c>
      <c r="C1199" s="12" t="s">
        <v>379</v>
      </c>
      <c r="D1199" s="6" t="s">
        <v>205</v>
      </c>
      <c r="E1199" s="6" t="s">
        <v>175</v>
      </c>
      <c r="F1199" s="19" t="s">
        <v>658</v>
      </c>
      <c r="G1199" s="6"/>
      <c r="H1199" s="53">
        <f>H1200</f>
        <v>378</v>
      </c>
    </row>
    <row r="1200" spans="1:8" s="128" customFormat="1" x14ac:dyDescent="0.25">
      <c r="A1200" s="27">
        <v>7054289901001</v>
      </c>
      <c r="B1200" s="26" t="s">
        <v>1435</v>
      </c>
      <c r="C1200" s="12" t="s">
        <v>379</v>
      </c>
      <c r="D1200" s="6" t="s">
        <v>205</v>
      </c>
      <c r="E1200" s="6" t="s">
        <v>175</v>
      </c>
      <c r="F1200" s="19" t="s">
        <v>658</v>
      </c>
      <c r="G1200" s="6" t="s">
        <v>1394</v>
      </c>
      <c r="H1200" s="53">
        <v>378</v>
      </c>
    </row>
    <row r="1201" spans="1:11" s="159" customFormat="1" ht="31.5" x14ac:dyDescent="0.25">
      <c r="A1201" s="188">
        <v>7054289902</v>
      </c>
      <c r="B1201" s="38" t="s">
        <v>325</v>
      </c>
      <c r="C1201" s="25" t="s">
        <v>379</v>
      </c>
      <c r="D1201" s="24" t="s">
        <v>205</v>
      </c>
      <c r="E1201" s="24" t="s">
        <v>175</v>
      </c>
      <c r="F1201" s="80" t="s">
        <v>659</v>
      </c>
      <c r="G1201" s="24"/>
      <c r="H1201" s="53">
        <f>H1202</f>
        <v>31</v>
      </c>
    </row>
    <row r="1202" spans="1:11" s="159" customFormat="1" x14ac:dyDescent="0.25">
      <c r="A1202" s="188">
        <v>7054289902001</v>
      </c>
      <c r="B1202" s="38" t="s">
        <v>1435</v>
      </c>
      <c r="C1202" s="25" t="s">
        <v>379</v>
      </c>
      <c r="D1202" s="24" t="s">
        <v>205</v>
      </c>
      <c r="E1202" s="24" t="s">
        <v>175</v>
      </c>
      <c r="F1202" s="80" t="s">
        <v>659</v>
      </c>
      <c r="G1202" s="24" t="s">
        <v>1394</v>
      </c>
      <c r="H1202" s="53">
        <v>31</v>
      </c>
    </row>
    <row r="1203" spans="1:11" s="128" customFormat="1" ht="34.5" customHeight="1" x14ac:dyDescent="0.25">
      <c r="A1203" s="27">
        <v>7054289999</v>
      </c>
      <c r="B1203" s="26" t="s">
        <v>838</v>
      </c>
      <c r="C1203" s="12" t="s">
        <v>379</v>
      </c>
      <c r="D1203" s="6" t="s">
        <v>205</v>
      </c>
      <c r="E1203" s="6" t="s">
        <v>175</v>
      </c>
      <c r="F1203" s="19" t="s">
        <v>558</v>
      </c>
      <c r="G1203" s="6"/>
      <c r="H1203" s="53">
        <f>H1204</f>
        <v>175273</v>
      </c>
    </row>
    <row r="1204" spans="1:11" s="128" customFormat="1" x14ac:dyDescent="0.25">
      <c r="A1204" s="27">
        <v>7054289999001</v>
      </c>
      <c r="B1204" s="26" t="s">
        <v>1435</v>
      </c>
      <c r="C1204" s="12" t="s">
        <v>379</v>
      </c>
      <c r="D1204" s="6" t="s">
        <v>205</v>
      </c>
      <c r="E1204" s="6" t="s">
        <v>175</v>
      </c>
      <c r="F1204" s="19" t="s">
        <v>558</v>
      </c>
      <c r="G1204" s="6" t="s">
        <v>1394</v>
      </c>
      <c r="H1204" s="53">
        <v>175273</v>
      </c>
    </row>
    <row r="1205" spans="1:11" s="28" customFormat="1" x14ac:dyDescent="0.25">
      <c r="A1205" s="29">
        <v>706</v>
      </c>
      <c r="B1205" s="26" t="s">
        <v>1239</v>
      </c>
      <c r="C1205" s="12" t="s">
        <v>379</v>
      </c>
      <c r="D1205" s="12" t="s">
        <v>205</v>
      </c>
      <c r="E1205" s="12" t="s">
        <v>1746</v>
      </c>
      <c r="F1205" s="10"/>
      <c r="G1205" s="10"/>
      <c r="H1205" s="53">
        <f>H1206+H1221+H1224</f>
        <v>2964257</v>
      </c>
    </row>
    <row r="1206" spans="1:11" s="28" customFormat="1" x14ac:dyDescent="0.25">
      <c r="A1206" s="27">
        <v>706430</v>
      </c>
      <c r="B1206" s="26" t="s">
        <v>119</v>
      </c>
      <c r="C1206" s="12" t="s">
        <v>379</v>
      </c>
      <c r="D1206" s="12" t="s">
        <v>205</v>
      </c>
      <c r="E1206" s="12" t="s">
        <v>1746</v>
      </c>
      <c r="F1206" s="10" t="s">
        <v>1014</v>
      </c>
      <c r="G1206" s="12"/>
      <c r="H1206" s="53">
        <f>H1207</f>
        <v>2902746</v>
      </c>
    </row>
    <row r="1207" spans="1:11" s="28" customFormat="1" x14ac:dyDescent="0.25">
      <c r="A1207" s="27">
        <v>70643099</v>
      </c>
      <c r="B1207" s="26" t="s">
        <v>624</v>
      </c>
      <c r="C1207" s="12" t="s">
        <v>379</v>
      </c>
      <c r="D1207" s="12" t="s">
        <v>205</v>
      </c>
      <c r="E1207" s="12" t="s">
        <v>1746</v>
      </c>
      <c r="F1207" s="10" t="s">
        <v>582</v>
      </c>
      <c r="G1207" s="12"/>
      <c r="H1207" s="53">
        <f>H1208+H1210+H1212+H1214+H1216+H1218+H1220</f>
        <v>2902746</v>
      </c>
    </row>
    <row r="1208" spans="1:11" s="166" customFormat="1" ht="30.75" customHeight="1" x14ac:dyDescent="0.25">
      <c r="A1208" s="49">
        <v>7064309901</v>
      </c>
      <c r="B1208" s="38" t="s">
        <v>1642</v>
      </c>
      <c r="C1208" s="25" t="s">
        <v>379</v>
      </c>
      <c r="D1208" s="25" t="s">
        <v>205</v>
      </c>
      <c r="E1208" s="25" t="s">
        <v>1746</v>
      </c>
      <c r="F1208" s="11" t="s">
        <v>1199</v>
      </c>
      <c r="G1208" s="25"/>
      <c r="H1208" s="194">
        <f>H1209</f>
        <v>298346</v>
      </c>
      <c r="I1208" s="72"/>
      <c r="J1208" s="72"/>
      <c r="K1208" s="72"/>
    </row>
    <row r="1209" spans="1:11" s="166" customFormat="1" x14ac:dyDescent="0.25">
      <c r="A1209" s="49">
        <v>7064309901001</v>
      </c>
      <c r="B1209" s="38" t="s">
        <v>1435</v>
      </c>
      <c r="C1209" s="25" t="s">
        <v>379</v>
      </c>
      <c r="D1209" s="25" t="s">
        <v>205</v>
      </c>
      <c r="E1209" s="25" t="s">
        <v>1746</v>
      </c>
      <c r="F1209" s="11" t="s">
        <v>1199</v>
      </c>
      <c r="G1209" s="198" t="s">
        <v>1394</v>
      </c>
      <c r="H1209" s="194">
        <v>298346</v>
      </c>
      <c r="I1209" s="72"/>
      <c r="J1209" s="72"/>
      <c r="K1209" s="72"/>
    </row>
    <row r="1210" spans="1:11" s="166" customFormat="1" x14ac:dyDescent="0.25">
      <c r="A1210" s="49">
        <v>7064309902</v>
      </c>
      <c r="B1210" s="38" t="s">
        <v>1643</v>
      </c>
      <c r="C1210" s="25" t="s">
        <v>379</v>
      </c>
      <c r="D1210" s="25" t="s">
        <v>205</v>
      </c>
      <c r="E1210" s="25" t="s">
        <v>1746</v>
      </c>
      <c r="F1210" s="11" t="s">
        <v>1599</v>
      </c>
      <c r="G1210" s="198"/>
      <c r="H1210" s="194">
        <f>H1211</f>
        <v>15494</v>
      </c>
      <c r="I1210" s="72"/>
      <c r="J1210" s="72"/>
      <c r="K1210" s="72"/>
    </row>
    <row r="1211" spans="1:11" s="166" customFormat="1" x14ac:dyDescent="0.25">
      <c r="A1211" s="49">
        <v>7064309902001</v>
      </c>
      <c r="B1211" s="38" t="s">
        <v>1435</v>
      </c>
      <c r="C1211" s="25" t="s">
        <v>379</v>
      </c>
      <c r="D1211" s="25" t="s">
        <v>205</v>
      </c>
      <c r="E1211" s="25" t="s">
        <v>1746</v>
      </c>
      <c r="F1211" s="11" t="s">
        <v>1599</v>
      </c>
      <c r="G1211" s="198" t="s">
        <v>1394</v>
      </c>
      <c r="H1211" s="194">
        <f>39321-23827</f>
        <v>15494</v>
      </c>
      <c r="I1211" s="72"/>
      <c r="J1211" s="72"/>
      <c r="K1211" s="72"/>
    </row>
    <row r="1212" spans="1:11" s="166" customFormat="1" ht="31.5" x14ac:dyDescent="0.25">
      <c r="A1212" s="49">
        <v>7064309904</v>
      </c>
      <c r="B1212" s="167" t="s">
        <v>998</v>
      </c>
      <c r="C1212" s="25" t="s">
        <v>379</v>
      </c>
      <c r="D1212" s="25" t="s">
        <v>205</v>
      </c>
      <c r="E1212" s="25" t="s">
        <v>1746</v>
      </c>
      <c r="F1212" s="11" t="s">
        <v>1228</v>
      </c>
      <c r="G1212" s="198"/>
      <c r="H1212" s="194">
        <f>H1213</f>
        <v>580</v>
      </c>
      <c r="I1212" s="72"/>
      <c r="J1212" s="72"/>
      <c r="K1212" s="72"/>
    </row>
    <row r="1213" spans="1:11" s="166" customFormat="1" x14ac:dyDescent="0.25">
      <c r="A1213" s="49">
        <v>7064309904001</v>
      </c>
      <c r="B1213" s="38" t="s">
        <v>1435</v>
      </c>
      <c r="C1213" s="25" t="s">
        <v>379</v>
      </c>
      <c r="D1213" s="25" t="s">
        <v>205</v>
      </c>
      <c r="E1213" s="25" t="s">
        <v>1746</v>
      </c>
      <c r="F1213" s="11" t="s">
        <v>1228</v>
      </c>
      <c r="G1213" s="198" t="s">
        <v>1394</v>
      </c>
      <c r="H1213" s="194">
        <v>580</v>
      </c>
      <c r="I1213" s="72"/>
      <c r="J1213" s="72"/>
      <c r="K1213" s="72"/>
    </row>
    <row r="1214" spans="1:11" s="166" customFormat="1" ht="47.25" x14ac:dyDescent="0.25">
      <c r="A1214" s="49">
        <v>7064309907</v>
      </c>
      <c r="B1214" s="148" t="s">
        <v>681</v>
      </c>
      <c r="C1214" s="25" t="s">
        <v>379</v>
      </c>
      <c r="D1214" s="25" t="s">
        <v>205</v>
      </c>
      <c r="E1214" s="25" t="s">
        <v>1746</v>
      </c>
      <c r="F1214" s="11" t="s">
        <v>443</v>
      </c>
      <c r="G1214" s="198"/>
      <c r="H1214" s="194">
        <f>H1215</f>
        <v>561</v>
      </c>
      <c r="I1214" s="72"/>
      <c r="J1214" s="72"/>
      <c r="K1214" s="72"/>
    </row>
    <row r="1215" spans="1:11" s="166" customFormat="1" x14ac:dyDescent="0.25">
      <c r="A1215" s="49">
        <v>7064309907001</v>
      </c>
      <c r="B1215" s="38" t="s">
        <v>1435</v>
      </c>
      <c r="C1215" s="25" t="s">
        <v>379</v>
      </c>
      <c r="D1215" s="25" t="s">
        <v>205</v>
      </c>
      <c r="E1215" s="25" t="s">
        <v>1746</v>
      </c>
      <c r="F1215" s="11" t="s">
        <v>443</v>
      </c>
      <c r="G1215" s="198" t="s">
        <v>1394</v>
      </c>
      <c r="H1215" s="194">
        <v>561</v>
      </c>
      <c r="I1215" s="72"/>
      <c r="J1215" s="72"/>
      <c r="K1215" s="72"/>
    </row>
    <row r="1216" spans="1:11" s="166" customFormat="1" ht="31.5" x14ac:dyDescent="0.25">
      <c r="A1216" s="49">
        <v>7064309912</v>
      </c>
      <c r="B1216" s="148" t="s">
        <v>508</v>
      </c>
      <c r="C1216" s="25" t="s">
        <v>379</v>
      </c>
      <c r="D1216" s="25" t="s">
        <v>205</v>
      </c>
      <c r="E1216" s="25" t="s">
        <v>1746</v>
      </c>
      <c r="F1216" s="11" t="s">
        <v>442</v>
      </c>
      <c r="G1216" s="25"/>
      <c r="H1216" s="194">
        <f>H1217</f>
        <v>23827</v>
      </c>
      <c r="I1216" s="72"/>
      <c r="J1216" s="72"/>
      <c r="K1216" s="72"/>
    </row>
    <row r="1217" spans="1:11" s="166" customFormat="1" x14ac:dyDescent="0.25">
      <c r="A1217" s="49">
        <v>7064309912001</v>
      </c>
      <c r="B1217" s="38" t="s">
        <v>1435</v>
      </c>
      <c r="C1217" s="25" t="s">
        <v>379</v>
      </c>
      <c r="D1217" s="25" t="s">
        <v>205</v>
      </c>
      <c r="E1217" s="25" t="s">
        <v>1746</v>
      </c>
      <c r="F1217" s="11" t="s">
        <v>442</v>
      </c>
      <c r="G1217" s="198" t="s">
        <v>1394</v>
      </c>
      <c r="H1217" s="194">
        <v>23827</v>
      </c>
      <c r="I1217" s="72"/>
      <c r="J1217" s="72"/>
      <c r="K1217" s="72"/>
    </row>
    <row r="1218" spans="1:11" s="166" customFormat="1" ht="31.5" x14ac:dyDescent="0.25">
      <c r="A1218" s="49">
        <v>7064309999</v>
      </c>
      <c r="B1218" s="38" t="s">
        <v>682</v>
      </c>
      <c r="C1218" s="25" t="s">
        <v>379</v>
      </c>
      <c r="D1218" s="25" t="s">
        <v>205</v>
      </c>
      <c r="E1218" s="25" t="s">
        <v>1746</v>
      </c>
      <c r="F1218" s="11" t="s">
        <v>1388</v>
      </c>
      <c r="G1218" s="25"/>
      <c r="H1218" s="194">
        <f>H1219</f>
        <v>2563302</v>
      </c>
      <c r="I1218" s="72"/>
      <c r="J1218" s="72"/>
      <c r="K1218" s="72"/>
    </row>
    <row r="1219" spans="1:11" s="166" customFormat="1" x14ac:dyDescent="0.25">
      <c r="A1219" s="49">
        <v>7064309999001</v>
      </c>
      <c r="B1219" s="38" t="s">
        <v>1435</v>
      </c>
      <c r="C1219" s="25" t="s">
        <v>379</v>
      </c>
      <c r="D1219" s="25" t="s">
        <v>205</v>
      </c>
      <c r="E1219" s="25" t="s">
        <v>1746</v>
      </c>
      <c r="F1219" s="11" t="s">
        <v>1388</v>
      </c>
      <c r="G1219" s="198" t="s">
        <v>1394</v>
      </c>
      <c r="H1219" s="194">
        <f>2564443-580-561</f>
        <v>2563302</v>
      </c>
      <c r="I1219" s="72"/>
      <c r="J1219" s="72"/>
      <c r="K1219" s="72"/>
    </row>
    <row r="1220" spans="1:11" s="166" customFormat="1" ht="47.25" x14ac:dyDescent="0.25">
      <c r="A1220" s="49">
        <v>70643099910</v>
      </c>
      <c r="B1220" s="211" t="s">
        <v>307</v>
      </c>
      <c r="C1220" s="205" t="s">
        <v>379</v>
      </c>
      <c r="D1220" s="205" t="s">
        <v>205</v>
      </c>
      <c r="E1220" s="205" t="s">
        <v>1746</v>
      </c>
      <c r="F1220" s="206" t="s">
        <v>582</v>
      </c>
      <c r="G1220" s="205">
        <v>910</v>
      </c>
      <c r="H1220" s="207">
        <v>636</v>
      </c>
      <c r="I1220" s="72"/>
      <c r="J1220" s="72"/>
      <c r="K1220" s="72"/>
    </row>
    <row r="1221" spans="1:11" s="128" customFormat="1" x14ac:dyDescent="0.25">
      <c r="A1221" s="27">
        <v>706436</v>
      </c>
      <c r="B1221" s="212" t="s">
        <v>625</v>
      </c>
      <c r="C1221" s="12" t="s">
        <v>379</v>
      </c>
      <c r="D1221" s="6" t="s">
        <v>205</v>
      </c>
      <c r="E1221" s="208" t="s">
        <v>1746</v>
      </c>
      <c r="F1221" s="19" t="s">
        <v>399</v>
      </c>
      <c r="G1221" s="208"/>
      <c r="H1221" s="209">
        <f>H1222</f>
        <v>40000</v>
      </c>
      <c r="I1221" s="72"/>
      <c r="J1221" s="72"/>
      <c r="K1221" s="72"/>
    </row>
    <row r="1222" spans="1:11" s="128" customFormat="1" ht="47.25" x14ac:dyDescent="0.25">
      <c r="A1222" s="27">
        <v>70643611</v>
      </c>
      <c r="B1222" s="26" t="s">
        <v>1130</v>
      </c>
      <c r="C1222" s="12" t="s">
        <v>379</v>
      </c>
      <c r="D1222" s="6" t="s">
        <v>205</v>
      </c>
      <c r="E1222" s="208" t="s">
        <v>1746</v>
      </c>
      <c r="F1222" s="19" t="s">
        <v>152</v>
      </c>
      <c r="G1222" s="22"/>
      <c r="H1222" s="57">
        <f>H1223</f>
        <v>40000</v>
      </c>
      <c r="I1222" s="72"/>
      <c r="J1222" s="72"/>
      <c r="K1222" s="72"/>
    </row>
    <row r="1223" spans="1:11" s="128" customFormat="1" x14ac:dyDescent="0.25">
      <c r="A1223" s="27">
        <v>70643611001</v>
      </c>
      <c r="B1223" s="26" t="s">
        <v>1435</v>
      </c>
      <c r="C1223" s="12" t="s">
        <v>379</v>
      </c>
      <c r="D1223" s="6" t="s">
        <v>205</v>
      </c>
      <c r="E1223" s="208" t="s">
        <v>1746</v>
      </c>
      <c r="F1223" s="19" t="s">
        <v>152</v>
      </c>
      <c r="G1223" s="22" t="s">
        <v>1394</v>
      </c>
      <c r="H1223" s="57">
        <v>40000</v>
      </c>
      <c r="I1223" s="72"/>
      <c r="J1223" s="72"/>
      <c r="K1223" s="72"/>
    </row>
    <row r="1224" spans="1:11" s="128" customFormat="1" x14ac:dyDescent="0.25">
      <c r="A1224" s="27">
        <v>706520</v>
      </c>
      <c r="B1224" s="26" t="s">
        <v>279</v>
      </c>
      <c r="C1224" s="208" t="s">
        <v>379</v>
      </c>
      <c r="D1224" s="208" t="s">
        <v>205</v>
      </c>
      <c r="E1224" s="208" t="s">
        <v>1746</v>
      </c>
      <c r="F1224" s="210" t="s">
        <v>627</v>
      </c>
      <c r="G1224" s="208"/>
      <c r="H1224" s="209">
        <f>H1225</f>
        <v>21511</v>
      </c>
      <c r="I1224" s="72"/>
      <c r="J1224" s="72"/>
      <c r="K1224" s="72"/>
    </row>
    <row r="1225" spans="1:11" s="128" customFormat="1" ht="31.5" x14ac:dyDescent="0.25">
      <c r="A1225" s="27">
        <v>70652012</v>
      </c>
      <c r="B1225" s="26" t="s">
        <v>151</v>
      </c>
      <c r="C1225" s="208" t="s">
        <v>379</v>
      </c>
      <c r="D1225" s="208" t="s">
        <v>205</v>
      </c>
      <c r="E1225" s="208" t="s">
        <v>1746</v>
      </c>
      <c r="F1225" s="210" t="s">
        <v>483</v>
      </c>
      <c r="G1225" s="208"/>
      <c r="H1225" s="209">
        <f>H1226</f>
        <v>21511</v>
      </c>
      <c r="I1225" s="72"/>
      <c r="J1225" s="72"/>
      <c r="K1225" s="72"/>
    </row>
    <row r="1226" spans="1:11" s="128" customFormat="1" x14ac:dyDescent="0.25">
      <c r="A1226" s="27">
        <v>70652012001</v>
      </c>
      <c r="B1226" s="26" t="s">
        <v>1435</v>
      </c>
      <c r="C1226" s="208" t="s">
        <v>379</v>
      </c>
      <c r="D1226" s="208" t="s">
        <v>205</v>
      </c>
      <c r="E1226" s="208" t="s">
        <v>1746</v>
      </c>
      <c r="F1226" s="210" t="s">
        <v>483</v>
      </c>
      <c r="G1226" s="22" t="s">
        <v>1394</v>
      </c>
      <c r="H1226" s="57">
        <v>21511</v>
      </c>
      <c r="I1226" s="72"/>
      <c r="J1226" s="72"/>
      <c r="K1226" s="72"/>
    </row>
    <row r="1227" spans="1:11" s="28" customFormat="1" x14ac:dyDescent="0.25">
      <c r="A1227" s="29">
        <v>707</v>
      </c>
      <c r="B1227" s="38" t="s">
        <v>699</v>
      </c>
      <c r="C1227" s="12" t="s">
        <v>379</v>
      </c>
      <c r="D1227" s="12" t="s">
        <v>205</v>
      </c>
      <c r="E1227" s="12" t="s">
        <v>205</v>
      </c>
      <c r="F1227" s="39"/>
      <c r="G1227" s="39"/>
      <c r="H1227" s="53">
        <f>H1228</f>
        <v>285</v>
      </c>
    </row>
    <row r="1228" spans="1:11" s="28" customFormat="1" ht="31.5" x14ac:dyDescent="0.25">
      <c r="A1228" s="27">
        <v>707432</v>
      </c>
      <c r="B1228" s="38" t="s">
        <v>1678</v>
      </c>
      <c r="C1228" s="12" t="s">
        <v>379</v>
      </c>
      <c r="D1228" s="12" t="s">
        <v>205</v>
      </c>
      <c r="E1228" s="12" t="s">
        <v>205</v>
      </c>
      <c r="F1228" s="11" t="s">
        <v>965</v>
      </c>
      <c r="G1228" s="39"/>
      <c r="H1228" s="53">
        <f>H1229</f>
        <v>285</v>
      </c>
    </row>
    <row r="1229" spans="1:11" s="28" customFormat="1" x14ac:dyDescent="0.25">
      <c r="A1229" s="27">
        <v>70743202</v>
      </c>
      <c r="B1229" s="26" t="s">
        <v>541</v>
      </c>
      <c r="C1229" s="12" t="s">
        <v>379</v>
      </c>
      <c r="D1229" s="12" t="s">
        <v>205</v>
      </c>
      <c r="E1229" s="12" t="s">
        <v>205</v>
      </c>
      <c r="F1229" s="10" t="s">
        <v>262</v>
      </c>
      <c r="G1229" s="12"/>
      <c r="H1229" s="53">
        <f>H1230</f>
        <v>285</v>
      </c>
    </row>
    <row r="1230" spans="1:11" s="28" customFormat="1" x14ac:dyDescent="0.25">
      <c r="A1230" s="27">
        <v>70743202001</v>
      </c>
      <c r="B1230" s="26" t="s">
        <v>1435</v>
      </c>
      <c r="C1230" s="12" t="s">
        <v>379</v>
      </c>
      <c r="D1230" s="12" t="s">
        <v>205</v>
      </c>
      <c r="E1230" s="12" t="s">
        <v>205</v>
      </c>
      <c r="F1230" s="10" t="s">
        <v>262</v>
      </c>
      <c r="G1230" s="12" t="s">
        <v>1394</v>
      </c>
      <c r="H1230" s="53">
        <v>285</v>
      </c>
    </row>
    <row r="1231" spans="1:11" s="28" customFormat="1" x14ac:dyDescent="0.25">
      <c r="A1231" s="29">
        <v>708</v>
      </c>
      <c r="B1231" s="37" t="s">
        <v>203</v>
      </c>
      <c r="C1231" s="12" t="s">
        <v>379</v>
      </c>
      <c r="D1231" s="12" t="s">
        <v>205</v>
      </c>
      <c r="E1231" s="12" t="s">
        <v>290</v>
      </c>
      <c r="F1231" s="10"/>
      <c r="G1231" s="12"/>
      <c r="H1231" s="53">
        <f>H1232</f>
        <v>5625</v>
      </c>
    </row>
    <row r="1232" spans="1:11" s="28" customFormat="1" x14ac:dyDescent="0.25">
      <c r="A1232" s="27">
        <v>708081</v>
      </c>
      <c r="B1232" s="26" t="s">
        <v>631</v>
      </c>
      <c r="C1232" s="12" t="s">
        <v>379</v>
      </c>
      <c r="D1232" s="12" t="s">
        <v>205</v>
      </c>
      <c r="E1232" s="12" t="s">
        <v>290</v>
      </c>
      <c r="F1232" s="12" t="s">
        <v>1076</v>
      </c>
      <c r="G1232" s="12"/>
      <c r="H1232" s="53">
        <f>H1233</f>
        <v>5625</v>
      </c>
    </row>
    <row r="1233" spans="1:11" s="28" customFormat="1" x14ac:dyDescent="0.25">
      <c r="A1233" s="27">
        <v>70808199</v>
      </c>
      <c r="B1233" s="26" t="s">
        <v>624</v>
      </c>
      <c r="C1233" s="12" t="s">
        <v>379</v>
      </c>
      <c r="D1233" s="12" t="s">
        <v>205</v>
      </c>
      <c r="E1233" s="12" t="s">
        <v>290</v>
      </c>
      <c r="F1233" s="12" t="s">
        <v>1212</v>
      </c>
      <c r="G1233" s="12"/>
      <c r="H1233" s="53">
        <f>H1234</f>
        <v>5625</v>
      </c>
    </row>
    <row r="1234" spans="1:11" s="28" customFormat="1" x14ac:dyDescent="0.25">
      <c r="A1234" s="27">
        <v>70808199001</v>
      </c>
      <c r="B1234" s="26" t="s">
        <v>1435</v>
      </c>
      <c r="C1234" s="12" t="s">
        <v>379</v>
      </c>
      <c r="D1234" s="12" t="s">
        <v>205</v>
      </c>
      <c r="E1234" s="12" t="s">
        <v>290</v>
      </c>
      <c r="F1234" s="12" t="s">
        <v>1212</v>
      </c>
      <c r="G1234" s="12" t="s">
        <v>1394</v>
      </c>
      <c r="H1234" s="53">
        <v>5625</v>
      </c>
    </row>
    <row r="1235" spans="1:11" s="28" customFormat="1" x14ac:dyDescent="0.25">
      <c r="A1235" s="29">
        <v>709</v>
      </c>
      <c r="B1235" s="26" t="s">
        <v>1317</v>
      </c>
      <c r="C1235" s="12" t="s">
        <v>379</v>
      </c>
      <c r="D1235" s="12" t="s">
        <v>205</v>
      </c>
      <c r="E1235" s="12" t="s">
        <v>406</v>
      </c>
      <c r="F1235" s="57"/>
      <c r="G1235" s="10"/>
      <c r="H1235" s="53">
        <f>H1236+H1240+H1246+H1273+H1279+H1286</f>
        <v>1822737</v>
      </c>
      <c r="I1235" s="43"/>
      <c r="J1235" s="43"/>
    </row>
    <row r="1236" spans="1:11" s="28" customFormat="1" ht="47.25" x14ac:dyDescent="0.25">
      <c r="A1236" s="27">
        <v>709002</v>
      </c>
      <c r="B1236" s="26" t="s">
        <v>1657</v>
      </c>
      <c r="C1236" s="12" t="s">
        <v>379</v>
      </c>
      <c r="D1236" s="12" t="s">
        <v>205</v>
      </c>
      <c r="E1236" s="12" t="s">
        <v>406</v>
      </c>
      <c r="F1236" s="12" t="s">
        <v>200</v>
      </c>
      <c r="G1236" s="12"/>
      <c r="H1236" s="53">
        <f>H1237</f>
        <v>788194</v>
      </c>
    </row>
    <row r="1237" spans="1:11" s="28" customFormat="1" x14ac:dyDescent="0.25">
      <c r="A1237" s="27">
        <v>70900204</v>
      </c>
      <c r="B1237" s="26" t="s">
        <v>638</v>
      </c>
      <c r="C1237" s="12" t="s">
        <v>379</v>
      </c>
      <c r="D1237" s="12" t="s">
        <v>205</v>
      </c>
      <c r="E1237" s="12" t="s">
        <v>406</v>
      </c>
      <c r="F1237" s="12" t="s">
        <v>797</v>
      </c>
      <c r="G1237" s="12"/>
      <c r="H1237" s="53">
        <f>SUM(H1238:H1239)</f>
        <v>788194</v>
      </c>
    </row>
    <row r="1238" spans="1:11" s="131" customFormat="1" x14ac:dyDescent="0.25">
      <c r="A1238" s="188">
        <v>70900204012</v>
      </c>
      <c r="B1238" s="38" t="s">
        <v>1012</v>
      </c>
      <c r="C1238" s="25" t="s">
        <v>379</v>
      </c>
      <c r="D1238" s="25" t="s">
        <v>205</v>
      </c>
      <c r="E1238" s="25" t="s">
        <v>406</v>
      </c>
      <c r="F1238" s="25" t="s">
        <v>797</v>
      </c>
      <c r="G1238" s="25" t="s">
        <v>1224</v>
      </c>
      <c r="H1238" s="185">
        <v>787674</v>
      </c>
    </row>
    <row r="1239" spans="1:11" s="147" customFormat="1" ht="63" x14ac:dyDescent="0.25">
      <c r="A1239" s="188">
        <v>70900204902</v>
      </c>
      <c r="B1239" s="38" t="s">
        <v>1100</v>
      </c>
      <c r="C1239" s="25" t="s">
        <v>379</v>
      </c>
      <c r="D1239" s="25" t="s">
        <v>205</v>
      </c>
      <c r="E1239" s="25" t="s">
        <v>406</v>
      </c>
      <c r="F1239" s="25" t="s">
        <v>797</v>
      </c>
      <c r="G1239" s="25">
        <v>902</v>
      </c>
      <c r="H1239" s="53">
        <v>520</v>
      </c>
    </row>
    <row r="1240" spans="1:11" s="159" customFormat="1" ht="31.5" x14ac:dyDescent="0.25">
      <c r="A1240" s="188">
        <v>709435</v>
      </c>
      <c r="B1240" s="38" t="s">
        <v>1665</v>
      </c>
      <c r="C1240" s="25" t="s">
        <v>379</v>
      </c>
      <c r="D1240" s="25" t="s">
        <v>205</v>
      </c>
      <c r="E1240" s="25" t="s">
        <v>406</v>
      </c>
      <c r="F1240" s="11" t="s">
        <v>1537</v>
      </c>
      <c r="G1240" s="11"/>
      <c r="H1240" s="53">
        <f>H1241</f>
        <v>47569</v>
      </c>
    </row>
    <row r="1241" spans="1:11" s="159" customFormat="1" x14ac:dyDescent="0.25">
      <c r="A1241" s="188">
        <v>70943599</v>
      </c>
      <c r="B1241" s="38" t="s">
        <v>624</v>
      </c>
      <c r="C1241" s="25" t="s">
        <v>379</v>
      </c>
      <c r="D1241" s="25" t="s">
        <v>205</v>
      </c>
      <c r="E1241" s="25" t="s">
        <v>406</v>
      </c>
      <c r="F1241" s="11" t="s">
        <v>1536</v>
      </c>
      <c r="G1241" s="25"/>
      <c r="H1241" s="194">
        <f>H1242+H1244</f>
        <v>47569</v>
      </c>
      <c r="I1241" s="72"/>
      <c r="J1241" s="72"/>
      <c r="K1241" s="72"/>
    </row>
    <row r="1242" spans="1:11" s="166" customFormat="1" ht="34.5" customHeight="1" x14ac:dyDescent="0.25">
      <c r="A1242" s="49">
        <v>7094359902</v>
      </c>
      <c r="B1242" s="38" t="s">
        <v>1569</v>
      </c>
      <c r="C1242" s="25" t="s">
        <v>379</v>
      </c>
      <c r="D1242" s="25" t="s">
        <v>205</v>
      </c>
      <c r="E1242" s="25" t="s">
        <v>406</v>
      </c>
      <c r="F1242" s="11" t="s">
        <v>1414</v>
      </c>
      <c r="G1242" s="198"/>
      <c r="H1242" s="234">
        <f>H1243</f>
        <v>2090</v>
      </c>
      <c r="I1242" s="72"/>
      <c r="J1242" s="72"/>
      <c r="K1242" s="72"/>
    </row>
    <row r="1243" spans="1:11" s="166" customFormat="1" x14ac:dyDescent="0.25">
      <c r="A1243" s="49">
        <v>7094359902001</v>
      </c>
      <c r="B1243" s="38" t="s">
        <v>1435</v>
      </c>
      <c r="C1243" s="25" t="s">
        <v>379</v>
      </c>
      <c r="D1243" s="25" t="s">
        <v>205</v>
      </c>
      <c r="E1243" s="25" t="s">
        <v>406</v>
      </c>
      <c r="F1243" s="11" t="s">
        <v>1414</v>
      </c>
      <c r="G1243" s="198" t="s">
        <v>1394</v>
      </c>
      <c r="H1243" s="234">
        <v>2090</v>
      </c>
      <c r="I1243" s="72"/>
      <c r="J1243" s="72"/>
      <c r="K1243" s="72"/>
    </row>
    <row r="1244" spans="1:11" s="159" customFormat="1" ht="31.5" x14ac:dyDescent="0.25">
      <c r="A1244" s="188">
        <v>7094359999</v>
      </c>
      <c r="B1244" s="38" t="s">
        <v>1083</v>
      </c>
      <c r="C1244" s="25" t="s">
        <v>379</v>
      </c>
      <c r="D1244" s="25" t="s">
        <v>205</v>
      </c>
      <c r="E1244" s="25" t="s">
        <v>406</v>
      </c>
      <c r="F1244" s="11" t="s">
        <v>1207</v>
      </c>
      <c r="G1244" s="25"/>
      <c r="H1244" s="194">
        <f>H1245</f>
        <v>45479</v>
      </c>
      <c r="I1244" s="72"/>
      <c r="J1244" s="72"/>
      <c r="K1244" s="72"/>
    </row>
    <row r="1245" spans="1:11" s="159" customFormat="1" x14ac:dyDescent="0.25">
      <c r="A1245" s="188">
        <v>7094359999001</v>
      </c>
      <c r="B1245" s="38" t="s">
        <v>1435</v>
      </c>
      <c r="C1245" s="25" t="s">
        <v>379</v>
      </c>
      <c r="D1245" s="25" t="s">
        <v>205</v>
      </c>
      <c r="E1245" s="25" t="s">
        <v>406</v>
      </c>
      <c r="F1245" s="11" t="s">
        <v>1207</v>
      </c>
      <c r="G1245" s="198" t="s">
        <v>1394</v>
      </c>
      <c r="H1245" s="234">
        <f>7070+38409</f>
        <v>45479</v>
      </c>
      <c r="I1245" s="72"/>
      <c r="J1245" s="72"/>
      <c r="K1245" s="72"/>
    </row>
    <row r="1246" spans="1:11" s="159" customFormat="1" x14ac:dyDescent="0.25">
      <c r="A1246" s="188">
        <v>709436</v>
      </c>
      <c r="B1246" s="38" t="s">
        <v>625</v>
      </c>
      <c r="C1246" s="25" t="s">
        <v>379</v>
      </c>
      <c r="D1246" s="25" t="s">
        <v>205</v>
      </c>
      <c r="E1246" s="25" t="s">
        <v>406</v>
      </c>
      <c r="F1246" s="11" t="s">
        <v>399</v>
      </c>
      <c r="G1246" s="11"/>
      <c r="H1246" s="53">
        <f>H1247+H1252+H1254+H1256+H1271</f>
        <v>686124</v>
      </c>
    </row>
    <row r="1247" spans="1:11" s="159" customFormat="1" x14ac:dyDescent="0.25">
      <c r="A1247" s="188">
        <v>70943601</v>
      </c>
      <c r="B1247" s="38" t="s">
        <v>1131</v>
      </c>
      <c r="C1247" s="25" t="s">
        <v>379</v>
      </c>
      <c r="D1247" s="25" t="s">
        <v>205</v>
      </c>
      <c r="E1247" s="25" t="s">
        <v>406</v>
      </c>
      <c r="F1247" s="11" t="s">
        <v>1132</v>
      </c>
      <c r="G1247" s="25"/>
      <c r="H1247" s="194">
        <f>H1248+H1250</f>
        <v>21600</v>
      </c>
      <c r="I1247" s="72"/>
      <c r="J1247" s="72"/>
      <c r="K1247" s="72"/>
    </row>
    <row r="1248" spans="1:11" s="159" customFormat="1" ht="63" x14ac:dyDescent="0.25">
      <c r="A1248" s="188">
        <v>7094360101</v>
      </c>
      <c r="B1248" s="148" t="s">
        <v>873</v>
      </c>
      <c r="C1248" s="25" t="s">
        <v>379</v>
      </c>
      <c r="D1248" s="25" t="s">
        <v>205</v>
      </c>
      <c r="E1248" s="25" t="s">
        <v>406</v>
      </c>
      <c r="F1248" s="11" t="s">
        <v>1133</v>
      </c>
      <c r="G1248" s="25"/>
      <c r="H1248" s="194">
        <f>H1249</f>
        <v>16600</v>
      </c>
      <c r="I1248" s="72"/>
      <c r="J1248" s="72"/>
      <c r="K1248" s="72"/>
    </row>
    <row r="1249" spans="1:11" s="159" customFormat="1" x14ac:dyDescent="0.25">
      <c r="A1249" s="188">
        <v>7094360101001</v>
      </c>
      <c r="B1249" s="38" t="s">
        <v>1435</v>
      </c>
      <c r="C1249" s="25" t="s">
        <v>379</v>
      </c>
      <c r="D1249" s="25" t="s">
        <v>205</v>
      </c>
      <c r="E1249" s="25" t="s">
        <v>406</v>
      </c>
      <c r="F1249" s="11" t="s">
        <v>1133</v>
      </c>
      <c r="G1249" s="198" t="s">
        <v>1394</v>
      </c>
      <c r="H1249" s="194">
        <v>16600</v>
      </c>
      <c r="I1249" s="72"/>
      <c r="J1249" s="72"/>
      <c r="K1249" s="72"/>
    </row>
    <row r="1250" spans="1:11" s="159" customFormat="1" ht="26.25" customHeight="1" x14ac:dyDescent="0.25">
      <c r="A1250" s="188">
        <v>7094360102</v>
      </c>
      <c r="B1250" s="38" t="s">
        <v>1134</v>
      </c>
      <c r="C1250" s="25" t="s">
        <v>379</v>
      </c>
      <c r="D1250" s="25" t="s">
        <v>205</v>
      </c>
      <c r="E1250" s="25" t="s">
        <v>406</v>
      </c>
      <c r="F1250" s="11" t="s">
        <v>1135</v>
      </c>
      <c r="G1250" s="25"/>
      <c r="H1250" s="194">
        <f>H1251</f>
        <v>5000</v>
      </c>
      <c r="I1250" s="72"/>
      <c r="J1250" s="72"/>
      <c r="K1250" s="72"/>
    </row>
    <row r="1251" spans="1:11" s="159" customFormat="1" x14ac:dyDescent="0.25">
      <c r="A1251" s="188">
        <v>7094360102001</v>
      </c>
      <c r="B1251" s="38" t="s">
        <v>1435</v>
      </c>
      <c r="C1251" s="25" t="s">
        <v>379</v>
      </c>
      <c r="D1251" s="25" t="s">
        <v>205</v>
      </c>
      <c r="E1251" s="25" t="s">
        <v>406</v>
      </c>
      <c r="F1251" s="11" t="s">
        <v>1135</v>
      </c>
      <c r="G1251" s="198" t="s">
        <v>1394</v>
      </c>
      <c r="H1251" s="194">
        <f>21600-16600</f>
        <v>5000</v>
      </c>
      <c r="I1251" s="72"/>
      <c r="J1251" s="72"/>
      <c r="K1251" s="72"/>
    </row>
    <row r="1252" spans="1:11" s="159" customFormat="1" x14ac:dyDescent="0.25">
      <c r="A1252" s="188">
        <v>70943609</v>
      </c>
      <c r="B1252" s="38" t="s">
        <v>1136</v>
      </c>
      <c r="C1252" s="25" t="s">
        <v>379</v>
      </c>
      <c r="D1252" s="25" t="s">
        <v>205</v>
      </c>
      <c r="E1252" s="25" t="s">
        <v>406</v>
      </c>
      <c r="F1252" s="11" t="s">
        <v>1137</v>
      </c>
      <c r="G1252" s="25"/>
      <c r="H1252" s="194">
        <f>H1253</f>
        <v>55980</v>
      </c>
      <c r="I1252" s="72"/>
      <c r="J1252" s="72"/>
      <c r="K1252" s="72"/>
    </row>
    <row r="1253" spans="1:11" s="159" customFormat="1" x14ac:dyDescent="0.25">
      <c r="A1253" s="188">
        <v>70943609012</v>
      </c>
      <c r="B1253" s="38" t="s">
        <v>1012</v>
      </c>
      <c r="C1253" s="25" t="s">
        <v>379</v>
      </c>
      <c r="D1253" s="25" t="s">
        <v>205</v>
      </c>
      <c r="E1253" s="25" t="s">
        <v>406</v>
      </c>
      <c r="F1253" s="11" t="s">
        <v>1137</v>
      </c>
      <c r="G1253" s="198" t="s">
        <v>1224</v>
      </c>
      <c r="H1253" s="194">
        <v>55980</v>
      </c>
      <c r="I1253" s="72"/>
      <c r="J1253" s="72"/>
      <c r="K1253" s="72"/>
    </row>
    <row r="1254" spans="1:11" s="159" customFormat="1" x14ac:dyDescent="0.25">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25">
      <c r="A1255" s="188">
        <v>70943611012</v>
      </c>
      <c r="B1255" s="38" t="s">
        <v>1012</v>
      </c>
      <c r="C1255" s="25" t="s">
        <v>379</v>
      </c>
      <c r="D1255" s="25" t="s">
        <v>205</v>
      </c>
      <c r="E1255" s="25" t="s">
        <v>406</v>
      </c>
      <c r="F1255" s="11" t="s">
        <v>152</v>
      </c>
      <c r="G1255" s="198" t="s">
        <v>1224</v>
      </c>
      <c r="H1255" s="194">
        <v>35100</v>
      </c>
      <c r="I1255" s="72"/>
      <c r="J1255" s="72"/>
      <c r="K1255" s="72"/>
    </row>
    <row r="1256" spans="1:11" s="159" customFormat="1" ht="47.25" x14ac:dyDescent="0.25">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75" x14ac:dyDescent="0.25">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25">
      <c r="A1258" s="188">
        <v>7094369301013</v>
      </c>
      <c r="B1258" s="38" t="s">
        <v>1335</v>
      </c>
      <c r="C1258" s="25" t="s">
        <v>379</v>
      </c>
      <c r="D1258" s="25" t="s">
        <v>205</v>
      </c>
      <c r="E1258" s="25" t="s">
        <v>406</v>
      </c>
      <c r="F1258" s="11" t="s">
        <v>751</v>
      </c>
      <c r="G1258" s="198" t="s">
        <v>972</v>
      </c>
      <c r="H1258" s="194">
        <v>820</v>
      </c>
      <c r="I1258" s="72"/>
      <c r="J1258" s="72"/>
      <c r="K1258" s="72"/>
    </row>
    <row r="1259" spans="1:11" s="159" customFormat="1" ht="47.25" x14ac:dyDescent="0.25">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25">
      <c r="A1260" s="188">
        <v>7094369302013</v>
      </c>
      <c r="B1260" s="38" t="s">
        <v>1335</v>
      </c>
      <c r="C1260" s="25" t="s">
        <v>379</v>
      </c>
      <c r="D1260" s="25" t="s">
        <v>205</v>
      </c>
      <c r="E1260" s="25" t="s">
        <v>406</v>
      </c>
      <c r="F1260" s="11" t="s">
        <v>752</v>
      </c>
      <c r="G1260" s="198" t="s">
        <v>972</v>
      </c>
      <c r="H1260" s="194">
        <v>212000</v>
      </c>
      <c r="I1260" s="72"/>
      <c r="J1260" s="72"/>
      <c r="K1260" s="72"/>
    </row>
    <row r="1261" spans="1:11" s="159" customFormat="1" ht="107.25" customHeight="1" x14ac:dyDescent="0.25">
      <c r="A1261" s="188">
        <v>7094369303</v>
      </c>
      <c r="B1261" s="148" t="s">
        <v>954</v>
      </c>
      <c r="C1261" s="25" t="s">
        <v>379</v>
      </c>
      <c r="D1261" s="25" t="s">
        <v>205</v>
      </c>
      <c r="E1261" s="25" t="s">
        <v>406</v>
      </c>
      <c r="F1261" s="11" t="s">
        <v>753</v>
      </c>
      <c r="G1261" s="198"/>
      <c r="H1261" s="194">
        <f>H1262</f>
        <v>6720</v>
      </c>
      <c r="I1261" s="72"/>
      <c r="J1261" s="72"/>
      <c r="K1261" s="72"/>
    </row>
    <row r="1262" spans="1:11" s="159" customFormat="1" x14ac:dyDescent="0.25">
      <c r="A1262" s="188">
        <v>7094369303013</v>
      </c>
      <c r="B1262" s="38" t="s">
        <v>1335</v>
      </c>
      <c r="C1262" s="25" t="s">
        <v>379</v>
      </c>
      <c r="D1262" s="25" t="s">
        <v>205</v>
      </c>
      <c r="E1262" s="25" t="s">
        <v>406</v>
      </c>
      <c r="F1262" s="11" t="s">
        <v>753</v>
      </c>
      <c r="G1262" s="198" t="s">
        <v>972</v>
      </c>
      <c r="H1262" s="194">
        <v>6720</v>
      </c>
      <c r="I1262" s="72"/>
      <c r="J1262" s="72"/>
      <c r="K1262" s="72"/>
    </row>
    <row r="1263" spans="1:11" s="159" customFormat="1" ht="31.5" x14ac:dyDescent="0.25">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25">
      <c r="A1264" s="188">
        <v>7094369304013</v>
      </c>
      <c r="B1264" s="38" t="s">
        <v>1335</v>
      </c>
      <c r="C1264" s="25" t="s">
        <v>379</v>
      </c>
      <c r="D1264" s="25" t="s">
        <v>205</v>
      </c>
      <c r="E1264" s="25" t="s">
        <v>406</v>
      </c>
      <c r="F1264" s="11" t="s">
        <v>754</v>
      </c>
      <c r="G1264" s="198" t="s">
        <v>972</v>
      </c>
      <c r="H1264" s="194">
        <v>6000</v>
      </c>
      <c r="I1264" s="72"/>
      <c r="J1264" s="72"/>
      <c r="K1264" s="72"/>
    </row>
    <row r="1265" spans="1:11" s="159" customFormat="1" ht="47.25" x14ac:dyDescent="0.25">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25">
      <c r="A1266" s="188">
        <v>7094369305013</v>
      </c>
      <c r="B1266" s="38" t="s">
        <v>1335</v>
      </c>
      <c r="C1266" s="25" t="s">
        <v>379</v>
      </c>
      <c r="D1266" s="25" t="s">
        <v>205</v>
      </c>
      <c r="E1266" s="25" t="s">
        <v>406</v>
      </c>
      <c r="F1266" s="11" t="s">
        <v>755</v>
      </c>
      <c r="G1266" s="198" t="s">
        <v>972</v>
      </c>
      <c r="H1266" s="194">
        <v>24000</v>
      </c>
      <c r="I1266" s="72"/>
      <c r="J1266" s="72"/>
      <c r="K1266" s="72"/>
    </row>
    <row r="1267" spans="1:11" s="159" customFormat="1" ht="37.5" customHeight="1" x14ac:dyDescent="0.25">
      <c r="A1267" s="188">
        <v>7094369306</v>
      </c>
      <c r="B1267" s="148" t="s">
        <v>707</v>
      </c>
      <c r="C1267" s="25" t="s">
        <v>379</v>
      </c>
      <c r="D1267" s="25" t="s">
        <v>205</v>
      </c>
      <c r="E1267" s="25" t="s">
        <v>406</v>
      </c>
      <c r="F1267" s="11" t="s">
        <v>1193</v>
      </c>
      <c r="G1267" s="198"/>
      <c r="H1267" s="194">
        <f>H1268</f>
        <v>9000</v>
      </c>
      <c r="I1267" s="72"/>
      <c r="J1267" s="72"/>
      <c r="K1267" s="72"/>
    </row>
    <row r="1268" spans="1:11" s="159" customFormat="1" x14ac:dyDescent="0.25">
      <c r="A1268" s="188">
        <v>7094369306013</v>
      </c>
      <c r="B1268" s="38" t="s">
        <v>1335</v>
      </c>
      <c r="C1268" s="25" t="s">
        <v>379</v>
      </c>
      <c r="D1268" s="25" t="s">
        <v>205</v>
      </c>
      <c r="E1268" s="25" t="s">
        <v>406</v>
      </c>
      <c r="F1268" s="11" t="s">
        <v>1193</v>
      </c>
      <c r="G1268" s="198" t="s">
        <v>972</v>
      </c>
      <c r="H1268" s="194">
        <v>9000</v>
      </c>
      <c r="I1268" s="72"/>
      <c r="J1268" s="72"/>
      <c r="K1268" s="72"/>
    </row>
    <row r="1269" spans="1:11" s="159" customFormat="1" ht="48.75" customHeight="1" x14ac:dyDescent="0.25">
      <c r="A1269" s="188">
        <v>7094369307</v>
      </c>
      <c r="B1269" s="38" t="s">
        <v>1016</v>
      </c>
      <c r="C1269" s="25" t="s">
        <v>379</v>
      </c>
      <c r="D1269" s="25" t="s">
        <v>205</v>
      </c>
      <c r="E1269" s="25" t="s">
        <v>406</v>
      </c>
      <c r="F1269" s="11" t="s">
        <v>1017</v>
      </c>
      <c r="G1269" s="198"/>
      <c r="H1269" s="194">
        <f>H1270</f>
        <v>15905</v>
      </c>
      <c r="I1269" s="72"/>
      <c r="J1269" s="72"/>
      <c r="K1269" s="72"/>
    </row>
    <row r="1270" spans="1:11" s="159" customFormat="1" x14ac:dyDescent="0.25">
      <c r="A1270" s="188">
        <v>7094369307013</v>
      </c>
      <c r="B1270" s="38" t="s">
        <v>1335</v>
      </c>
      <c r="C1270" s="25" t="s">
        <v>379</v>
      </c>
      <c r="D1270" s="25" t="s">
        <v>205</v>
      </c>
      <c r="E1270" s="25" t="s">
        <v>406</v>
      </c>
      <c r="F1270" s="11" t="s">
        <v>1017</v>
      </c>
      <c r="G1270" s="198" t="s">
        <v>972</v>
      </c>
      <c r="H1270" s="194">
        <f>274445-820-212000-6720-6000-24000-9000</f>
        <v>15905</v>
      </c>
      <c r="I1270" s="72"/>
      <c r="J1270" s="72"/>
      <c r="K1270" s="72"/>
    </row>
    <row r="1271" spans="1:11" s="159" customFormat="1" ht="16.5" customHeight="1" x14ac:dyDescent="0.25">
      <c r="A1271" s="188">
        <v>70943694</v>
      </c>
      <c r="B1271" s="38" t="s">
        <v>964</v>
      </c>
      <c r="C1271" s="25" t="s">
        <v>379</v>
      </c>
      <c r="D1271" s="25" t="s">
        <v>205</v>
      </c>
      <c r="E1271" s="25" t="s">
        <v>406</v>
      </c>
      <c r="F1271" s="11" t="s">
        <v>920</v>
      </c>
      <c r="G1271" s="25"/>
      <c r="H1271" s="194">
        <f>H1272</f>
        <v>298999</v>
      </c>
      <c r="I1271" s="72"/>
      <c r="J1271" s="72"/>
      <c r="K1271" s="72"/>
    </row>
    <row r="1272" spans="1:11" s="159" customFormat="1" ht="17.25" customHeight="1" x14ac:dyDescent="0.25">
      <c r="A1272" s="188">
        <v>70943694013</v>
      </c>
      <c r="B1272" s="38" t="s">
        <v>1335</v>
      </c>
      <c r="C1272" s="25" t="s">
        <v>379</v>
      </c>
      <c r="D1272" s="25" t="s">
        <v>205</v>
      </c>
      <c r="E1272" s="25" t="s">
        <v>406</v>
      </c>
      <c r="F1272" s="11" t="s">
        <v>920</v>
      </c>
      <c r="G1272" s="198" t="s">
        <v>972</v>
      </c>
      <c r="H1272" s="194">
        <f>348999-50000</f>
        <v>298999</v>
      </c>
      <c r="I1272" s="72"/>
      <c r="J1272" s="72"/>
      <c r="K1272" s="72"/>
    </row>
    <row r="1273" spans="1:11" s="28" customFormat="1" x14ac:dyDescent="0.25">
      <c r="A1273" s="27">
        <v>709522</v>
      </c>
      <c r="B1273" s="26" t="s">
        <v>153</v>
      </c>
      <c r="C1273" s="12" t="s">
        <v>379</v>
      </c>
      <c r="D1273" s="12" t="s">
        <v>205</v>
      </c>
      <c r="E1273" s="12" t="s">
        <v>406</v>
      </c>
      <c r="F1273" s="10" t="s">
        <v>611</v>
      </c>
      <c r="G1273" s="10"/>
      <c r="H1273" s="53">
        <f>H1274+H1276</f>
        <v>220300</v>
      </c>
    </row>
    <row r="1274" spans="1:11" s="28" customFormat="1" ht="31.5" x14ac:dyDescent="0.25">
      <c r="A1274" s="27">
        <v>70952206</v>
      </c>
      <c r="B1274" s="26" t="s">
        <v>191</v>
      </c>
      <c r="C1274" s="12" t="s">
        <v>379</v>
      </c>
      <c r="D1274" s="12" t="s">
        <v>205</v>
      </c>
      <c r="E1274" s="12" t="s">
        <v>406</v>
      </c>
      <c r="F1274" s="10" t="s">
        <v>854</v>
      </c>
      <c r="G1274" s="10"/>
      <c r="H1274" s="53">
        <f>H1275</f>
        <v>205000</v>
      </c>
    </row>
    <row r="1275" spans="1:11" s="28" customFormat="1" ht="15.75" customHeight="1" x14ac:dyDescent="0.25">
      <c r="A1275" s="27">
        <v>70952206012</v>
      </c>
      <c r="B1275" s="26" t="s">
        <v>1012</v>
      </c>
      <c r="C1275" s="12" t="s">
        <v>379</v>
      </c>
      <c r="D1275" s="12" t="s">
        <v>205</v>
      </c>
      <c r="E1275" s="12" t="s">
        <v>406</v>
      </c>
      <c r="F1275" s="10" t="s">
        <v>854</v>
      </c>
      <c r="G1275" s="12" t="s">
        <v>1224</v>
      </c>
      <c r="H1275" s="53">
        <v>205000</v>
      </c>
    </row>
    <row r="1276" spans="1:11" s="28" customFormat="1" ht="49.5" customHeight="1" x14ac:dyDescent="0.25">
      <c r="A1276" s="27">
        <v>70952210</v>
      </c>
      <c r="B1276" s="26" t="s">
        <v>285</v>
      </c>
      <c r="C1276" s="12" t="s">
        <v>379</v>
      </c>
      <c r="D1276" s="6" t="s">
        <v>205</v>
      </c>
      <c r="E1276" s="6" t="s">
        <v>406</v>
      </c>
      <c r="F1276" s="10" t="s">
        <v>1483</v>
      </c>
      <c r="G1276" s="6"/>
      <c r="H1276" s="53">
        <f>H1277</f>
        <v>15300</v>
      </c>
    </row>
    <row r="1277" spans="1:11" s="28" customFormat="1" ht="33.75" customHeight="1" x14ac:dyDescent="0.25">
      <c r="A1277" s="27">
        <v>7095221001</v>
      </c>
      <c r="B1277" s="26" t="s">
        <v>370</v>
      </c>
      <c r="C1277" s="12" t="s">
        <v>379</v>
      </c>
      <c r="D1277" s="6" t="s">
        <v>205</v>
      </c>
      <c r="E1277" s="6" t="s">
        <v>406</v>
      </c>
      <c r="F1277" s="10" t="s">
        <v>1484</v>
      </c>
      <c r="G1277" s="6"/>
      <c r="H1277" s="53">
        <f>H1278</f>
        <v>15300</v>
      </c>
    </row>
    <row r="1278" spans="1:11" s="28" customFormat="1" ht="18.75" customHeight="1" x14ac:dyDescent="0.25">
      <c r="A1278" s="27">
        <v>7095221001012</v>
      </c>
      <c r="B1278" s="26" t="s">
        <v>1012</v>
      </c>
      <c r="C1278" s="12" t="s">
        <v>379</v>
      </c>
      <c r="D1278" s="6" t="s">
        <v>205</v>
      </c>
      <c r="E1278" s="6" t="s">
        <v>406</v>
      </c>
      <c r="F1278" s="10" t="s">
        <v>1484</v>
      </c>
      <c r="G1278" s="12" t="s">
        <v>1224</v>
      </c>
      <c r="H1278" s="53">
        <v>15300</v>
      </c>
    </row>
    <row r="1279" spans="1:11" s="128" customFormat="1" x14ac:dyDescent="0.25">
      <c r="A1279" s="27">
        <v>709803</v>
      </c>
      <c r="B1279" s="26" t="s">
        <v>1225</v>
      </c>
      <c r="C1279" s="12" t="s">
        <v>379</v>
      </c>
      <c r="D1279" s="25" t="s">
        <v>205</v>
      </c>
      <c r="E1279" s="25" t="s">
        <v>406</v>
      </c>
      <c r="F1279" s="10" t="s">
        <v>1045</v>
      </c>
      <c r="G1279" s="10"/>
      <c r="H1279" s="53">
        <f>H1280+H1282+H1284</f>
        <v>80300</v>
      </c>
    </row>
    <row r="1280" spans="1:11" s="118" customFormat="1" ht="31.5" x14ac:dyDescent="0.25">
      <c r="A1280" s="27">
        <v>7098030001</v>
      </c>
      <c r="B1280" s="26" t="s">
        <v>546</v>
      </c>
      <c r="C1280" s="12" t="s">
        <v>379</v>
      </c>
      <c r="D1280" s="12" t="s">
        <v>205</v>
      </c>
      <c r="E1280" s="12" t="s">
        <v>406</v>
      </c>
      <c r="F1280" s="10" t="s">
        <v>1310</v>
      </c>
      <c r="G1280" s="4"/>
      <c r="H1280" s="185">
        <f>H1281</f>
        <v>73000</v>
      </c>
    </row>
    <row r="1281" spans="1:11" s="118" customFormat="1" x14ac:dyDescent="0.25">
      <c r="A1281" s="27">
        <v>7098030001013</v>
      </c>
      <c r="B1281" s="26" t="s">
        <v>1335</v>
      </c>
      <c r="C1281" s="12" t="s">
        <v>379</v>
      </c>
      <c r="D1281" s="6" t="s">
        <v>205</v>
      </c>
      <c r="E1281" s="6" t="s">
        <v>406</v>
      </c>
      <c r="F1281" s="10" t="s">
        <v>1310</v>
      </c>
      <c r="G1281" s="12" t="s">
        <v>972</v>
      </c>
      <c r="H1281" s="185">
        <v>73000</v>
      </c>
    </row>
    <row r="1282" spans="1:11" s="118" customFormat="1" ht="47.25" x14ac:dyDescent="0.25">
      <c r="A1282" s="27">
        <v>7098030002</v>
      </c>
      <c r="B1282" s="26" t="s">
        <v>1415</v>
      </c>
      <c r="C1282" s="12" t="s">
        <v>379</v>
      </c>
      <c r="D1282" s="12" t="s">
        <v>205</v>
      </c>
      <c r="E1282" s="12" t="s">
        <v>406</v>
      </c>
      <c r="F1282" s="10" t="s">
        <v>1311</v>
      </c>
      <c r="G1282" s="4"/>
      <c r="H1282" s="185">
        <f>H1283</f>
        <v>2800</v>
      </c>
    </row>
    <row r="1283" spans="1:11" s="118" customFormat="1" x14ac:dyDescent="0.25">
      <c r="A1283" s="27">
        <v>7098030002013</v>
      </c>
      <c r="B1283" s="26" t="s">
        <v>1335</v>
      </c>
      <c r="C1283" s="12" t="s">
        <v>379</v>
      </c>
      <c r="D1283" s="6" t="s">
        <v>205</v>
      </c>
      <c r="E1283" s="6" t="s">
        <v>406</v>
      </c>
      <c r="F1283" s="10" t="s">
        <v>1311</v>
      </c>
      <c r="G1283" s="12" t="s">
        <v>972</v>
      </c>
      <c r="H1283" s="185">
        <v>2800</v>
      </c>
    </row>
    <row r="1284" spans="1:11" s="118" customFormat="1" ht="32.25" customHeight="1" x14ac:dyDescent="0.25">
      <c r="A1284" s="27">
        <v>7098030003</v>
      </c>
      <c r="B1284" s="26" t="s">
        <v>915</v>
      </c>
      <c r="C1284" s="12" t="s">
        <v>379</v>
      </c>
      <c r="D1284" s="12" t="s">
        <v>205</v>
      </c>
      <c r="E1284" s="12" t="s">
        <v>406</v>
      </c>
      <c r="F1284" s="10" t="s">
        <v>916</v>
      </c>
      <c r="G1284" s="4"/>
      <c r="H1284" s="185">
        <f>H1285</f>
        <v>4500</v>
      </c>
    </row>
    <row r="1285" spans="1:11" s="118" customFormat="1" x14ac:dyDescent="0.25">
      <c r="A1285" s="27">
        <v>7098030003013</v>
      </c>
      <c r="B1285" s="26" t="s">
        <v>1335</v>
      </c>
      <c r="C1285" s="12" t="s">
        <v>379</v>
      </c>
      <c r="D1285" s="6" t="s">
        <v>205</v>
      </c>
      <c r="E1285" s="6" t="s">
        <v>406</v>
      </c>
      <c r="F1285" s="10" t="s">
        <v>916</v>
      </c>
      <c r="G1285" s="12" t="s">
        <v>972</v>
      </c>
      <c r="H1285" s="185">
        <v>4500</v>
      </c>
    </row>
    <row r="1286" spans="1:11" s="28" customFormat="1" x14ac:dyDescent="0.25">
      <c r="A1286" s="27">
        <v>709808</v>
      </c>
      <c r="B1286" s="26" t="s">
        <v>1457</v>
      </c>
      <c r="C1286" s="12" t="s">
        <v>379</v>
      </c>
      <c r="D1286" s="25" t="s">
        <v>205</v>
      </c>
      <c r="E1286" s="25" t="s">
        <v>406</v>
      </c>
      <c r="F1286" s="10" t="s">
        <v>1376</v>
      </c>
      <c r="G1286" s="12"/>
      <c r="H1286" s="53">
        <f>H1287</f>
        <v>250</v>
      </c>
    </row>
    <row r="1287" spans="1:11" s="28" customFormat="1" x14ac:dyDescent="0.25">
      <c r="A1287" s="27">
        <v>709808013</v>
      </c>
      <c r="B1287" s="26" t="s">
        <v>1335</v>
      </c>
      <c r="C1287" s="12" t="s">
        <v>379</v>
      </c>
      <c r="D1287" s="25" t="s">
        <v>205</v>
      </c>
      <c r="E1287" s="25" t="s">
        <v>406</v>
      </c>
      <c r="F1287" s="10" t="s">
        <v>1376</v>
      </c>
      <c r="G1287" s="12" t="s">
        <v>972</v>
      </c>
      <c r="H1287" s="53">
        <v>250</v>
      </c>
    </row>
    <row r="1288" spans="1:11" s="28" customFormat="1" ht="20.25" customHeight="1" x14ac:dyDescent="0.25">
      <c r="A1288" s="27">
        <v>10</v>
      </c>
      <c r="B1288" s="26" t="s">
        <v>1745</v>
      </c>
      <c r="C1288" s="12" t="s">
        <v>379</v>
      </c>
      <c r="D1288" s="25">
        <v>10</v>
      </c>
      <c r="E1288" s="25"/>
      <c r="F1288" s="10"/>
      <c r="G1288" s="12"/>
      <c r="H1288" s="53">
        <f>H1289</f>
        <v>2807762</v>
      </c>
    </row>
    <row r="1289" spans="1:11" s="28" customFormat="1" ht="17.25" customHeight="1" x14ac:dyDescent="0.25">
      <c r="A1289" s="27">
        <v>1004</v>
      </c>
      <c r="B1289" s="15" t="s">
        <v>605</v>
      </c>
      <c r="C1289" s="12" t="s">
        <v>379</v>
      </c>
      <c r="D1289" s="25">
        <v>10</v>
      </c>
      <c r="E1289" s="25" t="s">
        <v>1181</v>
      </c>
      <c r="F1289" s="10"/>
      <c r="G1289" s="12"/>
      <c r="H1289" s="53">
        <f>H1290+H1297+H1308</f>
        <v>2807762</v>
      </c>
    </row>
    <row r="1290" spans="1:11" s="128" customFormat="1" ht="20.25" customHeight="1" x14ac:dyDescent="0.25">
      <c r="A1290" s="27">
        <v>1004505</v>
      </c>
      <c r="B1290" s="65" t="s">
        <v>278</v>
      </c>
      <c r="C1290" s="12" t="s">
        <v>379</v>
      </c>
      <c r="D1290" s="25">
        <v>10</v>
      </c>
      <c r="E1290" s="25" t="s">
        <v>1181</v>
      </c>
      <c r="F1290" s="10" t="s">
        <v>1097</v>
      </c>
      <c r="G1290" s="12"/>
      <c r="H1290" s="57">
        <f>H1291+H1293+H1295</f>
        <v>478340</v>
      </c>
      <c r="I1290" s="72"/>
      <c r="J1290" s="72"/>
      <c r="K1290" s="72"/>
    </row>
    <row r="1291" spans="1:11" s="128" customFormat="1" ht="33.75" customHeight="1" x14ac:dyDescent="0.25">
      <c r="A1291" s="27">
        <v>10045050502</v>
      </c>
      <c r="B1291" s="169" t="s">
        <v>428</v>
      </c>
      <c r="C1291" s="12" t="s">
        <v>379</v>
      </c>
      <c r="D1291" s="25">
        <v>10</v>
      </c>
      <c r="E1291" s="25" t="s">
        <v>1181</v>
      </c>
      <c r="F1291" s="10" t="s">
        <v>708</v>
      </c>
      <c r="G1291" s="12"/>
      <c r="H1291" s="57">
        <f>H1292</f>
        <v>28096</v>
      </c>
      <c r="I1291" s="72"/>
      <c r="J1291" s="72"/>
      <c r="K1291" s="72"/>
    </row>
    <row r="1292" spans="1:11" s="128" customFormat="1" ht="15.75" customHeight="1" x14ac:dyDescent="0.25">
      <c r="A1292" s="27">
        <v>10045050502005</v>
      </c>
      <c r="B1292" s="65" t="s">
        <v>946</v>
      </c>
      <c r="C1292" s="12" t="s">
        <v>379</v>
      </c>
      <c r="D1292" s="25">
        <v>10</v>
      </c>
      <c r="E1292" s="25" t="s">
        <v>1181</v>
      </c>
      <c r="F1292" s="10" t="s">
        <v>708</v>
      </c>
      <c r="G1292" s="22" t="s">
        <v>1326</v>
      </c>
      <c r="H1292" s="57">
        <v>28096</v>
      </c>
      <c r="I1292" s="72"/>
      <c r="J1292" s="72"/>
      <c r="K1292" s="72"/>
    </row>
    <row r="1293" spans="1:11" s="128" customFormat="1" ht="47.25" customHeight="1" x14ac:dyDescent="0.25">
      <c r="A1293" s="27">
        <v>10045050503</v>
      </c>
      <c r="B1293" s="169" t="s">
        <v>918</v>
      </c>
      <c r="C1293" s="12" t="s">
        <v>379</v>
      </c>
      <c r="D1293" s="25">
        <v>10</v>
      </c>
      <c r="E1293" s="25" t="s">
        <v>1181</v>
      </c>
      <c r="F1293" s="10" t="s">
        <v>1197</v>
      </c>
      <c r="G1293" s="22"/>
      <c r="H1293" s="57">
        <f>H1294</f>
        <v>15940</v>
      </c>
      <c r="I1293" s="72"/>
      <c r="J1293" s="72"/>
      <c r="K1293" s="72"/>
    </row>
    <row r="1294" spans="1:11" s="128" customFormat="1" ht="15.75" customHeight="1" x14ac:dyDescent="0.25">
      <c r="A1294" s="27">
        <v>10045050503005</v>
      </c>
      <c r="B1294" s="65" t="s">
        <v>946</v>
      </c>
      <c r="C1294" s="12" t="s">
        <v>379</v>
      </c>
      <c r="D1294" s="25">
        <v>10</v>
      </c>
      <c r="E1294" s="25" t="s">
        <v>1181</v>
      </c>
      <c r="F1294" s="10" t="s">
        <v>1197</v>
      </c>
      <c r="G1294" s="22" t="s">
        <v>1326</v>
      </c>
      <c r="H1294" s="57">
        <v>15940</v>
      </c>
      <c r="I1294" s="72"/>
      <c r="J1294" s="72"/>
      <c r="K1294" s="72"/>
    </row>
    <row r="1295" spans="1:11" s="168" customFormat="1" ht="30" customHeight="1" x14ac:dyDescent="0.25">
      <c r="A1295" s="27">
        <v>10045050504</v>
      </c>
      <c r="B1295" s="169" t="s">
        <v>1538</v>
      </c>
      <c r="C1295" s="12" t="s">
        <v>379</v>
      </c>
      <c r="D1295" s="25">
        <v>10</v>
      </c>
      <c r="E1295" s="25" t="s">
        <v>1181</v>
      </c>
      <c r="F1295" s="10" t="s">
        <v>1198</v>
      </c>
      <c r="G1295" s="22"/>
      <c r="H1295" s="57">
        <f>H1296</f>
        <v>434304</v>
      </c>
      <c r="I1295" s="72"/>
      <c r="J1295" s="72"/>
      <c r="K1295" s="72"/>
    </row>
    <row r="1296" spans="1:11" s="168" customFormat="1" x14ac:dyDescent="0.25">
      <c r="A1296" s="27">
        <v>10045050504005</v>
      </c>
      <c r="B1296" s="65" t="s">
        <v>946</v>
      </c>
      <c r="C1296" s="12" t="s">
        <v>379</v>
      </c>
      <c r="D1296" s="25">
        <v>10</v>
      </c>
      <c r="E1296" s="25" t="s">
        <v>1181</v>
      </c>
      <c r="F1296" s="10" t="s">
        <v>1198</v>
      </c>
      <c r="G1296" s="22" t="s">
        <v>1326</v>
      </c>
      <c r="H1296" s="57">
        <v>434304</v>
      </c>
      <c r="J1296" s="72"/>
      <c r="K1296" s="72"/>
    </row>
    <row r="1297" spans="1:11" s="168" customFormat="1" ht="31.5" x14ac:dyDescent="0.25">
      <c r="A1297" s="27">
        <v>1004511</v>
      </c>
      <c r="B1297" s="65" t="s">
        <v>1375</v>
      </c>
      <c r="C1297" s="12" t="s">
        <v>379</v>
      </c>
      <c r="D1297" s="25">
        <v>10</v>
      </c>
      <c r="E1297" s="25" t="s">
        <v>1181</v>
      </c>
      <c r="F1297" s="10" t="s">
        <v>1078</v>
      </c>
      <c r="G1297" s="22"/>
      <c r="H1297" s="57">
        <f>H1298+H1300+H1302+H1304+H1306</f>
        <v>2178407</v>
      </c>
      <c r="J1297" s="72"/>
      <c r="K1297" s="72"/>
    </row>
    <row r="1298" spans="1:11" s="168" customFormat="1" ht="31.5" x14ac:dyDescent="0.25">
      <c r="A1298" s="27">
        <v>100451101</v>
      </c>
      <c r="B1298" s="170" t="s">
        <v>862</v>
      </c>
      <c r="C1298" s="12" t="s">
        <v>379</v>
      </c>
      <c r="D1298" s="25">
        <v>10</v>
      </c>
      <c r="E1298" s="25" t="s">
        <v>1181</v>
      </c>
      <c r="F1298" s="10" t="s">
        <v>709</v>
      </c>
      <c r="G1298" s="22"/>
      <c r="H1298" s="57">
        <f>H1299</f>
        <v>1258792</v>
      </c>
      <c r="J1298" s="72"/>
      <c r="K1298" s="72"/>
    </row>
    <row r="1299" spans="1:11" s="168" customFormat="1" x14ac:dyDescent="0.25">
      <c r="A1299" s="27">
        <v>100451101005</v>
      </c>
      <c r="B1299" s="65" t="s">
        <v>946</v>
      </c>
      <c r="C1299" s="12" t="s">
        <v>379</v>
      </c>
      <c r="D1299" s="25">
        <v>10</v>
      </c>
      <c r="E1299" s="25" t="s">
        <v>1181</v>
      </c>
      <c r="F1299" s="10" t="s">
        <v>709</v>
      </c>
      <c r="G1299" s="22" t="s">
        <v>1326</v>
      </c>
      <c r="H1299" s="57">
        <f>1150179+108613</f>
        <v>1258792</v>
      </c>
      <c r="J1299" s="72"/>
      <c r="K1299" s="72"/>
    </row>
    <row r="1300" spans="1:11" s="168" customFormat="1" x14ac:dyDescent="0.25">
      <c r="A1300" s="27">
        <v>100451104</v>
      </c>
      <c r="B1300" s="169" t="s">
        <v>476</v>
      </c>
      <c r="C1300" s="12" t="s">
        <v>379</v>
      </c>
      <c r="D1300" s="25">
        <v>10</v>
      </c>
      <c r="E1300" s="25" t="s">
        <v>1181</v>
      </c>
      <c r="F1300" s="10" t="s">
        <v>710</v>
      </c>
      <c r="G1300" s="22"/>
      <c r="H1300" s="57">
        <f>H1301</f>
        <v>218698</v>
      </c>
      <c r="J1300" s="72"/>
      <c r="K1300" s="72"/>
    </row>
    <row r="1301" spans="1:11" s="168" customFormat="1" x14ac:dyDescent="0.25">
      <c r="A1301" s="27">
        <v>100451104005</v>
      </c>
      <c r="B1301" s="65" t="s">
        <v>946</v>
      </c>
      <c r="C1301" s="12" t="s">
        <v>379</v>
      </c>
      <c r="D1301" s="25">
        <v>10</v>
      </c>
      <c r="E1301" s="25" t="s">
        <v>1181</v>
      </c>
      <c r="F1301" s="10" t="s">
        <v>710</v>
      </c>
      <c r="G1301" s="22" t="s">
        <v>1326</v>
      </c>
      <c r="H1301" s="57">
        <f>199907+18791</f>
        <v>218698</v>
      </c>
      <c r="J1301" s="72"/>
      <c r="K1301" s="72"/>
    </row>
    <row r="1302" spans="1:11" s="168" customFormat="1" ht="31.5" x14ac:dyDescent="0.25">
      <c r="A1302" s="27">
        <v>100451105</v>
      </c>
      <c r="B1302" s="170" t="s">
        <v>477</v>
      </c>
      <c r="C1302" s="12" t="s">
        <v>379</v>
      </c>
      <c r="D1302" s="25">
        <v>10</v>
      </c>
      <c r="E1302" s="25" t="s">
        <v>1181</v>
      </c>
      <c r="F1302" s="10" t="s">
        <v>711</v>
      </c>
      <c r="G1302" s="22"/>
      <c r="H1302" s="57">
        <f>H1303</f>
        <v>465435</v>
      </c>
      <c r="J1302" s="72"/>
      <c r="K1302" s="72"/>
    </row>
    <row r="1303" spans="1:11" s="168" customFormat="1" x14ac:dyDescent="0.25">
      <c r="A1303" s="27">
        <v>100451105005</v>
      </c>
      <c r="B1303" s="65" t="s">
        <v>946</v>
      </c>
      <c r="C1303" s="12" t="s">
        <v>379</v>
      </c>
      <c r="D1303" s="25">
        <v>10</v>
      </c>
      <c r="E1303" s="25" t="s">
        <v>1181</v>
      </c>
      <c r="F1303" s="10" t="s">
        <v>711</v>
      </c>
      <c r="G1303" s="22" t="s">
        <v>1326</v>
      </c>
      <c r="H1303" s="57">
        <v>465435</v>
      </c>
      <c r="J1303" s="72"/>
      <c r="K1303" s="72"/>
    </row>
    <row r="1304" spans="1:11" s="168" customFormat="1" x14ac:dyDescent="0.25">
      <c r="A1304" s="27">
        <v>100451106</v>
      </c>
      <c r="B1304" s="169" t="s">
        <v>394</v>
      </c>
      <c r="C1304" s="208" t="s">
        <v>379</v>
      </c>
      <c r="D1304" s="205">
        <v>10</v>
      </c>
      <c r="E1304" s="205" t="s">
        <v>1181</v>
      </c>
      <c r="F1304" s="210" t="s">
        <v>1517</v>
      </c>
      <c r="G1304" s="213"/>
      <c r="H1304" s="57">
        <f>H1305</f>
        <v>170324</v>
      </c>
      <c r="J1304" s="72"/>
      <c r="K1304" s="72"/>
    </row>
    <row r="1305" spans="1:11" s="168" customFormat="1" x14ac:dyDescent="0.25">
      <c r="A1305" s="27">
        <v>100451106005</v>
      </c>
      <c r="B1305" s="65" t="s">
        <v>946</v>
      </c>
      <c r="C1305" s="208" t="s">
        <v>379</v>
      </c>
      <c r="D1305" s="205">
        <v>10</v>
      </c>
      <c r="E1305" s="205" t="s">
        <v>1181</v>
      </c>
      <c r="F1305" s="210" t="s">
        <v>1517</v>
      </c>
      <c r="G1305" s="213" t="s">
        <v>1326</v>
      </c>
      <c r="H1305" s="57">
        <v>170324</v>
      </c>
      <c r="J1305" s="72"/>
      <c r="K1305" s="72"/>
    </row>
    <row r="1306" spans="1:11" s="168" customFormat="1" ht="31.5" x14ac:dyDescent="0.25">
      <c r="A1306" s="27">
        <v>100451107</v>
      </c>
      <c r="B1306" s="169" t="s">
        <v>811</v>
      </c>
      <c r="C1306" s="208" t="s">
        <v>379</v>
      </c>
      <c r="D1306" s="205">
        <v>10</v>
      </c>
      <c r="E1306" s="205" t="s">
        <v>1181</v>
      </c>
      <c r="F1306" s="210" t="s">
        <v>1518</v>
      </c>
      <c r="G1306" s="213"/>
      <c r="H1306" s="57">
        <f>H1307</f>
        <v>65158</v>
      </c>
      <c r="J1306" s="72"/>
      <c r="K1306" s="72"/>
    </row>
    <row r="1307" spans="1:11" s="168" customFormat="1" x14ac:dyDescent="0.25">
      <c r="A1307" s="27">
        <v>100451107005</v>
      </c>
      <c r="B1307" s="65" t="s">
        <v>946</v>
      </c>
      <c r="C1307" s="208" t="s">
        <v>379</v>
      </c>
      <c r="D1307" s="205">
        <v>10</v>
      </c>
      <c r="E1307" s="205" t="s">
        <v>1181</v>
      </c>
      <c r="F1307" s="210" t="s">
        <v>1518</v>
      </c>
      <c r="G1307" s="213" t="s">
        <v>1326</v>
      </c>
      <c r="H1307" s="57">
        <v>65158</v>
      </c>
      <c r="J1307" s="72"/>
      <c r="K1307" s="72"/>
    </row>
    <row r="1308" spans="1:11" s="168" customFormat="1" x14ac:dyDescent="0.25">
      <c r="A1308" s="27">
        <v>1004520</v>
      </c>
      <c r="B1308" s="65" t="s">
        <v>279</v>
      </c>
      <c r="C1308" s="12" t="s">
        <v>379</v>
      </c>
      <c r="D1308" s="25">
        <v>10</v>
      </c>
      <c r="E1308" s="25" t="s">
        <v>1181</v>
      </c>
      <c r="F1308" s="10" t="s">
        <v>627</v>
      </c>
      <c r="G1308" s="22"/>
      <c r="H1308" s="57">
        <f>H1309</f>
        <v>151015</v>
      </c>
      <c r="I1308" s="133"/>
      <c r="J1308" s="72"/>
      <c r="K1308" s="72"/>
    </row>
    <row r="1309" spans="1:11" s="168" customFormat="1" ht="31.5" x14ac:dyDescent="0.25">
      <c r="A1309" s="27">
        <v>100452013</v>
      </c>
      <c r="B1309" s="169" t="s">
        <v>0</v>
      </c>
      <c r="C1309" s="12" t="s">
        <v>379</v>
      </c>
      <c r="D1309" s="25">
        <v>10</v>
      </c>
      <c r="E1309" s="25" t="s">
        <v>1181</v>
      </c>
      <c r="F1309" s="10" t="s">
        <v>1519</v>
      </c>
      <c r="G1309" s="22"/>
      <c r="H1309" s="57">
        <f>H1310</f>
        <v>151015</v>
      </c>
      <c r="I1309" s="133"/>
      <c r="J1309" s="72"/>
      <c r="K1309" s="72"/>
    </row>
    <row r="1310" spans="1:11" s="168" customFormat="1" x14ac:dyDescent="0.25">
      <c r="A1310" s="27">
        <v>10045201310</v>
      </c>
      <c r="B1310" s="65" t="s">
        <v>267</v>
      </c>
      <c r="C1310" s="12" t="s">
        <v>379</v>
      </c>
      <c r="D1310" s="25">
        <v>10</v>
      </c>
      <c r="E1310" s="25" t="s">
        <v>1181</v>
      </c>
      <c r="F1310" s="10" t="s">
        <v>268</v>
      </c>
      <c r="G1310" s="22"/>
      <c r="H1310" s="57">
        <f>H1311+H1313+H1315</f>
        <v>151015</v>
      </c>
      <c r="J1310" s="72"/>
      <c r="K1310" s="72"/>
    </row>
    <row r="1311" spans="1:11" s="168" customFormat="1" x14ac:dyDescent="0.25">
      <c r="A1311" s="27">
        <v>10045201311</v>
      </c>
      <c r="B1311" s="169" t="s">
        <v>476</v>
      </c>
      <c r="C1311" s="12" t="s">
        <v>379</v>
      </c>
      <c r="D1311" s="25">
        <v>10</v>
      </c>
      <c r="E1311" s="25" t="s">
        <v>1181</v>
      </c>
      <c r="F1311" s="10" t="s">
        <v>1194</v>
      </c>
      <c r="G1311" s="22"/>
      <c r="H1311" s="57">
        <f>H1312</f>
        <v>17307</v>
      </c>
      <c r="J1311" s="72"/>
      <c r="K1311" s="72"/>
    </row>
    <row r="1312" spans="1:11" s="168" customFormat="1" x14ac:dyDescent="0.25">
      <c r="A1312" s="27">
        <v>10045201311005</v>
      </c>
      <c r="B1312" s="65" t="s">
        <v>946</v>
      </c>
      <c r="C1312" s="12" t="s">
        <v>379</v>
      </c>
      <c r="D1312" s="25">
        <v>10</v>
      </c>
      <c r="E1312" s="25" t="s">
        <v>1181</v>
      </c>
      <c r="F1312" s="10" t="s">
        <v>1194</v>
      </c>
      <c r="G1312" s="22" t="s">
        <v>1326</v>
      </c>
      <c r="H1312" s="57">
        <v>17307</v>
      </c>
      <c r="J1312" s="72"/>
      <c r="K1312" s="72"/>
    </row>
    <row r="1313" spans="1:11" s="168" customFormat="1" x14ac:dyDescent="0.25">
      <c r="A1313" s="27">
        <v>10045201312</v>
      </c>
      <c r="B1313" s="169" t="s">
        <v>1</v>
      </c>
      <c r="C1313" s="12" t="s">
        <v>379</v>
      </c>
      <c r="D1313" s="25">
        <v>10</v>
      </c>
      <c r="E1313" s="25" t="s">
        <v>1181</v>
      </c>
      <c r="F1313" s="10" t="s">
        <v>1195</v>
      </c>
      <c r="G1313" s="22"/>
      <c r="H1313" s="57">
        <f>H1314</f>
        <v>34073</v>
      </c>
      <c r="J1313" s="72"/>
      <c r="K1313" s="72"/>
    </row>
    <row r="1314" spans="1:11" s="168" customFormat="1" x14ac:dyDescent="0.25">
      <c r="A1314" s="27">
        <v>10045201312005</v>
      </c>
      <c r="B1314" s="65" t="s">
        <v>946</v>
      </c>
      <c r="C1314" s="12" t="s">
        <v>379</v>
      </c>
      <c r="D1314" s="25">
        <v>10</v>
      </c>
      <c r="E1314" s="25" t="s">
        <v>1181</v>
      </c>
      <c r="F1314" s="10" t="s">
        <v>1195</v>
      </c>
      <c r="G1314" s="22" t="s">
        <v>1326</v>
      </c>
      <c r="H1314" s="57">
        <v>34073</v>
      </c>
      <c r="J1314" s="72"/>
      <c r="K1314" s="72"/>
    </row>
    <row r="1315" spans="1:11" s="168" customFormat="1" x14ac:dyDescent="0.25">
      <c r="A1315" s="27">
        <v>10045201313</v>
      </c>
      <c r="B1315" s="169" t="s">
        <v>1507</v>
      </c>
      <c r="C1315" s="12" t="s">
        <v>379</v>
      </c>
      <c r="D1315" s="25">
        <v>10</v>
      </c>
      <c r="E1315" s="25" t="s">
        <v>1181</v>
      </c>
      <c r="F1315" s="10" t="s">
        <v>1196</v>
      </c>
      <c r="G1315" s="22"/>
      <c r="H1315" s="57">
        <f>H1316</f>
        <v>99635</v>
      </c>
      <c r="J1315" s="72"/>
      <c r="K1315" s="72"/>
    </row>
    <row r="1316" spans="1:11" s="168" customFormat="1" x14ac:dyDescent="0.25">
      <c r="A1316" s="27">
        <v>10045201313005</v>
      </c>
      <c r="B1316" s="65" t="s">
        <v>946</v>
      </c>
      <c r="C1316" s="12" t="s">
        <v>379</v>
      </c>
      <c r="D1316" s="25">
        <v>10</v>
      </c>
      <c r="E1316" s="25" t="s">
        <v>1181</v>
      </c>
      <c r="F1316" s="10" t="s">
        <v>1196</v>
      </c>
      <c r="G1316" s="22" t="s">
        <v>1326</v>
      </c>
      <c r="H1316" s="57">
        <v>99635</v>
      </c>
      <c r="J1316" s="72"/>
      <c r="K1316" s="72"/>
    </row>
    <row r="1317" spans="1:11" s="3" customFormat="1" x14ac:dyDescent="0.25">
      <c r="A1317" s="40"/>
      <c r="B1317" s="30"/>
      <c r="C1317" s="42"/>
      <c r="D1317" s="42"/>
      <c r="E1317" s="42"/>
      <c r="F1317" s="42"/>
      <c r="G1317" s="42"/>
      <c r="H1317" s="72"/>
    </row>
    <row r="1318" spans="1:11" s="3" customFormat="1" ht="31.5" x14ac:dyDescent="0.25">
      <c r="A1318" s="40">
        <v>0</v>
      </c>
      <c r="B1318" s="41" t="s">
        <v>125</v>
      </c>
      <c r="C1318" s="42" t="s">
        <v>1546</v>
      </c>
      <c r="D1318" s="31"/>
      <c r="E1318" s="31"/>
      <c r="F1318" s="31"/>
      <c r="G1318" s="31"/>
      <c r="H1318" s="187">
        <f>H1319+H1327+H1332</f>
        <v>564821</v>
      </c>
    </row>
    <row r="1319" spans="1:11" s="28" customFormat="1" x14ac:dyDescent="0.25">
      <c r="A1319" s="29">
        <v>4</v>
      </c>
      <c r="B1319" s="35" t="s">
        <v>993</v>
      </c>
      <c r="C1319" s="12" t="s">
        <v>1546</v>
      </c>
      <c r="D1319" s="12" t="s">
        <v>1181</v>
      </c>
      <c r="E1319" s="10"/>
      <c r="F1319" s="10"/>
      <c r="G1319" s="10"/>
      <c r="H1319" s="53">
        <f>H1320</f>
        <v>267559</v>
      </c>
    </row>
    <row r="1320" spans="1:11" s="28" customFormat="1" x14ac:dyDescent="0.25">
      <c r="A1320" s="29">
        <v>410</v>
      </c>
      <c r="B1320" s="26" t="s">
        <v>626</v>
      </c>
      <c r="C1320" s="12" t="s">
        <v>1546</v>
      </c>
      <c r="D1320" s="12" t="s">
        <v>1181</v>
      </c>
      <c r="E1320" s="12" t="s">
        <v>768</v>
      </c>
      <c r="F1320" s="10"/>
      <c r="G1320" s="10"/>
      <c r="H1320" s="53">
        <f>H1321+H1324</f>
        <v>267559</v>
      </c>
    </row>
    <row r="1321" spans="1:11" s="28" customFormat="1" ht="47.25" x14ac:dyDescent="0.25">
      <c r="A1321" s="27">
        <v>410002</v>
      </c>
      <c r="B1321" s="26" t="s">
        <v>1657</v>
      </c>
      <c r="C1321" s="12" t="s">
        <v>1546</v>
      </c>
      <c r="D1321" s="12" t="s">
        <v>1181</v>
      </c>
      <c r="E1321" s="12" t="s">
        <v>768</v>
      </c>
      <c r="F1321" s="12" t="s">
        <v>200</v>
      </c>
      <c r="G1321" s="12"/>
      <c r="H1321" s="53">
        <f>H1322</f>
        <v>82000</v>
      </c>
    </row>
    <row r="1322" spans="1:11" s="28" customFormat="1" x14ac:dyDescent="0.25">
      <c r="A1322" s="27">
        <v>41000204</v>
      </c>
      <c r="B1322" s="26" t="s">
        <v>638</v>
      </c>
      <c r="C1322" s="12" t="s">
        <v>1546</v>
      </c>
      <c r="D1322" s="12" t="s">
        <v>1181</v>
      </c>
      <c r="E1322" s="12" t="s">
        <v>768</v>
      </c>
      <c r="F1322" s="12" t="s">
        <v>797</v>
      </c>
      <c r="G1322" s="12"/>
      <c r="H1322" s="53">
        <f>H1323</f>
        <v>82000</v>
      </c>
    </row>
    <row r="1323" spans="1:11" s="131" customFormat="1" x14ac:dyDescent="0.25">
      <c r="A1323" s="27">
        <v>41000204012</v>
      </c>
      <c r="B1323" s="38" t="s">
        <v>1012</v>
      </c>
      <c r="C1323" s="12" t="s">
        <v>1546</v>
      </c>
      <c r="D1323" s="12" t="s">
        <v>1181</v>
      </c>
      <c r="E1323" s="12" t="s">
        <v>768</v>
      </c>
      <c r="F1323" s="25" t="s">
        <v>797</v>
      </c>
      <c r="G1323" s="25" t="s">
        <v>1224</v>
      </c>
      <c r="H1323" s="185">
        <v>82000</v>
      </c>
    </row>
    <row r="1324" spans="1:11" s="28" customFormat="1" x14ac:dyDescent="0.25">
      <c r="A1324" s="27">
        <v>410522</v>
      </c>
      <c r="B1324" s="26" t="s">
        <v>153</v>
      </c>
      <c r="C1324" s="12" t="s">
        <v>1546</v>
      </c>
      <c r="D1324" s="12" t="s">
        <v>1181</v>
      </c>
      <c r="E1324" s="12" t="s">
        <v>768</v>
      </c>
      <c r="F1324" s="10" t="s">
        <v>611</v>
      </c>
      <c r="G1324" s="10"/>
      <c r="H1324" s="53">
        <f>H1325</f>
        <v>185559</v>
      </c>
    </row>
    <row r="1325" spans="1:11" s="28" customFormat="1" ht="31.5" x14ac:dyDescent="0.25">
      <c r="A1325" s="195">
        <v>41052204</v>
      </c>
      <c r="B1325" s="26" t="s">
        <v>719</v>
      </c>
      <c r="C1325" s="12" t="s">
        <v>1546</v>
      </c>
      <c r="D1325" s="12" t="s">
        <v>1181</v>
      </c>
      <c r="E1325" s="12" t="s">
        <v>768</v>
      </c>
      <c r="F1325" s="10" t="s">
        <v>56</v>
      </c>
      <c r="G1325" s="10"/>
      <c r="H1325" s="53">
        <f>H1326</f>
        <v>185559</v>
      </c>
    </row>
    <row r="1326" spans="1:11" s="28" customFormat="1" ht="31.5" x14ac:dyDescent="0.25">
      <c r="A1326" s="195">
        <v>41052204059</v>
      </c>
      <c r="B1326" s="26" t="s">
        <v>199</v>
      </c>
      <c r="C1326" s="12" t="s">
        <v>1546</v>
      </c>
      <c r="D1326" s="12" t="s">
        <v>1181</v>
      </c>
      <c r="E1326" s="12" t="s">
        <v>768</v>
      </c>
      <c r="F1326" s="10" t="s">
        <v>56</v>
      </c>
      <c r="G1326" s="12" t="s">
        <v>356</v>
      </c>
      <c r="H1326" s="53">
        <v>185559</v>
      </c>
    </row>
    <row r="1327" spans="1:11" s="128" customFormat="1" x14ac:dyDescent="0.25">
      <c r="A1327" s="29">
        <v>7</v>
      </c>
      <c r="B1327" s="35" t="s">
        <v>174</v>
      </c>
      <c r="C1327" s="12" t="s">
        <v>1546</v>
      </c>
      <c r="D1327" s="12" t="s">
        <v>205</v>
      </c>
      <c r="E1327" s="39"/>
      <c r="F1327" s="10"/>
      <c r="G1327" s="10"/>
      <c r="H1327" s="53">
        <f>H1328</f>
        <v>62</v>
      </c>
      <c r="I1327" s="171"/>
    </row>
    <row r="1328" spans="1:11" s="128" customFormat="1" x14ac:dyDescent="0.25">
      <c r="A1328" s="29">
        <v>707</v>
      </c>
      <c r="B1328" s="38" t="s">
        <v>699</v>
      </c>
      <c r="C1328" s="12" t="s">
        <v>1546</v>
      </c>
      <c r="D1328" s="12" t="s">
        <v>205</v>
      </c>
      <c r="E1328" s="12" t="s">
        <v>205</v>
      </c>
      <c r="F1328" s="39"/>
      <c r="G1328" s="39"/>
      <c r="H1328" s="53">
        <f>H1329</f>
        <v>62</v>
      </c>
    </row>
    <row r="1329" spans="1:8" s="128" customFormat="1" ht="31.5" x14ac:dyDescent="0.25">
      <c r="A1329" s="27">
        <v>707432</v>
      </c>
      <c r="B1329" s="38" t="s">
        <v>1678</v>
      </c>
      <c r="C1329" s="12" t="s">
        <v>1546</v>
      </c>
      <c r="D1329" s="12" t="s">
        <v>205</v>
      </c>
      <c r="E1329" s="12" t="s">
        <v>205</v>
      </c>
      <c r="F1329" s="11" t="s">
        <v>965</v>
      </c>
      <c r="G1329" s="39"/>
      <c r="H1329" s="53">
        <f>H1330</f>
        <v>62</v>
      </c>
    </row>
    <row r="1330" spans="1:8" s="128" customFormat="1" x14ac:dyDescent="0.25">
      <c r="A1330" s="27">
        <v>70743202</v>
      </c>
      <c r="B1330" s="26" t="s">
        <v>541</v>
      </c>
      <c r="C1330" s="12" t="s">
        <v>1546</v>
      </c>
      <c r="D1330" s="12" t="s">
        <v>205</v>
      </c>
      <c r="E1330" s="12" t="s">
        <v>205</v>
      </c>
      <c r="F1330" s="10" t="s">
        <v>262</v>
      </c>
      <c r="G1330" s="12"/>
      <c r="H1330" s="53">
        <f>H1331</f>
        <v>62</v>
      </c>
    </row>
    <row r="1331" spans="1:8" s="128" customFormat="1" x14ac:dyDescent="0.25">
      <c r="A1331" s="27">
        <v>70743202001</v>
      </c>
      <c r="B1331" s="26" t="s">
        <v>1435</v>
      </c>
      <c r="C1331" s="12" t="s">
        <v>1546</v>
      </c>
      <c r="D1331" s="12" t="s">
        <v>205</v>
      </c>
      <c r="E1331" s="12" t="s">
        <v>205</v>
      </c>
      <c r="F1331" s="10" t="s">
        <v>262</v>
      </c>
      <c r="G1331" s="12" t="s">
        <v>1394</v>
      </c>
      <c r="H1331" s="53">
        <v>62</v>
      </c>
    </row>
    <row r="1332" spans="1:8" s="28" customFormat="1" x14ac:dyDescent="0.25">
      <c r="A1332" s="27">
        <v>11</v>
      </c>
      <c r="B1332" s="35" t="s">
        <v>219</v>
      </c>
      <c r="C1332" s="12" t="s">
        <v>1546</v>
      </c>
      <c r="D1332" s="12">
        <v>11</v>
      </c>
      <c r="E1332" s="12"/>
      <c r="F1332" s="10"/>
      <c r="G1332" s="10"/>
      <c r="H1332" s="53">
        <f>H1333</f>
        <v>297200</v>
      </c>
    </row>
    <row r="1333" spans="1:8" s="28" customFormat="1" ht="31.5" x14ac:dyDescent="0.25">
      <c r="A1333" s="27">
        <v>1102</v>
      </c>
      <c r="B1333" s="26" t="s">
        <v>463</v>
      </c>
      <c r="C1333" s="12" t="s">
        <v>1546</v>
      </c>
      <c r="D1333" s="6">
        <v>11</v>
      </c>
      <c r="E1333" s="6" t="s">
        <v>567</v>
      </c>
      <c r="F1333" s="10"/>
      <c r="G1333" s="10"/>
      <c r="H1333" s="53">
        <f>H1334</f>
        <v>297200</v>
      </c>
    </row>
    <row r="1334" spans="1:8" s="28" customFormat="1" x14ac:dyDescent="0.25">
      <c r="A1334" s="27">
        <v>1102330</v>
      </c>
      <c r="B1334" s="26" t="s">
        <v>764</v>
      </c>
      <c r="C1334" s="12" t="s">
        <v>1546</v>
      </c>
      <c r="D1334" s="6">
        <v>11</v>
      </c>
      <c r="E1334" s="6" t="s">
        <v>567</v>
      </c>
      <c r="F1334" s="10" t="s">
        <v>1010</v>
      </c>
      <c r="G1334" s="10"/>
      <c r="H1334" s="53">
        <f>H1335</f>
        <v>297200</v>
      </c>
    </row>
    <row r="1335" spans="1:8" s="28" customFormat="1" x14ac:dyDescent="0.25">
      <c r="A1335" s="27">
        <v>110233003</v>
      </c>
      <c r="B1335" s="26" t="s">
        <v>40</v>
      </c>
      <c r="C1335" s="12" t="s">
        <v>1546</v>
      </c>
      <c r="D1335" s="6">
        <v>11</v>
      </c>
      <c r="E1335" s="6" t="s">
        <v>567</v>
      </c>
      <c r="F1335" s="10" t="s">
        <v>1030</v>
      </c>
      <c r="G1335" s="10"/>
      <c r="H1335" s="53">
        <f>H1336</f>
        <v>297200</v>
      </c>
    </row>
    <row r="1336" spans="1:8" s="28" customFormat="1" x14ac:dyDescent="0.25">
      <c r="A1336" s="27">
        <v>11023300301</v>
      </c>
      <c r="B1336" s="26" t="s">
        <v>41</v>
      </c>
      <c r="C1336" s="12" t="s">
        <v>1546</v>
      </c>
      <c r="D1336" s="6">
        <v>11</v>
      </c>
      <c r="E1336" s="6" t="s">
        <v>567</v>
      </c>
      <c r="F1336" s="10" t="s">
        <v>1031</v>
      </c>
      <c r="G1336" s="10"/>
      <c r="H1336" s="53">
        <f>H1337</f>
        <v>297200</v>
      </c>
    </row>
    <row r="1337" spans="1:8" s="28" customFormat="1" ht="63" x14ac:dyDescent="0.25">
      <c r="A1337" s="27">
        <v>11023300301020</v>
      </c>
      <c r="B1337" s="26" t="s">
        <v>544</v>
      </c>
      <c r="C1337" s="12" t="s">
        <v>1546</v>
      </c>
      <c r="D1337" s="6">
        <v>11</v>
      </c>
      <c r="E1337" s="6" t="s">
        <v>567</v>
      </c>
      <c r="F1337" s="10" t="s">
        <v>1031</v>
      </c>
      <c r="G1337" s="12" t="s">
        <v>1422</v>
      </c>
      <c r="H1337" s="53">
        <v>297200</v>
      </c>
    </row>
    <row r="1338" spans="1:8" s="3" customFormat="1" x14ac:dyDescent="0.25">
      <c r="A1338" s="40"/>
      <c r="B1338" s="30"/>
      <c r="C1338" s="42"/>
      <c r="D1338" s="42"/>
      <c r="E1338" s="42"/>
      <c r="F1338" s="42"/>
      <c r="G1338" s="42"/>
      <c r="H1338" s="53"/>
    </row>
    <row r="1339" spans="1:8" s="3" customFormat="1" x14ac:dyDescent="0.25">
      <c r="A1339" s="40">
        <v>0</v>
      </c>
      <c r="B1339" s="41" t="s">
        <v>1038</v>
      </c>
      <c r="C1339" s="42" t="s">
        <v>1039</v>
      </c>
      <c r="D1339" s="31"/>
      <c r="E1339" s="31"/>
      <c r="F1339" s="31"/>
      <c r="G1339" s="31"/>
      <c r="H1339" s="187">
        <f>H1340+H1345+H1350+H1355</f>
        <v>115912</v>
      </c>
    </row>
    <row r="1340" spans="1:8" s="28" customFormat="1" x14ac:dyDescent="0.25">
      <c r="A1340" s="29">
        <v>1</v>
      </c>
      <c r="B1340" s="35" t="s">
        <v>482</v>
      </c>
      <c r="C1340" s="12" t="s">
        <v>1039</v>
      </c>
      <c r="D1340" s="12" t="s">
        <v>566</v>
      </c>
      <c r="E1340" s="12"/>
      <c r="F1340" s="12"/>
      <c r="G1340" s="12"/>
      <c r="H1340" s="53">
        <f>H1341</f>
        <v>80</v>
      </c>
    </row>
    <row r="1341" spans="1:8" s="28" customFormat="1" x14ac:dyDescent="0.25">
      <c r="A1341" s="29">
        <v>114</v>
      </c>
      <c r="B1341" s="26" t="s">
        <v>287</v>
      </c>
      <c r="C1341" s="12" t="s">
        <v>1039</v>
      </c>
      <c r="D1341" s="12" t="s">
        <v>566</v>
      </c>
      <c r="E1341" s="12">
        <v>14</v>
      </c>
      <c r="F1341" s="12"/>
      <c r="G1341" s="12"/>
      <c r="H1341" s="53">
        <f>H1342</f>
        <v>80</v>
      </c>
    </row>
    <row r="1342" spans="1:8" s="28" customFormat="1" x14ac:dyDescent="0.25">
      <c r="A1342" s="27">
        <v>114001</v>
      </c>
      <c r="B1342" s="26" t="s">
        <v>637</v>
      </c>
      <c r="C1342" s="12" t="s">
        <v>1039</v>
      </c>
      <c r="D1342" s="12" t="s">
        <v>566</v>
      </c>
      <c r="E1342" s="12">
        <v>14</v>
      </c>
      <c r="F1342" s="10" t="s">
        <v>1096</v>
      </c>
      <c r="G1342" s="12"/>
      <c r="H1342" s="53">
        <f>H1343</f>
        <v>80</v>
      </c>
    </row>
    <row r="1343" spans="1:8" s="147" customFormat="1" ht="21" customHeight="1" x14ac:dyDescent="0.25">
      <c r="A1343" s="188">
        <v>11400166</v>
      </c>
      <c r="B1343" s="38" t="s">
        <v>1690</v>
      </c>
      <c r="C1343" s="12" t="s">
        <v>1039</v>
      </c>
      <c r="D1343" s="25" t="s">
        <v>566</v>
      </c>
      <c r="E1343" s="25">
        <v>14</v>
      </c>
      <c r="F1343" s="25" t="s">
        <v>331</v>
      </c>
      <c r="G1343" s="189"/>
      <c r="H1343" s="53">
        <f>H1344</f>
        <v>80</v>
      </c>
    </row>
    <row r="1344" spans="1:8" s="147" customFormat="1" x14ac:dyDescent="0.25">
      <c r="A1344" s="188">
        <v>11400166013</v>
      </c>
      <c r="B1344" s="38" t="s">
        <v>1335</v>
      </c>
      <c r="C1344" s="12" t="s">
        <v>1039</v>
      </c>
      <c r="D1344" s="25" t="s">
        <v>566</v>
      </c>
      <c r="E1344" s="25">
        <v>14</v>
      </c>
      <c r="F1344" s="25" t="s">
        <v>331</v>
      </c>
      <c r="G1344" s="25" t="s">
        <v>972</v>
      </c>
      <c r="H1344" s="53">
        <v>80</v>
      </c>
    </row>
    <row r="1345" spans="1:8" s="3" customFormat="1" x14ac:dyDescent="0.25">
      <c r="A1345" s="27">
        <v>2</v>
      </c>
      <c r="B1345" s="35" t="s">
        <v>271</v>
      </c>
      <c r="C1345" s="12" t="s">
        <v>1039</v>
      </c>
      <c r="D1345" s="12" t="s">
        <v>567</v>
      </c>
      <c r="E1345" s="31"/>
      <c r="F1345" s="31"/>
      <c r="G1345" s="31"/>
      <c r="H1345" s="53">
        <f>H1346</f>
        <v>142</v>
      </c>
    </row>
    <row r="1346" spans="1:8" s="3" customFormat="1" x14ac:dyDescent="0.25">
      <c r="A1346" s="27">
        <v>204</v>
      </c>
      <c r="B1346" s="26" t="s">
        <v>1054</v>
      </c>
      <c r="C1346" s="12" t="s">
        <v>1039</v>
      </c>
      <c r="D1346" s="12" t="s">
        <v>567</v>
      </c>
      <c r="E1346" s="12" t="s">
        <v>1181</v>
      </c>
      <c r="F1346" s="31"/>
      <c r="G1346" s="31"/>
      <c r="H1346" s="53">
        <f>H1347</f>
        <v>142</v>
      </c>
    </row>
    <row r="1347" spans="1:8" s="3" customFormat="1" ht="31.5" x14ac:dyDescent="0.25">
      <c r="A1347" s="27">
        <v>204209</v>
      </c>
      <c r="B1347" s="26" t="s">
        <v>141</v>
      </c>
      <c r="C1347" s="12" t="s">
        <v>1039</v>
      </c>
      <c r="D1347" s="12" t="s">
        <v>567</v>
      </c>
      <c r="E1347" s="12" t="s">
        <v>1181</v>
      </c>
      <c r="F1347" s="10" t="s">
        <v>270</v>
      </c>
      <c r="G1347" s="31"/>
      <c r="H1347" s="53">
        <f>H1348</f>
        <v>142</v>
      </c>
    </row>
    <row r="1348" spans="1:8" s="3" customFormat="1" ht="31.5" x14ac:dyDescent="0.25">
      <c r="A1348" s="27">
        <v>20420901</v>
      </c>
      <c r="B1348" s="26" t="s">
        <v>1408</v>
      </c>
      <c r="C1348" s="12" t="s">
        <v>1039</v>
      </c>
      <c r="D1348" s="12" t="s">
        <v>567</v>
      </c>
      <c r="E1348" s="12" t="s">
        <v>1181</v>
      </c>
      <c r="F1348" s="10" t="s">
        <v>956</v>
      </c>
      <c r="G1348" s="31"/>
      <c r="H1348" s="53">
        <f>H1349</f>
        <v>142</v>
      </c>
    </row>
    <row r="1349" spans="1:8" s="3" customFormat="1" x14ac:dyDescent="0.25">
      <c r="A1349" s="27">
        <v>20420901012</v>
      </c>
      <c r="B1349" s="65" t="s">
        <v>1012</v>
      </c>
      <c r="C1349" s="12" t="s">
        <v>1039</v>
      </c>
      <c r="D1349" s="12" t="s">
        <v>567</v>
      </c>
      <c r="E1349" s="12" t="s">
        <v>1181</v>
      </c>
      <c r="F1349" s="10" t="s">
        <v>956</v>
      </c>
      <c r="G1349" s="12" t="s">
        <v>1224</v>
      </c>
      <c r="H1349" s="53">
        <v>142</v>
      </c>
    </row>
    <row r="1350" spans="1:8" s="28" customFormat="1" ht="19.5" customHeight="1" x14ac:dyDescent="0.25">
      <c r="A1350" s="27">
        <v>3</v>
      </c>
      <c r="B1350" s="35" t="s">
        <v>1049</v>
      </c>
      <c r="C1350" s="12" t="s">
        <v>1039</v>
      </c>
      <c r="D1350" s="12" t="s">
        <v>193</v>
      </c>
      <c r="E1350" s="12"/>
      <c r="F1350" s="10"/>
      <c r="G1350" s="12"/>
      <c r="H1350" s="53">
        <f>H1351</f>
        <v>41</v>
      </c>
    </row>
    <row r="1351" spans="1:8" s="28" customFormat="1" ht="47.25" x14ac:dyDescent="0.25">
      <c r="A1351" s="27">
        <v>309</v>
      </c>
      <c r="B1351" s="26" t="s">
        <v>133</v>
      </c>
      <c r="C1351" s="12" t="s">
        <v>1039</v>
      </c>
      <c r="D1351" s="12" t="s">
        <v>193</v>
      </c>
      <c r="E1351" s="12" t="s">
        <v>406</v>
      </c>
      <c r="F1351" s="10"/>
      <c r="G1351" s="12"/>
      <c r="H1351" s="53">
        <f>H1352</f>
        <v>41</v>
      </c>
    </row>
    <row r="1352" spans="1:8" s="28" customFormat="1" x14ac:dyDescent="0.25">
      <c r="A1352" s="27">
        <v>309219</v>
      </c>
      <c r="B1352" s="26" t="s">
        <v>1098</v>
      </c>
      <c r="C1352" s="12" t="s">
        <v>1039</v>
      </c>
      <c r="D1352" s="12" t="s">
        <v>193</v>
      </c>
      <c r="E1352" s="12" t="s">
        <v>406</v>
      </c>
      <c r="F1352" s="10" t="s">
        <v>620</v>
      </c>
      <c r="G1352" s="12"/>
      <c r="H1352" s="53">
        <f>H1353</f>
        <v>41</v>
      </c>
    </row>
    <row r="1353" spans="1:8" s="28" customFormat="1" ht="31.5" x14ac:dyDescent="0.25">
      <c r="A1353" s="27">
        <v>30921901</v>
      </c>
      <c r="B1353" s="26" t="s">
        <v>591</v>
      </c>
      <c r="C1353" s="12" t="s">
        <v>1039</v>
      </c>
      <c r="D1353" s="12" t="s">
        <v>193</v>
      </c>
      <c r="E1353" s="12" t="s">
        <v>406</v>
      </c>
      <c r="F1353" s="10" t="s">
        <v>269</v>
      </c>
      <c r="G1353" s="12"/>
      <c r="H1353" s="53">
        <f>H1354</f>
        <v>41</v>
      </c>
    </row>
    <row r="1354" spans="1:8" s="28" customFormat="1" x14ac:dyDescent="0.25">
      <c r="A1354" s="27">
        <v>30921901012</v>
      </c>
      <c r="B1354" s="65" t="s">
        <v>1012</v>
      </c>
      <c r="C1354" s="12" t="s">
        <v>1039</v>
      </c>
      <c r="D1354" s="12" t="s">
        <v>193</v>
      </c>
      <c r="E1354" s="12" t="s">
        <v>406</v>
      </c>
      <c r="F1354" s="10" t="s">
        <v>269</v>
      </c>
      <c r="G1354" s="12" t="s">
        <v>1224</v>
      </c>
      <c r="H1354" s="53">
        <v>41</v>
      </c>
    </row>
    <row r="1355" spans="1:8" s="28" customFormat="1" x14ac:dyDescent="0.25">
      <c r="A1355" s="29">
        <v>7</v>
      </c>
      <c r="B1355" s="35" t="s">
        <v>174</v>
      </c>
      <c r="C1355" s="12" t="s">
        <v>1039</v>
      </c>
      <c r="D1355" s="12" t="s">
        <v>205</v>
      </c>
      <c r="E1355" s="10"/>
      <c r="F1355" s="10"/>
      <c r="G1355" s="10"/>
      <c r="H1355" s="53">
        <f>H1356</f>
        <v>115649</v>
      </c>
    </row>
    <row r="1356" spans="1:8" s="28" customFormat="1" x14ac:dyDescent="0.25">
      <c r="A1356" s="29">
        <v>707</v>
      </c>
      <c r="B1356" s="26" t="s">
        <v>699</v>
      </c>
      <c r="C1356" s="12" t="s">
        <v>1039</v>
      </c>
      <c r="D1356" s="12" t="s">
        <v>205</v>
      </c>
      <c r="E1356" s="12" t="s">
        <v>205</v>
      </c>
      <c r="F1356" s="10"/>
      <c r="G1356" s="10"/>
      <c r="H1356" s="53">
        <f>H1357+H1361+H1366</f>
        <v>115649</v>
      </c>
    </row>
    <row r="1357" spans="1:8" s="28" customFormat="1" ht="47.25" x14ac:dyDescent="0.25">
      <c r="A1357" s="27">
        <v>707002</v>
      </c>
      <c r="B1357" s="26" t="s">
        <v>1657</v>
      </c>
      <c r="C1357" s="12" t="s">
        <v>1039</v>
      </c>
      <c r="D1357" s="12" t="s">
        <v>205</v>
      </c>
      <c r="E1357" s="12" t="s">
        <v>205</v>
      </c>
      <c r="F1357" s="12" t="s">
        <v>200</v>
      </c>
      <c r="G1357" s="12"/>
      <c r="H1357" s="53">
        <f>H1358</f>
        <v>39771</v>
      </c>
    </row>
    <row r="1358" spans="1:8" s="28" customFormat="1" x14ac:dyDescent="0.25">
      <c r="A1358" s="27">
        <v>70700204</v>
      </c>
      <c r="B1358" s="26" t="s">
        <v>638</v>
      </c>
      <c r="C1358" s="12" t="s">
        <v>1039</v>
      </c>
      <c r="D1358" s="12" t="s">
        <v>205</v>
      </c>
      <c r="E1358" s="12" t="s">
        <v>205</v>
      </c>
      <c r="F1358" s="12" t="s">
        <v>797</v>
      </c>
      <c r="G1358" s="12"/>
      <c r="H1358" s="53">
        <f>SUM(H1359:H1360)</f>
        <v>39771</v>
      </c>
    </row>
    <row r="1359" spans="1:8" s="3" customFormat="1" x14ac:dyDescent="0.25">
      <c r="A1359" s="27">
        <v>70700204012</v>
      </c>
      <c r="B1359" s="65" t="s">
        <v>1012</v>
      </c>
      <c r="C1359" s="12" t="s">
        <v>1039</v>
      </c>
      <c r="D1359" s="12" t="s">
        <v>205</v>
      </c>
      <c r="E1359" s="12" t="s">
        <v>205</v>
      </c>
      <c r="F1359" s="12" t="s">
        <v>797</v>
      </c>
      <c r="G1359" s="12" t="s">
        <v>1224</v>
      </c>
      <c r="H1359" s="53">
        <v>39313</v>
      </c>
    </row>
    <row r="1360" spans="1:8" s="28" customFormat="1" ht="63" x14ac:dyDescent="0.25">
      <c r="A1360" s="27">
        <v>70700204902</v>
      </c>
      <c r="B1360" s="26" t="s">
        <v>1100</v>
      </c>
      <c r="C1360" s="12" t="s">
        <v>1039</v>
      </c>
      <c r="D1360" s="12" t="s">
        <v>205</v>
      </c>
      <c r="E1360" s="12" t="s">
        <v>205</v>
      </c>
      <c r="F1360" s="12" t="s">
        <v>797</v>
      </c>
      <c r="G1360" s="12">
        <v>902</v>
      </c>
      <c r="H1360" s="53">
        <v>458</v>
      </c>
    </row>
    <row r="1361" spans="1:8" s="128" customFormat="1" ht="31.5" x14ac:dyDescent="0.25">
      <c r="A1361" s="27">
        <v>707432</v>
      </c>
      <c r="B1361" s="38" t="s">
        <v>1678</v>
      </c>
      <c r="C1361" s="12" t="s">
        <v>1039</v>
      </c>
      <c r="D1361" s="12" t="s">
        <v>205</v>
      </c>
      <c r="E1361" s="12" t="s">
        <v>205</v>
      </c>
      <c r="F1361" s="11" t="s">
        <v>965</v>
      </c>
      <c r="G1361" s="39"/>
      <c r="H1361" s="53">
        <f>H1362+H1364</f>
        <v>2070</v>
      </c>
    </row>
    <row r="1362" spans="1:8" s="128" customFormat="1" ht="31.5" x14ac:dyDescent="0.25">
      <c r="A1362" s="27">
        <v>70743201</v>
      </c>
      <c r="B1362" s="26" t="s">
        <v>81</v>
      </c>
      <c r="C1362" s="12" t="s">
        <v>1039</v>
      </c>
      <c r="D1362" s="12" t="s">
        <v>205</v>
      </c>
      <c r="E1362" s="12" t="s">
        <v>205</v>
      </c>
      <c r="F1362" s="10" t="s">
        <v>82</v>
      </c>
      <c r="G1362" s="12"/>
      <c r="H1362" s="53">
        <f>H1363</f>
        <v>1989</v>
      </c>
    </row>
    <row r="1363" spans="1:8" s="128" customFormat="1" x14ac:dyDescent="0.25">
      <c r="A1363" s="27">
        <v>70743201001</v>
      </c>
      <c r="B1363" s="26" t="s">
        <v>1435</v>
      </c>
      <c r="C1363" s="12" t="s">
        <v>1039</v>
      </c>
      <c r="D1363" s="12" t="s">
        <v>205</v>
      </c>
      <c r="E1363" s="12" t="s">
        <v>205</v>
      </c>
      <c r="F1363" s="10" t="s">
        <v>82</v>
      </c>
      <c r="G1363" s="12" t="s">
        <v>1394</v>
      </c>
      <c r="H1363" s="53">
        <v>1989</v>
      </c>
    </row>
    <row r="1364" spans="1:8" s="128" customFormat="1" x14ac:dyDescent="0.25">
      <c r="A1364" s="27">
        <v>70743202</v>
      </c>
      <c r="B1364" s="26" t="s">
        <v>541</v>
      </c>
      <c r="C1364" s="12" t="s">
        <v>1039</v>
      </c>
      <c r="D1364" s="12" t="s">
        <v>205</v>
      </c>
      <c r="E1364" s="12" t="s">
        <v>205</v>
      </c>
      <c r="F1364" s="10" t="s">
        <v>262</v>
      </c>
      <c r="G1364" s="12"/>
      <c r="H1364" s="53">
        <f>H1365</f>
        <v>81</v>
      </c>
    </row>
    <row r="1365" spans="1:8" s="128" customFormat="1" x14ac:dyDescent="0.25">
      <c r="A1365" s="27">
        <v>70743202001</v>
      </c>
      <c r="B1365" s="26" t="s">
        <v>1435</v>
      </c>
      <c r="C1365" s="12" t="s">
        <v>1039</v>
      </c>
      <c r="D1365" s="12" t="s">
        <v>205</v>
      </c>
      <c r="E1365" s="12" t="s">
        <v>205</v>
      </c>
      <c r="F1365" s="10" t="s">
        <v>262</v>
      </c>
      <c r="G1365" s="12" t="s">
        <v>1394</v>
      </c>
      <c r="H1365" s="53">
        <v>81</v>
      </c>
    </row>
    <row r="1366" spans="1:8" s="28" customFormat="1" x14ac:dyDescent="0.25">
      <c r="A1366" s="27">
        <v>707522</v>
      </c>
      <c r="B1366" s="26" t="s">
        <v>153</v>
      </c>
      <c r="C1366" s="12" t="s">
        <v>1039</v>
      </c>
      <c r="D1366" s="12" t="s">
        <v>205</v>
      </c>
      <c r="E1366" s="12" t="s">
        <v>205</v>
      </c>
      <c r="F1366" s="10" t="s">
        <v>611</v>
      </c>
      <c r="G1366" s="12"/>
      <c r="H1366" s="53">
        <f>H1367</f>
        <v>73808</v>
      </c>
    </row>
    <row r="1367" spans="1:8" s="28" customFormat="1" ht="31.5" x14ac:dyDescent="0.25">
      <c r="A1367" s="27">
        <v>70752207</v>
      </c>
      <c r="B1367" s="26" t="s">
        <v>1088</v>
      </c>
      <c r="C1367" s="12" t="s">
        <v>1039</v>
      </c>
      <c r="D1367" s="12" t="s">
        <v>205</v>
      </c>
      <c r="E1367" s="12" t="s">
        <v>205</v>
      </c>
      <c r="F1367" s="10" t="s">
        <v>352</v>
      </c>
      <c r="G1367" s="12"/>
      <c r="H1367" s="53">
        <f>H1368</f>
        <v>73808</v>
      </c>
    </row>
    <row r="1368" spans="1:8" s="28" customFormat="1" ht="31.5" x14ac:dyDescent="0.25">
      <c r="A1368" s="27">
        <v>70752207447</v>
      </c>
      <c r="B1368" s="26" t="s">
        <v>184</v>
      </c>
      <c r="C1368" s="12" t="s">
        <v>1039</v>
      </c>
      <c r="D1368" s="12" t="s">
        <v>205</v>
      </c>
      <c r="E1368" s="12" t="s">
        <v>205</v>
      </c>
      <c r="F1368" s="10" t="s">
        <v>352</v>
      </c>
      <c r="G1368" s="12">
        <v>447</v>
      </c>
      <c r="H1368" s="53">
        <v>73808</v>
      </c>
    </row>
    <row r="1369" spans="1:8" s="28" customFormat="1" x14ac:dyDescent="0.25">
      <c r="A1369" s="29"/>
      <c r="B1369" s="30"/>
      <c r="C1369" s="12"/>
      <c r="D1369" s="10"/>
      <c r="E1369" s="10"/>
      <c r="F1369" s="10"/>
      <c r="G1369" s="10"/>
      <c r="H1369" s="53"/>
    </row>
    <row r="1370" spans="1:8" s="3" customFormat="1" ht="31.5" x14ac:dyDescent="0.25">
      <c r="A1370" s="40">
        <v>0</v>
      </c>
      <c r="B1370" s="41" t="s">
        <v>254</v>
      </c>
      <c r="C1370" s="42" t="s">
        <v>1040</v>
      </c>
      <c r="D1370" s="31"/>
      <c r="E1370" s="31"/>
      <c r="F1370" s="31"/>
      <c r="G1370" s="31"/>
      <c r="H1370" s="187">
        <f>H1371+H1377+H1382+H1387</f>
        <v>500750</v>
      </c>
    </row>
    <row r="1371" spans="1:8" s="28" customFormat="1" x14ac:dyDescent="0.25">
      <c r="A1371" s="29">
        <v>1</v>
      </c>
      <c r="B1371" s="35" t="s">
        <v>482</v>
      </c>
      <c r="C1371" s="12" t="s">
        <v>1040</v>
      </c>
      <c r="D1371" s="12" t="s">
        <v>566</v>
      </c>
      <c r="E1371" s="10"/>
      <c r="F1371" s="10"/>
      <c r="G1371" s="10"/>
      <c r="H1371" s="53">
        <f>H1372</f>
        <v>249963</v>
      </c>
    </row>
    <row r="1372" spans="1:8" s="28" customFormat="1" x14ac:dyDescent="0.25">
      <c r="A1372" s="29">
        <v>114</v>
      </c>
      <c r="B1372" s="26" t="s">
        <v>287</v>
      </c>
      <c r="C1372" s="12" t="s">
        <v>1040</v>
      </c>
      <c r="D1372" s="6" t="s">
        <v>566</v>
      </c>
      <c r="E1372" s="6">
        <v>14</v>
      </c>
      <c r="F1372" s="6"/>
      <c r="G1372" s="6"/>
      <c r="H1372" s="53">
        <f>H1373</f>
        <v>249963</v>
      </c>
    </row>
    <row r="1373" spans="1:8" s="28" customFormat="1" ht="47.25" x14ac:dyDescent="0.25">
      <c r="A1373" s="27">
        <v>114002</v>
      </c>
      <c r="B1373" s="26" t="s">
        <v>1657</v>
      </c>
      <c r="C1373" s="12" t="s">
        <v>1040</v>
      </c>
      <c r="D1373" s="6" t="s">
        <v>566</v>
      </c>
      <c r="E1373" s="6">
        <v>14</v>
      </c>
      <c r="F1373" s="12" t="s">
        <v>200</v>
      </c>
      <c r="G1373" s="12"/>
      <c r="H1373" s="53">
        <f>H1374</f>
        <v>249963</v>
      </c>
    </row>
    <row r="1374" spans="1:8" s="28" customFormat="1" x14ac:dyDescent="0.25">
      <c r="A1374" s="27">
        <v>11400204</v>
      </c>
      <c r="B1374" s="26" t="s">
        <v>638</v>
      </c>
      <c r="C1374" s="12" t="s">
        <v>1040</v>
      </c>
      <c r="D1374" s="6" t="s">
        <v>566</v>
      </c>
      <c r="E1374" s="6">
        <v>14</v>
      </c>
      <c r="F1374" s="12" t="s">
        <v>797</v>
      </c>
      <c r="G1374" s="12"/>
      <c r="H1374" s="53">
        <f>SUM(H1375:H1376)</f>
        <v>249963</v>
      </c>
    </row>
    <row r="1375" spans="1:8" s="3" customFormat="1" x14ac:dyDescent="0.25">
      <c r="A1375" s="27">
        <v>11400204012</v>
      </c>
      <c r="B1375" s="65" t="s">
        <v>1012</v>
      </c>
      <c r="C1375" s="12" t="s">
        <v>1040</v>
      </c>
      <c r="D1375" s="6" t="s">
        <v>566</v>
      </c>
      <c r="E1375" s="6">
        <v>14</v>
      </c>
      <c r="F1375" s="12" t="s">
        <v>797</v>
      </c>
      <c r="G1375" s="12" t="s">
        <v>1224</v>
      </c>
      <c r="H1375" s="53">
        <v>247180</v>
      </c>
    </row>
    <row r="1376" spans="1:8" s="28" customFormat="1" ht="63" x14ac:dyDescent="0.25">
      <c r="A1376" s="27">
        <v>11400204902</v>
      </c>
      <c r="B1376" s="26" t="s">
        <v>1100</v>
      </c>
      <c r="C1376" s="12" t="s">
        <v>1040</v>
      </c>
      <c r="D1376" s="6" t="s">
        <v>566</v>
      </c>
      <c r="E1376" s="6">
        <v>14</v>
      </c>
      <c r="F1376" s="12" t="s">
        <v>797</v>
      </c>
      <c r="G1376" s="12">
        <v>902</v>
      </c>
      <c r="H1376" s="53">
        <v>2783</v>
      </c>
    </row>
    <row r="1377" spans="1:8" s="3" customFormat="1" x14ac:dyDescent="0.25">
      <c r="A1377" s="27">
        <v>2</v>
      </c>
      <c r="B1377" s="35" t="s">
        <v>271</v>
      </c>
      <c r="C1377" s="12" t="s">
        <v>1040</v>
      </c>
      <c r="D1377" s="12" t="s">
        <v>567</v>
      </c>
      <c r="E1377" s="31"/>
      <c r="F1377" s="31"/>
      <c r="G1377" s="31"/>
      <c r="H1377" s="53">
        <f>H1378</f>
        <v>530</v>
      </c>
    </row>
    <row r="1378" spans="1:8" s="3" customFormat="1" x14ac:dyDescent="0.25">
      <c r="A1378" s="27">
        <v>204</v>
      </c>
      <c r="B1378" s="26" t="s">
        <v>1054</v>
      </c>
      <c r="C1378" s="12" t="s">
        <v>1040</v>
      </c>
      <c r="D1378" s="12" t="s">
        <v>567</v>
      </c>
      <c r="E1378" s="12" t="s">
        <v>1181</v>
      </c>
      <c r="F1378" s="31"/>
      <c r="G1378" s="31"/>
      <c r="H1378" s="53">
        <f>H1379</f>
        <v>530</v>
      </c>
    </row>
    <row r="1379" spans="1:8" s="3" customFormat="1" ht="31.5" x14ac:dyDescent="0.25">
      <c r="A1379" s="27">
        <v>204209</v>
      </c>
      <c r="B1379" s="26" t="s">
        <v>141</v>
      </c>
      <c r="C1379" s="12" t="s">
        <v>1040</v>
      </c>
      <c r="D1379" s="12" t="s">
        <v>567</v>
      </c>
      <c r="E1379" s="12" t="s">
        <v>1181</v>
      </c>
      <c r="F1379" s="10" t="s">
        <v>270</v>
      </c>
      <c r="G1379" s="31"/>
      <c r="H1379" s="53">
        <f>H1380</f>
        <v>530</v>
      </c>
    </row>
    <row r="1380" spans="1:8" s="3" customFormat="1" ht="31.5" x14ac:dyDescent="0.25">
      <c r="A1380" s="27">
        <v>20420901</v>
      </c>
      <c r="B1380" s="26" t="s">
        <v>1408</v>
      </c>
      <c r="C1380" s="12" t="s">
        <v>1040</v>
      </c>
      <c r="D1380" s="12" t="s">
        <v>567</v>
      </c>
      <c r="E1380" s="12" t="s">
        <v>1181</v>
      </c>
      <c r="F1380" s="10" t="s">
        <v>956</v>
      </c>
      <c r="G1380" s="31"/>
      <c r="H1380" s="53">
        <f>H1381</f>
        <v>530</v>
      </c>
    </row>
    <row r="1381" spans="1:8" s="3" customFormat="1" x14ac:dyDescent="0.25">
      <c r="A1381" s="27">
        <v>20420901012</v>
      </c>
      <c r="B1381" s="65" t="s">
        <v>1012</v>
      </c>
      <c r="C1381" s="12" t="s">
        <v>1040</v>
      </c>
      <c r="D1381" s="12" t="s">
        <v>567</v>
      </c>
      <c r="E1381" s="12" t="s">
        <v>1181</v>
      </c>
      <c r="F1381" s="10" t="s">
        <v>956</v>
      </c>
      <c r="G1381" s="12" t="s">
        <v>1224</v>
      </c>
      <c r="H1381" s="53">
        <v>530</v>
      </c>
    </row>
    <row r="1382" spans="1:8" s="28" customFormat="1" ht="19.5" customHeight="1" x14ac:dyDescent="0.25">
      <c r="A1382" s="27">
        <v>3</v>
      </c>
      <c r="B1382" s="35" t="s">
        <v>1049</v>
      </c>
      <c r="C1382" s="12" t="s">
        <v>1040</v>
      </c>
      <c r="D1382" s="12" t="s">
        <v>193</v>
      </c>
      <c r="E1382" s="12"/>
      <c r="F1382" s="10"/>
      <c r="G1382" s="12"/>
      <c r="H1382" s="53">
        <f>H1383</f>
        <v>257</v>
      </c>
    </row>
    <row r="1383" spans="1:8" s="28" customFormat="1" ht="47.25" x14ac:dyDescent="0.25">
      <c r="A1383" s="27">
        <v>309</v>
      </c>
      <c r="B1383" s="26" t="s">
        <v>133</v>
      </c>
      <c r="C1383" s="12" t="s">
        <v>1040</v>
      </c>
      <c r="D1383" s="12" t="s">
        <v>193</v>
      </c>
      <c r="E1383" s="12" t="s">
        <v>406</v>
      </c>
      <c r="F1383" s="10"/>
      <c r="G1383" s="12"/>
      <c r="H1383" s="53">
        <f>H1384</f>
        <v>257</v>
      </c>
    </row>
    <row r="1384" spans="1:8" s="28" customFormat="1" x14ac:dyDescent="0.25">
      <c r="A1384" s="27">
        <v>309219</v>
      </c>
      <c r="B1384" s="26" t="s">
        <v>1098</v>
      </c>
      <c r="C1384" s="12" t="s">
        <v>1040</v>
      </c>
      <c r="D1384" s="12" t="s">
        <v>193</v>
      </c>
      <c r="E1384" s="12" t="s">
        <v>406</v>
      </c>
      <c r="F1384" s="10" t="s">
        <v>620</v>
      </c>
      <c r="G1384" s="12"/>
      <c r="H1384" s="53">
        <f>H1385</f>
        <v>257</v>
      </c>
    </row>
    <row r="1385" spans="1:8" s="28" customFormat="1" ht="31.5" x14ac:dyDescent="0.25">
      <c r="A1385" s="27">
        <v>30921901</v>
      </c>
      <c r="B1385" s="26" t="s">
        <v>591</v>
      </c>
      <c r="C1385" s="12" t="s">
        <v>1040</v>
      </c>
      <c r="D1385" s="12" t="s">
        <v>193</v>
      </c>
      <c r="E1385" s="12" t="s">
        <v>406</v>
      </c>
      <c r="F1385" s="10" t="s">
        <v>269</v>
      </c>
      <c r="G1385" s="12"/>
      <c r="H1385" s="53">
        <f>H1386</f>
        <v>257</v>
      </c>
    </row>
    <row r="1386" spans="1:8" s="28" customFormat="1" x14ac:dyDescent="0.25">
      <c r="A1386" s="27">
        <v>30921901012</v>
      </c>
      <c r="B1386" s="65" t="s">
        <v>1012</v>
      </c>
      <c r="C1386" s="12" t="s">
        <v>1040</v>
      </c>
      <c r="D1386" s="12" t="s">
        <v>193</v>
      </c>
      <c r="E1386" s="12" t="s">
        <v>406</v>
      </c>
      <c r="F1386" s="10" t="s">
        <v>269</v>
      </c>
      <c r="G1386" s="12" t="s">
        <v>1224</v>
      </c>
      <c r="H1386" s="53">
        <v>257</v>
      </c>
    </row>
    <row r="1387" spans="1:8" s="28" customFormat="1" x14ac:dyDescent="0.25">
      <c r="A1387" s="29">
        <v>4</v>
      </c>
      <c r="B1387" s="35" t="s">
        <v>993</v>
      </c>
      <c r="C1387" s="12" t="s">
        <v>1040</v>
      </c>
      <c r="D1387" s="12" t="s">
        <v>1181</v>
      </c>
      <c r="E1387" s="10"/>
      <c r="F1387" s="10"/>
      <c r="G1387" s="10"/>
      <c r="H1387" s="53">
        <f>H1388</f>
        <v>250000</v>
      </c>
    </row>
    <row r="1388" spans="1:8" s="28" customFormat="1" x14ac:dyDescent="0.25">
      <c r="A1388" s="29">
        <v>412</v>
      </c>
      <c r="B1388" s="26" t="s">
        <v>1253</v>
      </c>
      <c r="C1388" s="12" t="s">
        <v>1040</v>
      </c>
      <c r="D1388" s="12" t="s">
        <v>1181</v>
      </c>
      <c r="E1388" s="12">
        <v>12</v>
      </c>
      <c r="F1388" s="10"/>
      <c r="G1388" s="10"/>
      <c r="H1388" s="53">
        <f>H1389</f>
        <v>250000</v>
      </c>
    </row>
    <row r="1389" spans="1:8" s="28" customFormat="1" ht="31.5" x14ac:dyDescent="0.25">
      <c r="A1389" s="27">
        <v>412340</v>
      </c>
      <c r="B1389" s="26" t="s">
        <v>481</v>
      </c>
      <c r="C1389" s="12" t="s">
        <v>1040</v>
      </c>
      <c r="D1389" s="12" t="s">
        <v>1181</v>
      </c>
      <c r="E1389" s="12">
        <v>12</v>
      </c>
      <c r="F1389" s="10" t="s">
        <v>1679</v>
      </c>
      <c r="G1389" s="10"/>
      <c r="H1389" s="53">
        <f>H1390</f>
        <v>250000</v>
      </c>
    </row>
    <row r="1390" spans="1:8" s="28" customFormat="1" x14ac:dyDescent="0.25">
      <c r="A1390" s="27">
        <v>41234003</v>
      </c>
      <c r="B1390" s="26" t="s">
        <v>632</v>
      </c>
      <c r="C1390" s="12" t="s">
        <v>1040</v>
      </c>
      <c r="D1390" s="12" t="s">
        <v>1181</v>
      </c>
      <c r="E1390" s="12">
        <v>12</v>
      </c>
      <c r="F1390" s="10" t="s">
        <v>967</v>
      </c>
      <c r="G1390" s="10"/>
      <c r="H1390" s="53">
        <f>H1391</f>
        <v>250000</v>
      </c>
    </row>
    <row r="1391" spans="1:8" s="28" customFormat="1" ht="44.25" customHeight="1" x14ac:dyDescent="0.25">
      <c r="A1391" s="27">
        <v>4123400303</v>
      </c>
      <c r="B1391" s="76" t="s">
        <v>117</v>
      </c>
      <c r="C1391" s="12" t="s">
        <v>1040</v>
      </c>
      <c r="D1391" s="12" t="s">
        <v>1181</v>
      </c>
      <c r="E1391" s="12">
        <v>12</v>
      </c>
      <c r="F1391" s="10" t="s">
        <v>970</v>
      </c>
      <c r="G1391" s="10"/>
      <c r="H1391" s="53">
        <f>H1392</f>
        <v>250000</v>
      </c>
    </row>
    <row r="1392" spans="1:8" s="28" customFormat="1" x14ac:dyDescent="0.25">
      <c r="A1392" s="27">
        <v>4123400303012</v>
      </c>
      <c r="B1392" s="26" t="s">
        <v>1012</v>
      </c>
      <c r="C1392" s="12" t="s">
        <v>1040</v>
      </c>
      <c r="D1392" s="12" t="s">
        <v>1181</v>
      </c>
      <c r="E1392" s="12">
        <v>12</v>
      </c>
      <c r="F1392" s="10" t="s">
        <v>970</v>
      </c>
      <c r="G1392" s="12" t="s">
        <v>1224</v>
      </c>
      <c r="H1392" s="53">
        <v>250000</v>
      </c>
    </row>
    <row r="1393" spans="1:8" s="28" customFormat="1" x14ac:dyDescent="0.25">
      <c r="A1393" s="29"/>
      <c r="B1393" s="26"/>
      <c r="C1393" s="12"/>
      <c r="D1393" s="10"/>
      <c r="E1393" s="10"/>
      <c r="F1393" s="10"/>
      <c r="G1393" s="10"/>
      <c r="H1393" s="53"/>
    </row>
    <row r="1394" spans="1:8" s="3" customFormat="1" x14ac:dyDescent="0.25">
      <c r="A1394" s="40">
        <v>0</v>
      </c>
      <c r="B1394" s="41" t="s">
        <v>1749</v>
      </c>
      <c r="C1394" s="42" t="s">
        <v>1350</v>
      </c>
      <c r="D1394" s="31"/>
      <c r="E1394" s="31"/>
      <c r="F1394" s="31"/>
      <c r="G1394" s="31"/>
      <c r="H1394" s="187">
        <f>H1395+H1403+H1407+H1412+H1417+H1444</f>
        <v>2940977</v>
      </c>
    </row>
    <row r="1395" spans="1:8" s="69" customFormat="1" x14ac:dyDescent="0.25">
      <c r="A1395" s="29">
        <v>1</v>
      </c>
      <c r="B1395" s="35" t="s">
        <v>482</v>
      </c>
      <c r="C1395" s="12" t="s">
        <v>1350</v>
      </c>
      <c r="D1395" s="12" t="s">
        <v>566</v>
      </c>
      <c r="E1395" s="10"/>
      <c r="F1395" s="10"/>
      <c r="G1395" s="10"/>
      <c r="H1395" s="53">
        <f>H1396</f>
        <v>6750</v>
      </c>
    </row>
    <row r="1396" spans="1:8" s="69" customFormat="1" x14ac:dyDescent="0.25">
      <c r="A1396" s="29">
        <v>108</v>
      </c>
      <c r="B1396" s="26" t="s">
        <v>286</v>
      </c>
      <c r="C1396" s="12" t="s">
        <v>1350</v>
      </c>
      <c r="D1396" s="12" t="s">
        <v>566</v>
      </c>
      <c r="E1396" s="12" t="s">
        <v>290</v>
      </c>
      <c r="F1396" s="12"/>
      <c r="G1396" s="10"/>
      <c r="H1396" s="53">
        <f>H1397+H1400</f>
        <v>6750</v>
      </c>
    </row>
    <row r="1397" spans="1:8" s="69" customFormat="1" x14ac:dyDescent="0.25">
      <c r="A1397" s="27">
        <v>108030</v>
      </c>
      <c r="B1397" s="26" t="s">
        <v>1675</v>
      </c>
      <c r="C1397" s="12" t="s">
        <v>1350</v>
      </c>
      <c r="D1397" s="12" t="s">
        <v>566</v>
      </c>
      <c r="E1397" s="12" t="s">
        <v>290</v>
      </c>
      <c r="F1397" s="12" t="s">
        <v>1674</v>
      </c>
      <c r="G1397" s="10"/>
      <c r="H1397" s="53">
        <f>H1398</f>
        <v>5800</v>
      </c>
    </row>
    <row r="1398" spans="1:8" s="69" customFormat="1" ht="17.25" customHeight="1" x14ac:dyDescent="0.25">
      <c r="A1398" s="27">
        <v>10803004</v>
      </c>
      <c r="B1398" s="26" t="s">
        <v>1378</v>
      </c>
      <c r="C1398" s="12" t="s">
        <v>1350</v>
      </c>
      <c r="D1398" s="12" t="s">
        <v>566</v>
      </c>
      <c r="E1398" s="12" t="s">
        <v>290</v>
      </c>
      <c r="F1398" s="12" t="s">
        <v>388</v>
      </c>
      <c r="G1398" s="10"/>
      <c r="H1398" s="53">
        <f>H1399</f>
        <v>5800</v>
      </c>
    </row>
    <row r="1399" spans="1:8" s="69" customFormat="1" x14ac:dyDescent="0.25">
      <c r="A1399" s="27">
        <v>10803004012</v>
      </c>
      <c r="B1399" s="65" t="s">
        <v>1012</v>
      </c>
      <c r="C1399" s="12" t="s">
        <v>1350</v>
      </c>
      <c r="D1399" s="12" t="s">
        <v>566</v>
      </c>
      <c r="E1399" s="12" t="s">
        <v>290</v>
      </c>
      <c r="F1399" s="12" t="s">
        <v>388</v>
      </c>
      <c r="G1399" s="12" t="s">
        <v>1224</v>
      </c>
      <c r="H1399" s="53">
        <v>5800</v>
      </c>
    </row>
    <row r="1400" spans="1:8" s="69" customFormat="1" ht="21" customHeight="1" x14ac:dyDescent="0.25">
      <c r="A1400" s="27">
        <v>108522</v>
      </c>
      <c r="B1400" s="65" t="s">
        <v>153</v>
      </c>
      <c r="C1400" s="12" t="s">
        <v>1350</v>
      </c>
      <c r="D1400" s="12" t="s">
        <v>566</v>
      </c>
      <c r="E1400" s="12" t="s">
        <v>290</v>
      </c>
      <c r="F1400" s="10" t="s">
        <v>611</v>
      </c>
      <c r="G1400" s="12"/>
      <c r="H1400" s="53">
        <f>H1401</f>
        <v>950</v>
      </c>
    </row>
    <row r="1401" spans="1:8" s="69" customFormat="1" ht="35.25" customHeight="1" x14ac:dyDescent="0.25">
      <c r="A1401" s="27">
        <v>10852209</v>
      </c>
      <c r="B1401" s="54" t="s">
        <v>782</v>
      </c>
      <c r="C1401" s="12" t="s">
        <v>1350</v>
      </c>
      <c r="D1401" s="12" t="s">
        <v>566</v>
      </c>
      <c r="E1401" s="12" t="s">
        <v>290</v>
      </c>
      <c r="F1401" s="10" t="s">
        <v>29</v>
      </c>
      <c r="G1401" s="12"/>
      <c r="H1401" s="53">
        <f>H1402</f>
        <v>950</v>
      </c>
    </row>
    <row r="1402" spans="1:8" s="69" customFormat="1" x14ac:dyDescent="0.25">
      <c r="A1402" s="27">
        <v>10852209012</v>
      </c>
      <c r="B1402" s="65" t="s">
        <v>1012</v>
      </c>
      <c r="C1402" s="12" t="s">
        <v>1350</v>
      </c>
      <c r="D1402" s="12" t="s">
        <v>566</v>
      </c>
      <c r="E1402" s="12" t="s">
        <v>290</v>
      </c>
      <c r="F1402" s="10" t="s">
        <v>29</v>
      </c>
      <c r="G1402" s="6" t="s">
        <v>1224</v>
      </c>
      <c r="H1402" s="53">
        <v>950</v>
      </c>
    </row>
    <row r="1403" spans="1:8" s="3" customFormat="1" hidden="1" x14ac:dyDescent="0.25">
      <c r="A1403" s="27">
        <v>2</v>
      </c>
      <c r="B1403" s="35" t="s">
        <v>271</v>
      </c>
      <c r="C1403" s="12" t="s">
        <v>1350</v>
      </c>
      <c r="D1403" s="12" t="s">
        <v>567</v>
      </c>
      <c r="E1403" s="31"/>
      <c r="F1403" s="31"/>
      <c r="G1403" s="31"/>
      <c r="H1403" s="53">
        <f>H1404</f>
        <v>0</v>
      </c>
    </row>
    <row r="1404" spans="1:8" s="3" customFormat="1" hidden="1" x14ac:dyDescent="0.25">
      <c r="A1404" s="27">
        <v>203</v>
      </c>
      <c r="B1404" s="26" t="s">
        <v>1054</v>
      </c>
      <c r="C1404" s="12" t="s">
        <v>1350</v>
      </c>
      <c r="D1404" s="12" t="s">
        <v>567</v>
      </c>
      <c r="E1404" s="12" t="s">
        <v>193</v>
      </c>
      <c r="F1404" s="31"/>
      <c r="G1404" s="31"/>
      <c r="H1404" s="53">
        <f>H1405</f>
        <v>0</v>
      </c>
    </row>
    <row r="1405" spans="1:8" s="3" customFormat="1" ht="31.5" hidden="1" x14ac:dyDescent="0.25">
      <c r="A1405" s="27">
        <v>203209</v>
      </c>
      <c r="B1405" s="26" t="s">
        <v>141</v>
      </c>
      <c r="C1405" s="12" t="s">
        <v>1350</v>
      </c>
      <c r="D1405" s="12" t="s">
        <v>567</v>
      </c>
      <c r="E1405" s="12" t="s">
        <v>193</v>
      </c>
      <c r="F1405" s="10" t="s">
        <v>270</v>
      </c>
      <c r="G1405" s="31"/>
      <c r="H1405" s="53">
        <f>H1406</f>
        <v>0</v>
      </c>
    </row>
    <row r="1406" spans="1:8" s="3" customFormat="1" ht="31.5" hidden="1" x14ac:dyDescent="0.25">
      <c r="A1406" s="27">
        <v>203209237</v>
      </c>
      <c r="B1406" s="26" t="s">
        <v>43</v>
      </c>
      <c r="C1406" s="12" t="s">
        <v>1350</v>
      </c>
      <c r="D1406" s="12" t="s">
        <v>567</v>
      </c>
      <c r="E1406" s="12" t="s">
        <v>193</v>
      </c>
      <c r="F1406" s="10" t="s">
        <v>270</v>
      </c>
      <c r="G1406" s="12">
        <v>237</v>
      </c>
      <c r="H1406" s="53"/>
    </row>
    <row r="1407" spans="1:8" s="3" customFormat="1" ht="19.5" customHeight="1" x14ac:dyDescent="0.25">
      <c r="A1407" s="27">
        <v>3</v>
      </c>
      <c r="B1407" s="35" t="s">
        <v>1049</v>
      </c>
      <c r="C1407" s="12" t="s">
        <v>1350</v>
      </c>
      <c r="D1407" s="6" t="s">
        <v>193</v>
      </c>
      <c r="E1407" s="12"/>
      <c r="F1407" s="10"/>
      <c r="G1407" s="12"/>
      <c r="H1407" s="53">
        <f>H1408</f>
        <v>1819</v>
      </c>
    </row>
    <row r="1408" spans="1:8" s="28" customFormat="1" ht="47.25" x14ac:dyDescent="0.25">
      <c r="A1408" s="27">
        <v>309</v>
      </c>
      <c r="B1408" s="26" t="s">
        <v>133</v>
      </c>
      <c r="C1408" s="12" t="s">
        <v>1350</v>
      </c>
      <c r="D1408" s="12" t="s">
        <v>193</v>
      </c>
      <c r="E1408" s="12" t="s">
        <v>406</v>
      </c>
      <c r="F1408" s="10"/>
      <c r="G1408" s="12"/>
      <c r="H1408" s="53">
        <f>H1409</f>
        <v>1819</v>
      </c>
    </row>
    <row r="1409" spans="1:8" s="28" customFormat="1" x14ac:dyDescent="0.25">
      <c r="A1409" s="27">
        <v>309219</v>
      </c>
      <c r="B1409" s="26" t="s">
        <v>1098</v>
      </c>
      <c r="C1409" s="12" t="s">
        <v>1350</v>
      </c>
      <c r="D1409" s="12" t="s">
        <v>193</v>
      </c>
      <c r="E1409" s="12" t="s">
        <v>406</v>
      </c>
      <c r="F1409" s="10" t="s">
        <v>620</v>
      </c>
      <c r="G1409" s="12"/>
      <c r="H1409" s="53">
        <f>H1410</f>
        <v>1819</v>
      </c>
    </row>
    <row r="1410" spans="1:8" s="28" customFormat="1" ht="31.5" x14ac:dyDescent="0.25">
      <c r="A1410" s="27">
        <v>30921901</v>
      </c>
      <c r="B1410" s="26" t="s">
        <v>591</v>
      </c>
      <c r="C1410" s="12" t="s">
        <v>1350</v>
      </c>
      <c r="D1410" s="12" t="s">
        <v>193</v>
      </c>
      <c r="E1410" s="12" t="s">
        <v>406</v>
      </c>
      <c r="F1410" s="10" t="s">
        <v>269</v>
      </c>
      <c r="G1410" s="12"/>
      <c r="H1410" s="53">
        <f>H1411</f>
        <v>1819</v>
      </c>
    </row>
    <row r="1411" spans="1:8" s="28" customFormat="1" x14ac:dyDescent="0.25">
      <c r="A1411" s="27">
        <v>30921901012</v>
      </c>
      <c r="B1411" s="65" t="s">
        <v>1012</v>
      </c>
      <c r="C1411" s="12" t="s">
        <v>1350</v>
      </c>
      <c r="D1411" s="12" t="s">
        <v>193</v>
      </c>
      <c r="E1411" s="12" t="s">
        <v>406</v>
      </c>
      <c r="F1411" s="10" t="s">
        <v>269</v>
      </c>
      <c r="G1411" s="12" t="s">
        <v>1224</v>
      </c>
      <c r="H1411" s="53">
        <v>1819</v>
      </c>
    </row>
    <row r="1412" spans="1:8" s="28" customFormat="1" x14ac:dyDescent="0.25">
      <c r="A1412" s="29">
        <v>4</v>
      </c>
      <c r="B1412" s="35" t="s">
        <v>993</v>
      </c>
      <c r="C1412" s="12" t="s">
        <v>1350</v>
      </c>
      <c r="D1412" s="12" t="s">
        <v>1181</v>
      </c>
      <c r="E1412" s="10"/>
      <c r="F1412" s="10"/>
      <c r="G1412" s="10"/>
      <c r="H1412" s="53">
        <f>H1413</f>
        <v>100000</v>
      </c>
    </row>
    <row r="1413" spans="1:8" s="28" customFormat="1" x14ac:dyDescent="0.25">
      <c r="A1413" s="29">
        <v>412</v>
      </c>
      <c r="B1413" s="26" t="s">
        <v>1253</v>
      </c>
      <c r="C1413" s="12" t="s">
        <v>1350</v>
      </c>
      <c r="D1413" s="12" t="s">
        <v>1181</v>
      </c>
      <c r="E1413" s="12">
        <v>12</v>
      </c>
      <c r="F1413" s="12"/>
      <c r="G1413" s="12"/>
      <c r="H1413" s="53">
        <f>H1414</f>
        <v>100000</v>
      </c>
    </row>
    <row r="1414" spans="1:8" s="28" customFormat="1" ht="31.5" x14ac:dyDescent="0.25">
      <c r="A1414" s="27">
        <v>412340</v>
      </c>
      <c r="B1414" s="26" t="s">
        <v>481</v>
      </c>
      <c r="C1414" s="12" t="s">
        <v>1350</v>
      </c>
      <c r="D1414" s="12" t="s">
        <v>1181</v>
      </c>
      <c r="E1414" s="12">
        <v>12</v>
      </c>
      <c r="F1414" s="10" t="s">
        <v>1015</v>
      </c>
      <c r="G1414" s="12"/>
      <c r="H1414" s="53">
        <f>H1415</f>
        <v>100000</v>
      </c>
    </row>
    <row r="1415" spans="1:8" s="28" customFormat="1" x14ac:dyDescent="0.25">
      <c r="A1415" s="27">
        <v>41234004</v>
      </c>
      <c r="B1415" s="65" t="s">
        <v>1215</v>
      </c>
      <c r="C1415" s="12" t="s">
        <v>1350</v>
      </c>
      <c r="D1415" s="12" t="s">
        <v>1181</v>
      </c>
      <c r="E1415" s="12">
        <v>12</v>
      </c>
      <c r="F1415" s="10" t="s">
        <v>1753</v>
      </c>
      <c r="G1415" s="10"/>
      <c r="H1415" s="53">
        <f>H1416</f>
        <v>100000</v>
      </c>
    </row>
    <row r="1416" spans="1:8" s="28" customFormat="1" x14ac:dyDescent="0.25">
      <c r="A1416" s="27">
        <v>41234004006</v>
      </c>
      <c r="B1416" s="65" t="s">
        <v>84</v>
      </c>
      <c r="C1416" s="12" t="s">
        <v>1350</v>
      </c>
      <c r="D1416" s="12" t="s">
        <v>1181</v>
      </c>
      <c r="E1416" s="12">
        <v>12</v>
      </c>
      <c r="F1416" s="10" t="s">
        <v>1753</v>
      </c>
      <c r="G1416" s="12" t="s">
        <v>165</v>
      </c>
      <c r="H1416" s="53">
        <v>100000</v>
      </c>
    </row>
    <row r="1417" spans="1:8" s="28" customFormat="1" x14ac:dyDescent="0.25">
      <c r="A1417" s="29">
        <v>7</v>
      </c>
      <c r="B1417" s="35" t="s">
        <v>174</v>
      </c>
      <c r="C1417" s="12" t="s">
        <v>1350</v>
      </c>
      <c r="D1417" s="12" t="s">
        <v>205</v>
      </c>
      <c r="E1417" s="10"/>
      <c r="F1417" s="10"/>
      <c r="G1417" s="10"/>
      <c r="H1417" s="53">
        <f>H1418+H1437</f>
        <v>357691</v>
      </c>
    </row>
    <row r="1418" spans="1:8" s="28" customFormat="1" x14ac:dyDescent="0.25">
      <c r="A1418" s="29">
        <v>704</v>
      </c>
      <c r="B1418" s="26" t="s">
        <v>973</v>
      </c>
      <c r="C1418" s="12" t="s">
        <v>1350</v>
      </c>
      <c r="D1418" s="12" t="s">
        <v>205</v>
      </c>
      <c r="E1418" s="12" t="s">
        <v>1181</v>
      </c>
      <c r="F1418" s="10"/>
      <c r="G1418" s="10"/>
      <c r="H1418" s="53">
        <f>H1419</f>
        <v>348857</v>
      </c>
    </row>
    <row r="1419" spans="1:8" s="147" customFormat="1" x14ac:dyDescent="0.25">
      <c r="A1419" s="188">
        <v>704427</v>
      </c>
      <c r="B1419" s="38" t="s">
        <v>974</v>
      </c>
      <c r="C1419" s="25" t="s">
        <v>1350</v>
      </c>
      <c r="D1419" s="24" t="s">
        <v>205</v>
      </c>
      <c r="E1419" s="24" t="s">
        <v>1181</v>
      </c>
      <c r="F1419" s="80" t="s">
        <v>867</v>
      </c>
      <c r="G1419" s="24"/>
      <c r="H1419" s="53">
        <f>H1420</f>
        <v>348857</v>
      </c>
    </row>
    <row r="1420" spans="1:8" s="147" customFormat="1" x14ac:dyDescent="0.25">
      <c r="A1420" s="188">
        <v>70442799</v>
      </c>
      <c r="B1420" s="38" t="s">
        <v>624</v>
      </c>
      <c r="C1420" s="25" t="s">
        <v>1350</v>
      </c>
      <c r="D1420" s="24" t="s">
        <v>205</v>
      </c>
      <c r="E1420" s="24" t="s">
        <v>1181</v>
      </c>
      <c r="F1420" s="80" t="s">
        <v>263</v>
      </c>
      <c r="G1420" s="24"/>
      <c r="H1420" s="53">
        <f>H1421+H1423+H1425+H1427+H1429+H1431+H1433+H1435</f>
        <v>348857</v>
      </c>
    </row>
    <row r="1421" spans="1:8" s="147" customFormat="1" ht="31.5" x14ac:dyDescent="0.25">
      <c r="A1421" s="188">
        <v>7044279901</v>
      </c>
      <c r="B1421" s="38" t="s">
        <v>9</v>
      </c>
      <c r="C1421" s="25" t="s">
        <v>1350</v>
      </c>
      <c r="D1421" s="24" t="s">
        <v>205</v>
      </c>
      <c r="E1421" s="24" t="s">
        <v>1181</v>
      </c>
      <c r="F1421" s="80" t="s">
        <v>264</v>
      </c>
      <c r="G1421" s="24"/>
      <c r="H1421" s="53">
        <f>H1422</f>
        <v>8114</v>
      </c>
    </row>
    <row r="1422" spans="1:8" s="147" customFormat="1" x14ac:dyDescent="0.25">
      <c r="A1422" s="188">
        <v>7044279901001</v>
      </c>
      <c r="B1422" s="38" t="s">
        <v>1435</v>
      </c>
      <c r="C1422" s="25" t="s">
        <v>1350</v>
      </c>
      <c r="D1422" s="24" t="s">
        <v>205</v>
      </c>
      <c r="E1422" s="24" t="s">
        <v>1181</v>
      </c>
      <c r="F1422" s="80" t="s">
        <v>264</v>
      </c>
      <c r="G1422" s="25" t="s">
        <v>1394</v>
      </c>
      <c r="H1422" s="53">
        <v>8114</v>
      </c>
    </row>
    <row r="1423" spans="1:8" s="147" customFormat="1" ht="31.5" x14ac:dyDescent="0.25">
      <c r="A1423" s="188">
        <v>7044279902</v>
      </c>
      <c r="B1423" s="38" t="s">
        <v>10</v>
      </c>
      <c r="C1423" s="25" t="s">
        <v>1350</v>
      </c>
      <c r="D1423" s="24" t="s">
        <v>205</v>
      </c>
      <c r="E1423" s="24" t="s">
        <v>1181</v>
      </c>
      <c r="F1423" s="80" t="s">
        <v>265</v>
      </c>
      <c r="G1423" s="24"/>
      <c r="H1423" s="53">
        <f>H1424</f>
        <v>408</v>
      </c>
    </row>
    <row r="1424" spans="1:8" s="147" customFormat="1" x14ac:dyDescent="0.25">
      <c r="A1424" s="188">
        <v>7044279902001</v>
      </c>
      <c r="B1424" s="38" t="s">
        <v>1435</v>
      </c>
      <c r="C1424" s="25" t="s">
        <v>1350</v>
      </c>
      <c r="D1424" s="24" t="s">
        <v>205</v>
      </c>
      <c r="E1424" s="24" t="s">
        <v>1181</v>
      </c>
      <c r="F1424" s="80" t="s">
        <v>265</v>
      </c>
      <c r="G1424" s="24" t="s">
        <v>1394</v>
      </c>
      <c r="H1424" s="53">
        <v>408</v>
      </c>
    </row>
    <row r="1425" spans="1:11" s="147" customFormat="1" ht="31.5" x14ac:dyDescent="0.25">
      <c r="A1425" s="188">
        <v>7044279904</v>
      </c>
      <c r="B1425" s="148" t="s">
        <v>998</v>
      </c>
      <c r="C1425" s="25" t="s">
        <v>1350</v>
      </c>
      <c r="D1425" s="24" t="s">
        <v>205</v>
      </c>
      <c r="E1425" s="24" t="s">
        <v>1181</v>
      </c>
      <c r="F1425" s="80" t="s">
        <v>414</v>
      </c>
      <c r="G1425" s="24"/>
      <c r="H1425" s="53">
        <f>H1426</f>
        <v>180</v>
      </c>
    </row>
    <row r="1426" spans="1:11" s="147" customFormat="1" x14ac:dyDescent="0.25">
      <c r="A1426" s="188">
        <v>7044279904001</v>
      </c>
      <c r="B1426" s="38" t="s">
        <v>1435</v>
      </c>
      <c r="C1426" s="25" t="s">
        <v>1350</v>
      </c>
      <c r="D1426" s="24" t="s">
        <v>205</v>
      </c>
      <c r="E1426" s="24" t="s">
        <v>1181</v>
      </c>
      <c r="F1426" s="80" t="s">
        <v>414</v>
      </c>
      <c r="G1426" s="24" t="s">
        <v>1394</v>
      </c>
      <c r="H1426" s="53">
        <v>180</v>
      </c>
    </row>
    <row r="1427" spans="1:11" s="147" customFormat="1" ht="47.25" x14ac:dyDescent="0.25">
      <c r="A1427" s="188">
        <v>7044279907</v>
      </c>
      <c r="B1427" s="148" t="s">
        <v>681</v>
      </c>
      <c r="C1427" s="25" t="s">
        <v>1350</v>
      </c>
      <c r="D1427" s="24" t="s">
        <v>205</v>
      </c>
      <c r="E1427" s="24" t="s">
        <v>1181</v>
      </c>
      <c r="F1427" s="80" t="s">
        <v>415</v>
      </c>
      <c r="G1427" s="24"/>
      <c r="H1427" s="53">
        <f>H1428</f>
        <v>32</v>
      </c>
    </row>
    <row r="1428" spans="1:11" s="147" customFormat="1" x14ac:dyDescent="0.25">
      <c r="A1428" s="188">
        <v>7044279907001</v>
      </c>
      <c r="B1428" s="38" t="s">
        <v>1435</v>
      </c>
      <c r="C1428" s="25" t="s">
        <v>1350</v>
      </c>
      <c r="D1428" s="24" t="s">
        <v>205</v>
      </c>
      <c r="E1428" s="24" t="s">
        <v>1181</v>
      </c>
      <c r="F1428" s="80" t="s">
        <v>415</v>
      </c>
      <c r="G1428" s="24" t="s">
        <v>1394</v>
      </c>
      <c r="H1428" s="53">
        <v>32</v>
      </c>
    </row>
    <row r="1429" spans="1:11" s="147" customFormat="1" ht="47.25" x14ac:dyDescent="0.25">
      <c r="A1429" s="188">
        <v>7044279908</v>
      </c>
      <c r="B1429" s="148" t="s">
        <v>1597</v>
      </c>
      <c r="C1429" s="25" t="s">
        <v>1350</v>
      </c>
      <c r="D1429" s="24" t="s">
        <v>205</v>
      </c>
      <c r="E1429" s="24" t="s">
        <v>1181</v>
      </c>
      <c r="F1429" s="80" t="s">
        <v>416</v>
      </c>
      <c r="G1429" s="24"/>
      <c r="H1429" s="53">
        <f>H1430</f>
        <v>648</v>
      </c>
    </row>
    <row r="1430" spans="1:11" s="147" customFormat="1" x14ac:dyDescent="0.25">
      <c r="A1430" s="188">
        <v>7044279908001</v>
      </c>
      <c r="B1430" s="38" t="s">
        <v>1435</v>
      </c>
      <c r="C1430" s="25" t="s">
        <v>1350</v>
      </c>
      <c r="D1430" s="24" t="s">
        <v>205</v>
      </c>
      <c r="E1430" s="24" t="s">
        <v>1181</v>
      </c>
      <c r="F1430" s="80" t="s">
        <v>416</v>
      </c>
      <c r="G1430" s="24" t="s">
        <v>1394</v>
      </c>
      <c r="H1430" s="53">
        <v>648</v>
      </c>
    </row>
    <row r="1431" spans="1:11" s="147" customFormat="1" ht="78.75" x14ac:dyDescent="0.25">
      <c r="A1431" s="188">
        <v>7044279911</v>
      </c>
      <c r="B1431" s="148" t="s">
        <v>155</v>
      </c>
      <c r="C1431" s="25" t="s">
        <v>1350</v>
      </c>
      <c r="D1431" s="24" t="s">
        <v>205</v>
      </c>
      <c r="E1431" s="24" t="s">
        <v>1181</v>
      </c>
      <c r="F1431" s="80" t="s">
        <v>83</v>
      </c>
      <c r="G1431" s="24"/>
      <c r="H1431" s="53">
        <f>H1432</f>
        <v>6000</v>
      </c>
    </row>
    <row r="1432" spans="1:11" s="147" customFormat="1" x14ac:dyDescent="0.25">
      <c r="A1432" s="188">
        <v>7044279911001</v>
      </c>
      <c r="B1432" s="38" t="s">
        <v>1435</v>
      </c>
      <c r="C1432" s="25" t="s">
        <v>1350</v>
      </c>
      <c r="D1432" s="24" t="s">
        <v>205</v>
      </c>
      <c r="E1432" s="24" t="s">
        <v>1181</v>
      </c>
      <c r="F1432" s="80" t="s">
        <v>83</v>
      </c>
      <c r="G1432" s="24" t="s">
        <v>1394</v>
      </c>
      <c r="H1432" s="53">
        <v>6000</v>
      </c>
    </row>
    <row r="1433" spans="1:11" s="147" customFormat="1" ht="31.5" x14ac:dyDescent="0.25">
      <c r="A1433" s="188">
        <v>7044279912</v>
      </c>
      <c r="B1433" s="148" t="s">
        <v>441</v>
      </c>
      <c r="C1433" s="25" t="s">
        <v>1350</v>
      </c>
      <c r="D1433" s="24" t="s">
        <v>205</v>
      </c>
      <c r="E1433" s="24" t="s">
        <v>1181</v>
      </c>
      <c r="F1433" s="80" t="s">
        <v>413</v>
      </c>
      <c r="G1433" s="24"/>
      <c r="H1433" s="53">
        <f>H1434</f>
        <v>1367</v>
      </c>
    </row>
    <row r="1434" spans="1:11" s="147" customFormat="1" x14ac:dyDescent="0.25">
      <c r="A1434" s="188">
        <v>7044279912001</v>
      </c>
      <c r="B1434" s="38" t="s">
        <v>1435</v>
      </c>
      <c r="C1434" s="25" t="s">
        <v>1350</v>
      </c>
      <c r="D1434" s="24" t="s">
        <v>205</v>
      </c>
      <c r="E1434" s="24" t="s">
        <v>1181</v>
      </c>
      <c r="F1434" s="80" t="s">
        <v>413</v>
      </c>
      <c r="G1434" s="24" t="s">
        <v>1394</v>
      </c>
      <c r="H1434" s="53">
        <v>1367</v>
      </c>
    </row>
    <row r="1435" spans="1:11" s="147" customFormat="1" ht="36.75" customHeight="1" x14ac:dyDescent="0.25">
      <c r="A1435" s="188">
        <v>7044279999</v>
      </c>
      <c r="B1435" s="38" t="s">
        <v>1089</v>
      </c>
      <c r="C1435" s="25" t="s">
        <v>1350</v>
      </c>
      <c r="D1435" s="24" t="s">
        <v>205</v>
      </c>
      <c r="E1435" s="24" t="s">
        <v>1181</v>
      </c>
      <c r="F1435" s="80" t="s">
        <v>266</v>
      </c>
      <c r="G1435" s="24"/>
      <c r="H1435" s="53">
        <f>H1436</f>
        <v>332108</v>
      </c>
    </row>
    <row r="1436" spans="1:11" s="147" customFormat="1" x14ac:dyDescent="0.25">
      <c r="A1436" s="188">
        <v>7044279999001</v>
      </c>
      <c r="B1436" s="38" t="s">
        <v>1435</v>
      </c>
      <c r="C1436" s="25" t="s">
        <v>1350</v>
      </c>
      <c r="D1436" s="24" t="s">
        <v>205</v>
      </c>
      <c r="E1436" s="24" t="s">
        <v>1181</v>
      </c>
      <c r="F1436" s="80" t="s">
        <v>266</v>
      </c>
      <c r="G1436" s="24" t="s">
        <v>1394</v>
      </c>
      <c r="H1436" s="53">
        <v>332108</v>
      </c>
    </row>
    <row r="1437" spans="1:11" s="128" customFormat="1" x14ac:dyDescent="0.25">
      <c r="A1437" s="29">
        <v>709</v>
      </c>
      <c r="B1437" s="26" t="s">
        <v>1317</v>
      </c>
      <c r="C1437" s="12" t="s">
        <v>1350</v>
      </c>
      <c r="D1437" s="12" t="s">
        <v>205</v>
      </c>
      <c r="E1437" s="12" t="s">
        <v>406</v>
      </c>
      <c r="F1437" s="12"/>
      <c r="G1437" s="12"/>
      <c r="H1437" s="53">
        <f>H1438+H1441</f>
        <v>8834</v>
      </c>
    </row>
    <row r="1438" spans="1:11" s="128" customFormat="1" x14ac:dyDescent="0.25">
      <c r="A1438" s="27">
        <v>709436</v>
      </c>
      <c r="B1438" s="26" t="s">
        <v>625</v>
      </c>
      <c r="C1438" s="12" t="s">
        <v>1350</v>
      </c>
      <c r="D1438" s="12" t="s">
        <v>205</v>
      </c>
      <c r="E1438" s="12" t="s">
        <v>406</v>
      </c>
      <c r="F1438" s="10" t="s">
        <v>399</v>
      </c>
      <c r="G1438" s="10"/>
      <c r="H1438" s="53">
        <f>H1439</f>
        <v>3299</v>
      </c>
    </row>
    <row r="1439" spans="1:11" s="128" customFormat="1" x14ac:dyDescent="0.25">
      <c r="A1439" s="27">
        <v>70943609</v>
      </c>
      <c r="B1439" s="26" t="s">
        <v>1136</v>
      </c>
      <c r="C1439" s="12" t="s">
        <v>1350</v>
      </c>
      <c r="D1439" s="12" t="s">
        <v>205</v>
      </c>
      <c r="E1439" s="12" t="s">
        <v>406</v>
      </c>
      <c r="F1439" s="10" t="s">
        <v>1137</v>
      </c>
      <c r="G1439" s="12"/>
      <c r="H1439" s="214">
        <f>H1440</f>
        <v>3299</v>
      </c>
      <c r="J1439" s="159"/>
      <c r="K1439" s="159"/>
    </row>
    <row r="1440" spans="1:11" s="128" customFormat="1" x14ac:dyDescent="0.25">
      <c r="A1440" s="27">
        <v>70943609013</v>
      </c>
      <c r="B1440" s="26" t="s">
        <v>1335</v>
      </c>
      <c r="C1440" s="12" t="s">
        <v>1350</v>
      </c>
      <c r="D1440" s="12" t="s">
        <v>205</v>
      </c>
      <c r="E1440" s="12" t="s">
        <v>406</v>
      </c>
      <c r="F1440" s="10" t="s">
        <v>1137</v>
      </c>
      <c r="G1440" s="22" t="s">
        <v>972</v>
      </c>
      <c r="H1440" s="214">
        <v>3299</v>
      </c>
      <c r="J1440" s="159"/>
      <c r="K1440" s="159"/>
    </row>
    <row r="1441" spans="1:9" s="28" customFormat="1" x14ac:dyDescent="0.25">
      <c r="A1441" s="27">
        <v>709806</v>
      </c>
      <c r="B1441" s="26" t="s">
        <v>1522</v>
      </c>
      <c r="C1441" s="12" t="s">
        <v>1350</v>
      </c>
      <c r="D1441" s="12" t="s">
        <v>205</v>
      </c>
      <c r="E1441" s="12" t="s">
        <v>406</v>
      </c>
      <c r="F1441" s="10" t="s">
        <v>453</v>
      </c>
      <c r="G1441" s="12"/>
      <c r="H1441" s="53">
        <f>H1442</f>
        <v>5535</v>
      </c>
    </row>
    <row r="1442" spans="1:9" s="28" customFormat="1" x14ac:dyDescent="0.25">
      <c r="A1442" s="27">
        <v>70980602</v>
      </c>
      <c r="B1442" s="26" t="s">
        <v>1562</v>
      </c>
      <c r="C1442" s="12" t="s">
        <v>1350</v>
      </c>
      <c r="D1442" s="12" t="s">
        <v>205</v>
      </c>
      <c r="E1442" s="12" t="s">
        <v>406</v>
      </c>
      <c r="F1442" s="10" t="s">
        <v>1182</v>
      </c>
      <c r="G1442" s="12"/>
      <c r="H1442" s="53">
        <f>H1443</f>
        <v>5535</v>
      </c>
    </row>
    <row r="1443" spans="1:9" s="28" customFormat="1" x14ac:dyDescent="0.25">
      <c r="A1443" s="27">
        <v>70980602013</v>
      </c>
      <c r="B1443" s="26" t="s">
        <v>1335</v>
      </c>
      <c r="C1443" s="12" t="s">
        <v>1350</v>
      </c>
      <c r="D1443" s="12" t="s">
        <v>205</v>
      </c>
      <c r="E1443" s="12" t="s">
        <v>406</v>
      </c>
      <c r="F1443" s="10" t="s">
        <v>1182</v>
      </c>
      <c r="G1443" s="22" t="s">
        <v>972</v>
      </c>
      <c r="H1443" s="53">
        <v>5535</v>
      </c>
    </row>
    <row r="1444" spans="1:9" s="28" customFormat="1" x14ac:dyDescent="0.25">
      <c r="A1444" s="29">
        <v>8</v>
      </c>
      <c r="B1444" s="35" t="s">
        <v>402</v>
      </c>
      <c r="C1444" s="12" t="s">
        <v>1350</v>
      </c>
      <c r="D1444" s="12" t="s">
        <v>290</v>
      </c>
      <c r="E1444" s="10"/>
      <c r="F1444" s="10"/>
      <c r="G1444" s="10"/>
      <c r="H1444" s="53">
        <f>H1445+H1493</f>
        <v>2474717</v>
      </c>
    </row>
    <row r="1445" spans="1:9" s="28" customFormat="1" x14ac:dyDescent="0.25">
      <c r="A1445" s="29">
        <v>801</v>
      </c>
      <c r="B1445" s="26" t="s">
        <v>1402</v>
      </c>
      <c r="C1445" s="12" t="s">
        <v>1350</v>
      </c>
      <c r="D1445" s="12" t="s">
        <v>290</v>
      </c>
      <c r="E1445" s="12" t="s">
        <v>566</v>
      </c>
      <c r="F1445" s="10"/>
      <c r="G1445" s="10"/>
      <c r="H1445" s="53">
        <f>H1446+H1450+H1456+H1464+H1472+H1480+H1483</f>
        <v>2306507</v>
      </c>
      <c r="I1445" s="43"/>
    </row>
    <row r="1446" spans="1:9" s="28" customFormat="1" ht="31.5" x14ac:dyDescent="0.25">
      <c r="A1446" s="27">
        <v>801102</v>
      </c>
      <c r="B1446" s="26" t="s">
        <v>106</v>
      </c>
      <c r="C1446" s="12" t="s">
        <v>1350</v>
      </c>
      <c r="D1446" s="12" t="s">
        <v>290</v>
      </c>
      <c r="E1446" s="12" t="s">
        <v>566</v>
      </c>
      <c r="F1446" s="10" t="s">
        <v>234</v>
      </c>
      <c r="G1446" s="10"/>
      <c r="H1446" s="53">
        <f>H1447</f>
        <v>253950</v>
      </c>
    </row>
    <row r="1447" spans="1:9" s="28" customFormat="1" ht="63" x14ac:dyDescent="0.25">
      <c r="A1447" s="27">
        <v>80110201</v>
      </c>
      <c r="B1447" s="26" t="s">
        <v>942</v>
      </c>
      <c r="C1447" s="12" t="s">
        <v>1350</v>
      </c>
      <c r="D1447" s="12" t="s">
        <v>290</v>
      </c>
      <c r="E1447" s="12" t="s">
        <v>566</v>
      </c>
      <c r="F1447" s="10" t="s">
        <v>1178</v>
      </c>
      <c r="G1447" s="10"/>
      <c r="H1447" s="53">
        <f>H1448</f>
        <v>253950</v>
      </c>
    </row>
    <row r="1448" spans="1:9" s="28" customFormat="1" ht="47.25" x14ac:dyDescent="0.25">
      <c r="A1448" s="27">
        <v>8011020101</v>
      </c>
      <c r="B1448" s="26" t="s">
        <v>1025</v>
      </c>
      <c r="C1448" s="12" t="s">
        <v>1350</v>
      </c>
      <c r="D1448" s="12" t="s">
        <v>290</v>
      </c>
      <c r="E1448" s="12" t="s">
        <v>566</v>
      </c>
      <c r="F1448" s="10" t="s">
        <v>1179</v>
      </c>
      <c r="G1448" s="10"/>
      <c r="H1448" s="53">
        <f>H1449</f>
        <v>253950</v>
      </c>
    </row>
    <row r="1449" spans="1:9" s="28" customFormat="1" x14ac:dyDescent="0.25">
      <c r="A1449" s="27">
        <v>8011020101003</v>
      </c>
      <c r="B1449" s="26" t="s">
        <v>256</v>
      </c>
      <c r="C1449" s="12" t="s">
        <v>1350</v>
      </c>
      <c r="D1449" s="12" t="s">
        <v>290</v>
      </c>
      <c r="E1449" s="12" t="s">
        <v>566</v>
      </c>
      <c r="F1449" s="10" t="s">
        <v>1179</v>
      </c>
      <c r="G1449" s="80" t="s">
        <v>539</v>
      </c>
      <c r="H1449" s="53">
        <v>253950</v>
      </c>
    </row>
    <row r="1450" spans="1:9" s="28" customFormat="1" ht="31.5" x14ac:dyDescent="0.25">
      <c r="A1450" s="29">
        <v>801440</v>
      </c>
      <c r="B1450" s="26" t="s">
        <v>454</v>
      </c>
      <c r="C1450" s="12" t="s">
        <v>1350</v>
      </c>
      <c r="D1450" s="12" t="s">
        <v>290</v>
      </c>
      <c r="E1450" s="12" t="s">
        <v>566</v>
      </c>
      <c r="F1450" s="10" t="s">
        <v>1477</v>
      </c>
      <c r="G1450" s="10"/>
      <c r="H1450" s="53">
        <f>H1451</f>
        <v>138019</v>
      </c>
    </row>
    <row r="1451" spans="1:9" s="28" customFormat="1" x14ac:dyDescent="0.25">
      <c r="A1451" s="29">
        <v>80144099</v>
      </c>
      <c r="B1451" s="26" t="s">
        <v>624</v>
      </c>
      <c r="C1451" s="12" t="s">
        <v>1350</v>
      </c>
      <c r="D1451" s="12" t="s">
        <v>290</v>
      </c>
      <c r="E1451" s="12" t="s">
        <v>566</v>
      </c>
      <c r="F1451" s="10" t="s">
        <v>1295</v>
      </c>
      <c r="G1451" s="12"/>
      <c r="H1451" s="53">
        <f>H1452+H1454</f>
        <v>138019</v>
      </c>
    </row>
    <row r="1452" spans="1:9" s="28" customFormat="1" ht="47.25" x14ac:dyDescent="0.25">
      <c r="A1452" s="29">
        <v>8014409901</v>
      </c>
      <c r="B1452" s="26" t="s">
        <v>1533</v>
      </c>
      <c r="C1452" s="12" t="s">
        <v>1350</v>
      </c>
      <c r="D1452" s="12" t="s">
        <v>290</v>
      </c>
      <c r="E1452" s="12" t="s">
        <v>566</v>
      </c>
      <c r="F1452" s="10" t="s">
        <v>859</v>
      </c>
      <c r="G1452" s="12"/>
      <c r="H1452" s="53">
        <f>H1453</f>
        <v>3949</v>
      </c>
    </row>
    <row r="1453" spans="1:9" s="28" customFormat="1" x14ac:dyDescent="0.25">
      <c r="A1453" s="56">
        <v>8014409901001</v>
      </c>
      <c r="B1453" s="26" t="s">
        <v>1435</v>
      </c>
      <c r="C1453" s="12" t="s">
        <v>1350</v>
      </c>
      <c r="D1453" s="12" t="s">
        <v>290</v>
      </c>
      <c r="E1453" s="12" t="s">
        <v>566</v>
      </c>
      <c r="F1453" s="10" t="s">
        <v>859</v>
      </c>
      <c r="G1453" s="6" t="s">
        <v>1394</v>
      </c>
      <c r="H1453" s="53">
        <v>3949</v>
      </c>
    </row>
    <row r="1454" spans="1:9" s="28" customFormat="1" ht="47.25" x14ac:dyDescent="0.25">
      <c r="A1454" s="29">
        <v>8014409999</v>
      </c>
      <c r="B1454" s="26" t="s">
        <v>505</v>
      </c>
      <c r="C1454" s="12" t="s">
        <v>1350</v>
      </c>
      <c r="D1454" s="12" t="s">
        <v>290</v>
      </c>
      <c r="E1454" s="12" t="s">
        <v>566</v>
      </c>
      <c r="F1454" s="10" t="s">
        <v>860</v>
      </c>
      <c r="G1454" s="12"/>
      <c r="H1454" s="53">
        <f>H1455</f>
        <v>134070</v>
      </c>
    </row>
    <row r="1455" spans="1:9" s="28" customFormat="1" x14ac:dyDescent="0.25">
      <c r="A1455" s="56">
        <v>8014409999001</v>
      </c>
      <c r="B1455" s="26" t="s">
        <v>1435</v>
      </c>
      <c r="C1455" s="12" t="s">
        <v>1350</v>
      </c>
      <c r="D1455" s="12" t="s">
        <v>290</v>
      </c>
      <c r="E1455" s="12" t="s">
        <v>566</v>
      </c>
      <c r="F1455" s="10" t="s">
        <v>860</v>
      </c>
      <c r="G1455" s="6" t="s">
        <v>1394</v>
      </c>
      <c r="H1455" s="230">
        <f>131070+3000</f>
        <v>134070</v>
      </c>
    </row>
    <row r="1456" spans="1:9" s="28" customFormat="1" x14ac:dyDescent="0.25">
      <c r="A1456" s="29">
        <v>801441</v>
      </c>
      <c r="B1456" s="26" t="s">
        <v>1419</v>
      </c>
      <c r="C1456" s="12" t="s">
        <v>1350</v>
      </c>
      <c r="D1456" s="12" t="s">
        <v>290</v>
      </c>
      <c r="E1456" s="12" t="s">
        <v>566</v>
      </c>
      <c r="F1456" s="10" t="s">
        <v>1071</v>
      </c>
      <c r="G1456" s="12"/>
      <c r="H1456" s="53">
        <f>H1457</f>
        <v>522403</v>
      </c>
    </row>
    <row r="1457" spans="1:8" s="28" customFormat="1" x14ac:dyDescent="0.25">
      <c r="A1457" s="29">
        <v>80144199</v>
      </c>
      <c r="B1457" s="26" t="s">
        <v>624</v>
      </c>
      <c r="C1457" s="12" t="s">
        <v>1350</v>
      </c>
      <c r="D1457" s="12" t="s">
        <v>290</v>
      </c>
      <c r="E1457" s="12" t="s">
        <v>566</v>
      </c>
      <c r="F1457" s="10" t="s">
        <v>861</v>
      </c>
      <c r="G1457" s="12"/>
      <c r="H1457" s="53">
        <f>H1458+H1460+H1462</f>
        <v>522403</v>
      </c>
    </row>
    <row r="1458" spans="1:8" s="28" customFormat="1" ht="31.5" x14ac:dyDescent="0.25">
      <c r="A1458" s="29">
        <v>8014419901</v>
      </c>
      <c r="B1458" s="26" t="s">
        <v>252</v>
      </c>
      <c r="C1458" s="12" t="s">
        <v>1350</v>
      </c>
      <c r="D1458" s="12" t="s">
        <v>290</v>
      </c>
      <c r="E1458" s="12" t="s">
        <v>566</v>
      </c>
      <c r="F1458" s="10" t="s">
        <v>1706</v>
      </c>
      <c r="G1458" s="12"/>
      <c r="H1458" s="53">
        <f>H1459</f>
        <v>7333</v>
      </c>
    </row>
    <row r="1459" spans="1:8" s="28" customFormat="1" x14ac:dyDescent="0.25">
      <c r="A1459" s="56">
        <v>8014419901001</v>
      </c>
      <c r="B1459" s="26" t="s">
        <v>1435</v>
      </c>
      <c r="C1459" s="12" t="s">
        <v>1350</v>
      </c>
      <c r="D1459" s="12" t="s">
        <v>290</v>
      </c>
      <c r="E1459" s="12" t="s">
        <v>566</v>
      </c>
      <c r="F1459" s="10" t="s">
        <v>1706</v>
      </c>
      <c r="G1459" s="6" t="s">
        <v>1394</v>
      </c>
      <c r="H1459" s="53">
        <v>7333</v>
      </c>
    </row>
    <row r="1460" spans="1:8" s="28" customFormat="1" ht="18.75" customHeight="1" x14ac:dyDescent="0.25">
      <c r="A1460" s="29">
        <v>8014419902</v>
      </c>
      <c r="B1460" s="26" t="s">
        <v>805</v>
      </c>
      <c r="C1460" s="12" t="s">
        <v>1350</v>
      </c>
      <c r="D1460" s="12" t="s">
        <v>290</v>
      </c>
      <c r="E1460" s="12" t="s">
        <v>566</v>
      </c>
      <c r="F1460" s="10" t="s">
        <v>293</v>
      </c>
      <c r="G1460" s="12"/>
      <c r="H1460" s="53">
        <f>H1461</f>
        <v>70672</v>
      </c>
    </row>
    <row r="1461" spans="1:8" s="28" customFormat="1" x14ac:dyDescent="0.25">
      <c r="A1461" s="56">
        <v>8014419902001</v>
      </c>
      <c r="B1461" s="26" t="s">
        <v>1435</v>
      </c>
      <c r="C1461" s="12" t="s">
        <v>1350</v>
      </c>
      <c r="D1461" s="12" t="s">
        <v>290</v>
      </c>
      <c r="E1461" s="12" t="s">
        <v>566</v>
      </c>
      <c r="F1461" s="10" t="s">
        <v>293</v>
      </c>
      <c r="G1461" s="6" t="s">
        <v>1394</v>
      </c>
      <c r="H1461" s="53">
        <v>70672</v>
      </c>
    </row>
    <row r="1462" spans="1:8" s="28" customFormat="1" ht="31.5" x14ac:dyDescent="0.25">
      <c r="A1462" s="29">
        <v>8014419999</v>
      </c>
      <c r="B1462" s="26" t="s">
        <v>392</v>
      </c>
      <c r="C1462" s="12" t="s">
        <v>1350</v>
      </c>
      <c r="D1462" s="12" t="s">
        <v>290</v>
      </c>
      <c r="E1462" s="12" t="s">
        <v>566</v>
      </c>
      <c r="F1462" s="10" t="s">
        <v>823</v>
      </c>
      <c r="G1462" s="12"/>
      <c r="H1462" s="53">
        <f>H1463</f>
        <v>444398</v>
      </c>
    </row>
    <row r="1463" spans="1:8" s="28" customFormat="1" x14ac:dyDescent="0.25">
      <c r="A1463" s="56">
        <v>8014419999001</v>
      </c>
      <c r="B1463" s="26" t="s">
        <v>1435</v>
      </c>
      <c r="C1463" s="12" t="s">
        <v>1350</v>
      </c>
      <c r="D1463" s="12" t="s">
        <v>290</v>
      </c>
      <c r="E1463" s="12" t="s">
        <v>566</v>
      </c>
      <c r="F1463" s="10" t="s">
        <v>823</v>
      </c>
      <c r="G1463" s="6" t="s">
        <v>1394</v>
      </c>
      <c r="H1463" s="53">
        <v>444398</v>
      </c>
    </row>
    <row r="1464" spans="1:8" s="28" customFormat="1" x14ac:dyDescent="0.25">
      <c r="A1464" s="29">
        <v>801442</v>
      </c>
      <c r="B1464" s="26" t="s">
        <v>1420</v>
      </c>
      <c r="C1464" s="12" t="s">
        <v>1350</v>
      </c>
      <c r="D1464" s="12" t="s">
        <v>290</v>
      </c>
      <c r="E1464" s="12" t="s">
        <v>566</v>
      </c>
      <c r="F1464" s="10" t="s">
        <v>1072</v>
      </c>
      <c r="G1464" s="12"/>
      <c r="H1464" s="53">
        <f>H1465</f>
        <v>57143</v>
      </c>
    </row>
    <row r="1465" spans="1:8" s="28" customFormat="1" x14ac:dyDescent="0.25">
      <c r="A1465" s="29">
        <v>80144299</v>
      </c>
      <c r="B1465" s="26" t="s">
        <v>624</v>
      </c>
      <c r="C1465" s="12" t="s">
        <v>1350</v>
      </c>
      <c r="D1465" s="12" t="s">
        <v>290</v>
      </c>
      <c r="E1465" s="12" t="s">
        <v>566</v>
      </c>
      <c r="F1465" s="10" t="s">
        <v>806</v>
      </c>
      <c r="G1465" s="12"/>
      <c r="H1465" s="53">
        <f>H1466+H1468+H1470</f>
        <v>57143</v>
      </c>
    </row>
    <row r="1466" spans="1:8" s="28" customFormat="1" ht="31.5" x14ac:dyDescent="0.25">
      <c r="A1466" s="29">
        <v>8014429901</v>
      </c>
      <c r="B1466" s="26" t="s">
        <v>253</v>
      </c>
      <c r="C1466" s="12" t="s">
        <v>1350</v>
      </c>
      <c r="D1466" s="12" t="s">
        <v>290</v>
      </c>
      <c r="E1466" s="12" t="s">
        <v>566</v>
      </c>
      <c r="F1466" s="10" t="s">
        <v>807</v>
      </c>
      <c r="G1466" s="12"/>
      <c r="H1466" s="53">
        <f>H1467</f>
        <v>688</v>
      </c>
    </row>
    <row r="1467" spans="1:8" s="28" customFormat="1" x14ac:dyDescent="0.25">
      <c r="A1467" s="56">
        <v>8014429901001</v>
      </c>
      <c r="B1467" s="26" t="s">
        <v>1435</v>
      </c>
      <c r="C1467" s="12" t="s">
        <v>1350</v>
      </c>
      <c r="D1467" s="12" t="s">
        <v>290</v>
      </c>
      <c r="E1467" s="12" t="s">
        <v>566</v>
      </c>
      <c r="F1467" s="10" t="s">
        <v>807</v>
      </c>
      <c r="G1467" s="6" t="s">
        <v>1394</v>
      </c>
      <c r="H1467" s="53">
        <v>688</v>
      </c>
    </row>
    <row r="1468" spans="1:8" s="28" customFormat="1" x14ac:dyDescent="0.25">
      <c r="A1468" s="29">
        <v>8014429902</v>
      </c>
      <c r="B1468" s="26" t="s">
        <v>809</v>
      </c>
      <c r="C1468" s="12" t="s">
        <v>1350</v>
      </c>
      <c r="D1468" s="12" t="s">
        <v>290</v>
      </c>
      <c r="E1468" s="12" t="s">
        <v>566</v>
      </c>
      <c r="F1468" s="10" t="s">
        <v>808</v>
      </c>
      <c r="G1468" s="12"/>
      <c r="H1468" s="53">
        <f>H1469</f>
        <v>5786</v>
      </c>
    </row>
    <row r="1469" spans="1:8" s="28" customFormat="1" x14ac:dyDescent="0.25">
      <c r="A1469" s="56">
        <v>8014429902001</v>
      </c>
      <c r="B1469" s="26" t="s">
        <v>1435</v>
      </c>
      <c r="C1469" s="12" t="s">
        <v>1350</v>
      </c>
      <c r="D1469" s="12" t="s">
        <v>290</v>
      </c>
      <c r="E1469" s="12" t="s">
        <v>566</v>
      </c>
      <c r="F1469" s="10" t="s">
        <v>808</v>
      </c>
      <c r="G1469" s="6" t="s">
        <v>1394</v>
      </c>
      <c r="H1469" s="53">
        <v>5786</v>
      </c>
    </row>
    <row r="1470" spans="1:8" s="28" customFormat="1" x14ac:dyDescent="0.25">
      <c r="A1470" s="29">
        <v>8014429999</v>
      </c>
      <c r="B1470" s="26" t="s">
        <v>1019</v>
      </c>
      <c r="C1470" s="12" t="s">
        <v>1350</v>
      </c>
      <c r="D1470" s="12" t="s">
        <v>290</v>
      </c>
      <c r="E1470" s="12" t="s">
        <v>566</v>
      </c>
      <c r="F1470" s="10" t="s">
        <v>810</v>
      </c>
      <c r="G1470" s="12"/>
      <c r="H1470" s="53">
        <f>H1471</f>
        <v>50669</v>
      </c>
    </row>
    <row r="1471" spans="1:8" s="28" customFormat="1" x14ac:dyDescent="0.25">
      <c r="A1471" s="56">
        <v>8014429999001</v>
      </c>
      <c r="B1471" s="26" t="s">
        <v>1435</v>
      </c>
      <c r="C1471" s="12" t="s">
        <v>1350</v>
      </c>
      <c r="D1471" s="12" t="s">
        <v>290</v>
      </c>
      <c r="E1471" s="12" t="s">
        <v>566</v>
      </c>
      <c r="F1471" s="10" t="s">
        <v>810</v>
      </c>
      <c r="G1471" s="6" t="s">
        <v>1394</v>
      </c>
      <c r="H1471" s="53">
        <v>50669</v>
      </c>
    </row>
    <row r="1472" spans="1:8" s="28" customFormat="1" ht="31.5" x14ac:dyDescent="0.25">
      <c r="A1472" s="29">
        <v>801443</v>
      </c>
      <c r="B1472" s="26" t="s">
        <v>455</v>
      </c>
      <c r="C1472" s="12" t="s">
        <v>1350</v>
      </c>
      <c r="D1472" s="12" t="s">
        <v>290</v>
      </c>
      <c r="E1472" s="12" t="s">
        <v>566</v>
      </c>
      <c r="F1472" s="10" t="s">
        <v>1073</v>
      </c>
      <c r="G1472" s="12"/>
      <c r="H1472" s="53">
        <f>H1473</f>
        <v>1045737</v>
      </c>
    </row>
    <row r="1473" spans="1:8" s="28" customFormat="1" x14ac:dyDescent="0.25">
      <c r="A1473" s="29">
        <v>80144399</v>
      </c>
      <c r="B1473" s="26" t="s">
        <v>624</v>
      </c>
      <c r="C1473" s="12" t="s">
        <v>1350</v>
      </c>
      <c r="D1473" s="12" t="s">
        <v>290</v>
      </c>
      <c r="E1473" s="12" t="s">
        <v>566</v>
      </c>
      <c r="F1473" s="10" t="s">
        <v>1233</v>
      </c>
      <c r="G1473" s="12"/>
      <c r="H1473" s="53">
        <f>H1474+H1476+H1478</f>
        <v>1045737</v>
      </c>
    </row>
    <row r="1474" spans="1:8" s="28" customFormat="1" ht="47.25" x14ac:dyDescent="0.25">
      <c r="A1474" s="29">
        <v>8014439901</v>
      </c>
      <c r="B1474" s="26" t="s">
        <v>349</v>
      </c>
      <c r="C1474" s="12" t="s">
        <v>1350</v>
      </c>
      <c r="D1474" s="12" t="s">
        <v>290</v>
      </c>
      <c r="E1474" s="12" t="s">
        <v>566</v>
      </c>
      <c r="F1474" s="10" t="s">
        <v>574</v>
      </c>
      <c r="G1474" s="12"/>
      <c r="H1474" s="53">
        <f>H1475</f>
        <v>5361</v>
      </c>
    </row>
    <row r="1475" spans="1:8" s="28" customFormat="1" x14ac:dyDescent="0.25">
      <c r="A1475" s="56">
        <v>8014439901001</v>
      </c>
      <c r="B1475" s="26" t="s">
        <v>1435</v>
      </c>
      <c r="C1475" s="12" t="s">
        <v>1350</v>
      </c>
      <c r="D1475" s="12" t="s">
        <v>290</v>
      </c>
      <c r="E1475" s="12" t="s">
        <v>566</v>
      </c>
      <c r="F1475" s="10" t="s">
        <v>574</v>
      </c>
      <c r="G1475" s="6" t="s">
        <v>1394</v>
      </c>
      <c r="H1475" s="53">
        <v>5361</v>
      </c>
    </row>
    <row r="1476" spans="1:8" s="28" customFormat="1" ht="31.5" x14ac:dyDescent="0.25">
      <c r="A1476" s="29">
        <v>8014439902</v>
      </c>
      <c r="B1476" s="26" t="s">
        <v>585</v>
      </c>
      <c r="C1476" s="12" t="s">
        <v>1350</v>
      </c>
      <c r="D1476" s="12" t="s">
        <v>290</v>
      </c>
      <c r="E1476" s="12" t="s">
        <v>566</v>
      </c>
      <c r="F1476" s="10" t="s">
        <v>575</v>
      </c>
      <c r="G1476" s="12"/>
      <c r="H1476" s="53">
        <f>H1477</f>
        <v>11566</v>
      </c>
    </row>
    <row r="1477" spans="1:8" s="28" customFormat="1" x14ac:dyDescent="0.25">
      <c r="A1477" s="56">
        <v>8014439902001</v>
      </c>
      <c r="B1477" s="26" t="s">
        <v>1435</v>
      </c>
      <c r="C1477" s="12" t="s">
        <v>1350</v>
      </c>
      <c r="D1477" s="12" t="s">
        <v>290</v>
      </c>
      <c r="E1477" s="12" t="s">
        <v>566</v>
      </c>
      <c r="F1477" s="10" t="s">
        <v>575</v>
      </c>
      <c r="G1477" s="6" t="s">
        <v>1394</v>
      </c>
      <c r="H1477" s="53">
        <v>11566</v>
      </c>
    </row>
    <row r="1478" spans="1:8" s="28" customFormat="1" ht="31.5" x14ac:dyDescent="0.25">
      <c r="A1478" s="29">
        <v>8014439999</v>
      </c>
      <c r="B1478" s="26" t="s">
        <v>438</v>
      </c>
      <c r="C1478" s="12" t="s">
        <v>1350</v>
      </c>
      <c r="D1478" s="12" t="s">
        <v>290</v>
      </c>
      <c r="E1478" s="12" t="s">
        <v>566</v>
      </c>
      <c r="F1478" s="10" t="s">
        <v>576</v>
      </c>
      <c r="G1478" s="12"/>
      <c r="H1478" s="53">
        <f>H1479</f>
        <v>1028810</v>
      </c>
    </row>
    <row r="1479" spans="1:8" s="28" customFormat="1" x14ac:dyDescent="0.25">
      <c r="A1479" s="56">
        <v>8014439999001</v>
      </c>
      <c r="B1479" s="26" t="s">
        <v>1435</v>
      </c>
      <c r="C1479" s="12" t="s">
        <v>1350</v>
      </c>
      <c r="D1479" s="12" t="s">
        <v>290</v>
      </c>
      <c r="E1479" s="12" t="s">
        <v>566</v>
      </c>
      <c r="F1479" s="10" t="s">
        <v>576</v>
      </c>
      <c r="G1479" s="6" t="s">
        <v>1394</v>
      </c>
      <c r="H1479" s="53">
        <v>1028810</v>
      </c>
    </row>
    <row r="1480" spans="1:8" s="28" customFormat="1" ht="31.5" x14ac:dyDescent="0.25">
      <c r="A1480" s="27">
        <v>801450</v>
      </c>
      <c r="B1480" s="38" t="s">
        <v>1377</v>
      </c>
      <c r="C1480" s="12" t="s">
        <v>1350</v>
      </c>
      <c r="D1480" s="12" t="s">
        <v>290</v>
      </c>
      <c r="E1480" s="12" t="s">
        <v>566</v>
      </c>
      <c r="F1480" s="10" t="s">
        <v>1074</v>
      </c>
      <c r="G1480" s="12"/>
      <c r="H1480" s="53">
        <f>H1481</f>
        <v>126955</v>
      </c>
    </row>
    <row r="1481" spans="1:8" s="28" customFormat="1" ht="31.5" x14ac:dyDescent="0.25">
      <c r="A1481" s="27">
        <v>80145085</v>
      </c>
      <c r="B1481" s="38" t="s">
        <v>1609</v>
      </c>
      <c r="C1481" s="12" t="s">
        <v>1350</v>
      </c>
      <c r="D1481" s="12" t="s">
        <v>290</v>
      </c>
      <c r="E1481" s="12" t="s">
        <v>566</v>
      </c>
      <c r="F1481" s="10" t="s">
        <v>178</v>
      </c>
      <c r="G1481" s="12"/>
      <c r="H1481" s="53">
        <f>H1482</f>
        <v>126955</v>
      </c>
    </row>
    <row r="1482" spans="1:8" s="28" customFormat="1" x14ac:dyDescent="0.25">
      <c r="A1482" s="27">
        <v>80145085013</v>
      </c>
      <c r="B1482" s="26" t="s">
        <v>1335</v>
      </c>
      <c r="C1482" s="12" t="s">
        <v>1350</v>
      </c>
      <c r="D1482" s="12" t="s">
        <v>290</v>
      </c>
      <c r="E1482" s="12" t="s">
        <v>566</v>
      </c>
      <c r="F1482" s="10" t="s">
        <v>178</v>
      </c>
      <c r="G1482" s="6" t="s">
        <v>972</v>
      </c>
      <c r="H1482" s="53">
        <v>126955</v>
      </c>
    </row>
    <row r="1483" spans="1:8" s="28" customFormat="1" x14ac:dyDescent="0.25">
      <c r="A1483" s="27">
        <v>801522</v>
      </c>
      <c r="B1483" s="26" t="s">
        <v>153</v>
      </c>
      <c r="C1483" s="12" t="s">
        <v>1350</v>
      </c>
      <c r="D1483" s="12" t="s">
        <v>290</v>
      </c>
      <c r="E1483" s="12" t="s">
        <v>566</v>
      </c>
      <c r="F1483" s="10" t="s">
        <v>611</v>
      </c>
      <c r="G1483" s="12"/>
      <c r="H1483" s="53">
        <f>H1484</f>
        <v>162300</v>
      </c>
    </row>
    <row r="1484" spans="1:8" s="28" customFormat="1" ht="47.25" x14ac:dyDescent="0.25">
      <c r="A1484" s="27">
        <v>80152205</v>
      </c>
      <c r="B1484" s="26" t="s">
        <v>222</v>
      </c>
      <c r="C1484" s="12" t="s">
        <v>1350</v>
      </c>
      <c r="D1484" s="12" t="s">
        <v>290</v>
      </c>
      <c r="E1484" s="12" t="s">
        <v>566</v>
      </c>
      <c r="F1484" s="10" t="s">
        <v>26</v>
      </c>
      <c r="G1484" s="12"/>
      <c r="H1484" s="53">
        <f>H1485+H1487+H1489+H1491</f>
        <v>162300</v>
      </c>
    </row>
    <row r="1485" spans="1:8" s="28" customFormat="1" x14ac:dyDescent="0.25">
      <c r="A1485" s="27">
        <v>8015220501</v>
      </c>
      <c r="B1485" s="26" t="s">
        <v>223</v>
      </c>
      <c r="C1485" s="12" t="s">
        <v>1350</v>
      </c>
      <c r="D1485" s="12" t="s">
        <v>290</v>
      </c>
      <c r="E1485" s="12" t="s">
        <v>566</v>
      </c>
      <c r="F1485" s="10" t="s">
        <v>884</v>
      </c>
      <c r="G1485" s="12"/>
      <c r="H1485" s="53">
        <f>H1486</f>
        <v>115500</v>
      </c>
    </row>
    <row r="1486" spans="1:8" s="28" customFormat="1" ht="33" customHeight="1" x14ac:dyDescent="0.25">
      <c r="A1486" s="27">
        <v>8015220501023</v>
      </c>
      <c r="B1486" s="26" t="s">
        <v>183</v>
      </c>
      <c r="C1486" s="12" t="s">
        <v>1350</v>
      </c>
      <c r="D1486" s="12" t="s">
        <v>290</v>
      </c>
      <c r="E1486" s="12" t="s">
        <v>566</v>
      </c>
      <c r="F1486" s="10" t="s">
        <v>884</v>
      </c>
      <c r="G1486" s="6" t="s">
        <v>897</v>
      </c>
      <c r="H1486" s="53">
        <v>115500</v>
      </c>
    </row>
    <row r="1487" spans="1:8" s="28" customFormat="1" ht="31.5" x14ac:dyDescent="0.25">
      <c r="A1487" s="27">
        <v>8015220502</v>
      </c>
      <c r="B1487" s="26" t="s">
        <v>224</v>
      </c>
      <c r="C1487" s="12" t="s">
        <v>1350</v>
      </c>
      <c r="D1487" s="12" t="s">
        <v>290</v>
      </c>
      <c r="E1487" s="12" t="s">
        <v>566</v>
      </c>
      <c r="F1487" s="10" t="s">
        <v>885</v>
      </c>
      <c r="G1487" s="12"/>
      <c r="H1487" s="53">
        <f>H1488</f>
        <v>3300</v>
      </c>
    </row>
    <row r="1488" spans="1:8" s="28" customFormat="1" ht="34.5" customHeight="1" x14ac:dyDescent="0.25">
      <c r="A1488" s="27">
        <v>8015220502023</v>
      </c>
      <c r="B1488" s="26" t="s">
        <v>183</v>
      </c>
      <c r="C1488" s="12" t="s">
        <v>1350</v>
      </c>
      <c r="D1488" s="12" t="s">
        <v>290</v>
      </c>
      <c r="E1488" s="12" t="s">
        <v>566</v>
      </c>
      <c r="F1488" s="10" t="s">
        <v>885</v>
      </c>
      <c r="G1488" s="6" t="s">
        <v>897</v>
      </c>
      <c r="H1488" s="53">
        <v>3300</v>
      </c>
    </row>
    <row r="1489" spans="1:8" s="69" customFormat="1" ht="47.25" x14ac:dyDescent="0.25">
      <c r="A1489" s="27">
        <v>8015220503</v>
      </c>
      <c r="B1489" s="26" t="s">
        <v>1672</v>
      </c>
      <c r="C1489" s="12" t="s">
        <v>1350</v>
      </c>
      <c r="D1489" s="12" t="s">
        <v>290</v>
      </c>
      <c r="E1489" s="12" t="s">
        <v>566</v>
      </c>
      <c r="F1489" s="10" t="s">
        <v>731</v>
      </c>
      <c r="G1489" s="12"/>
      <c r="H1489" s="53">
        <f>H1490</f>
        <v>43500</v>
      </c>
    </row>
    <row r="1490" spans="1:8" s="69" customFormat="1" ht="36" customHeight="1" x14ac:dyDescent="0.25">
      <c r="A1490" s="27">
        <v>8015220503023</v>
      </c>
      <c r="B1490" s="26" t="s">
        <v>183</v>
      </c>
      <c r="C1490" s="12" t="s">
        <v>1350</v>
      </c>
      <c r="D1490" s="12" t="s">
        <v>290</v>
      </c>
      <c r="E1490" s="12" t="s">
        <v>566</v>
      </c>
      <c r="F1490" s="10" t="s">
        <v>731</v>
      </c>
      <c r="G1490" s="6" t="s">
        <v>897</v>
      </c>
      <c r="H1490" s="53">
        <v>43500</v>
      </c>
    </row>
    <row r="1491" spans="1:8" s="69" customFormat="1" ht="47.25" hidden="1" x14ac:dyDescent="0.25">
      <c r="A1491" s="27">
        <v>8015221004</v>
      </c>
      <c r="B1491" s="26" t="s">
        <v>1214</v>
      </c>
      <c r="C1491" s="12" t="s">
        <v>1350</v>
      </c>
      <c r="D1491" s="12" t="s">
        <v>290</v>
      </c>
      <c r="E1491" s="12" t="s">
        <v>566</v>
      </c>
      <c r="F1491" s="10" t="s">
        <v>831</v>
      </c>
      <c r="G1491" s="12"/>
      <c r="H1491" s="53">
        <f>H1492</f>
        <v>0</v>
      </c>
    </row>
    <row r="1492" spans="1:8" s="69" customFormat="1" ht="35.25" hidden="1" customHeight="1" x14ac:dyDescent="0.25">
      <c r="A1492" s="56">
        <v>8015221004453</v>
      </c>
      <c r="B1492" s="26" t="s">
        <v>183</v>
      </c>
      <c r="C1492" s="12" t="s">
        <v>1350</v>
      </c>
      <c r="D1492" s="12" t="s">
        <v>290</v>
      </c>
      <c r="E1492" s="12" t="s">
        <v>566</v>
      </c>
      <c r="F1492" s="10" t="s">
        <v>831</v>
      </c>
      <c r="G1492" s="6" t="s">
        <v>897</v>
      </c>
      <c r="H1492" s="53"/>
    </row>
    <row r="1493" spans="1:8" s="28" customFormat="1" ht="31.5" x14ac:dyDescent="0.25">
      <c r="A1493" s="29">
        <v>806</v>
      </c>
      <c r="B1493" s="26" t="s">
        <v>1254</v>
      </c>
      <c r="C1493" s="12" t="s">
        <v>1350</v>
      </c>
      <c r="D1493" s="12" t="s">
        <v>290</v>
      </c>
      <c r="E1493" s="12" t="s">
        <v>1746</v>
      </c>
      <c r="F1493" s="12"/>
      <c r="G1493" s="12"/>
      <c r="H1493" s="53">
        <f>H1494+H1498+H1501+H1508</f>
        <v>168210</v>
      </c>
    </row>
    <row r="1494" spans="1:8" s="28" customFormat="1" ht="47.25" x14ac:dyDescent="0.25">
      <c r="A1494" s="27">
        <v>806002</v>
      </c>
      <c r="B1494" s="26" t="s">
        <v>1657</v>
      </c>
      <c r="C1494" s="12" t="s">
        <v>1350</v>
      </c>
      <c r="D1494" s="12" t="s">
        <v>290</v>
      </c>
      <c r="E1494" s="12" t="s">
        <v>1746</v>
      </c>
      <c r="F1494" s="12" t="s">
        <v>200</v>
      </c>
      <c r="G1494" s="12"/>
      <c r="H1494" s="53">
        <f>H1495</f>
        <v>154321</v>
      </c>
    </row>
    <row r="1495" spans="1:8" s="28" customFormat="1" x14ac:dyDescent="0.25">
      <c r="A1495" s="27">
        <v>80600204</v>
      </c>
      <c r="B1495" s="26" t="s">
        <v>638</v>
      </c>
      <c r="C1495" s="12" t="s">
        <v>1350</v>
      </c>
      <c r="D1495" s="12" t="s">
        <v>290</v>
      </c>
      <c r="E1495" s="12" t="s">
        <v>1746</v>
      </c>
      <c r="F1495" s="12" t="s">
        <v>797</v>
      </c>
      <c r="G1495" s="12"/>
      <c r="H1495" s="53">
        <f>SUM(H1496:H1497)</f>
        <v>154321</v>
      </c>
    </row>
    <row r="1496" spans="1:8" s="3" customFormat="1" x14ac:dyDescent="0.25">
      <c r="A1496" s="27">
        <v>80600204012</v>
      </c>
      <c r="B1496" s="65" t="s">
        <v>1012</v>
      </c>
      <c r="C1496" s="12" t="s">
        <v>1350</v>
      </c>
      <c r="D1496" s="12" t="s">
        <v>290</v>
      </c>
      <c r="E1496" s="12" t="s">
        <v>1746</v>
      </c>
      <c r="F1496" s="12" t="s">
        <v>797</v>
      </c>
      <c r="G1496" s="12" t="s">
        <v>1224</v>
      </c>
      <c r="H1496" s="53">
        <v>153861</v>
      </c>
    </row>
    <row r="1497" spans="1:8" s="28" customFormat="1" ht="63" x14ac:dyDescent="0.25">
      <c r="A1497" s="27">
        <v>80600204902</v>
      </c>
      <c r="B1497" s="26" t="s">
        <v>1100</v>
      </c>
      <c r="C1497" s="12" t="s">
        <v>1350</v>
      </c>
      <c r="D1497" s="12" t="s">
        <v>290</v>
      </c>
      <c r="E1497" s="12" t="s">
        <v>1746</v>
      </c>
      <c r="F1497" s="12" t="s">
        <v>797</v>
      </c>
      <c r="G1497" s="12">
        <v>902</v>
      </c>
      <c r="H1497" s="53">
        <v>460</v>
      </c>
    </row>
    <row r="1498" spans="1:8" s="28" customFormat="1" ht="31.5" x14ac:dyDescent="0.25">
      <c r="A1498" s="29">
        <v>806450</v>
      </c>
      <c r="B1498" s="38" t="s">
        <v>1377</v>
      </c>
      <c r="C1498" s="12" t="s">
        <v>1350</v>
      </c>
      <c r="D1498" s="12" t="s">
        <v>290</v>
      </c>
      <c r="E1498" s="12" t="s">
        <v>1746</v>
      </c>
      <c r="F1498" s="10" t="s">
        <v>1074</v>
      </c>
      <c r="G1498" s="12"/>
      <c r="H1498" s="53">
        <f>H1499</f>
        <v>1700</v>
      </c>
    </row>
    <row r="1499" spans="1:8" s="28" customFormat="1" ht="31.5" x14ac:dyDescent="0.25">
      <c r="A1499" s="29">
        <v>80645085</v>
      </c>
      <c r="B1499" s="38" t="s">
        <v>1609</v>
      </c>
      <c r="C1499" s="12" t="s">
        <v>1350</v>
      </c>
      <c r="D1499" s="12" t="s">
        <v>290</v>
      </c>
      <c r="E1499" s="12" t="s">
        <v>1746</v>
      </c>
      <c r="F1499" s="10" t="s">
        <v>178</v>
      </c>
      <c r="G1499" s="12"/>
      <c r="H1499" s="53">
        <f>H1500</f>
        <v>1700</v>
      </c>
    </row>
    <row r="1500" spans="1:8" s="28" customFormat="1" x14ac:dyDescent="0.25">
      <c r="A1500" s="29">
        <v>80645085012</v>
      </c>
      <c r="B1500" s="26" t="s">
        <v>1012</v>
      </c>
      <c r="C1500" s="12" t="s">
        <v>1350</v>
      </c>
      <c r="D1500" s="12" t="s">
        <v>290</v>
      </c>
      <c r="E1500" s="12" t="s">
        <v>1746</v>
      </c>
      <c r="F1500" s="10" t="s">
        <v>178</v>
      </c>
      <c r="G1500" s="12" t="s">
        <v>1224</v>
      </c>
      <c r="H1500" s="53">
        <v>1700</v>
      </c>
    </row>
    <row r="1501" spans="1:8" s="28" customFormat="1" x14ac:dyDescent="0.25">
      <c r="A1501" s="27">
        <v>806803</v>
      </c>
      <c r="B1501" s="26" t="s">
        <v>1225</v>
      </c>
      <c r="C1501" s="12" t="s">
        <v>1350</v>
      </c>
      <c r="D1501" s="12" t="s">
        <v>290</v>
      </c>
      <c r="E1501" s="12" t="s">
        <v>1746</v>
      </c>
      <c r="F1501" s="10" t="s">
        <v>1045</v>
      </c>
      <c r="G1501" s="39"/>
      <c r="H1501" s="53">
        <f>+H1502+H1504+H1506</f>
        <v>11689</v>
      </c>
    </row>
    <row r="1502" spans="1:8" ht="31.5" x14ac:dyDescent="0.25">
      <c r="A1502" s="27">
        <v>8068030001</v>
      </c>
      <c r="B1502" s="26" t="s">
        <v>546</v>
      </c>
      <c r="C1502" s="12" t="s">
        <v>1350</v>
      </c>
      <c r="D1502" s="12" t="s">
        <v>290</v>
      </c>
      <c r="E1502" s="12" t="s">
        <v>1746</v>
      </c>
      <c r="F1502" s="10" t="s">
        <v>1310</v>
      </c>
      <c r="G1502" s="4"/>
      <c r="H1502" s="185">
        <f>H1503</f>
        <v>10389</v>
      </c>
    </row>
    <row r="1503" spans="1:8" x14ac:dyDescent="0.25">
      <c r="A1503" s="27">
        <v>8068030001013</v>
      </c>
      <c r="B1503" s="26" t="s">
        <v>1335</v>
      </c>
      <c r="C1503" s="12" t="s">
        <v>1350</v>
      </c>
      <c r="D1503" s="6" t="s">
        <v>290</v>
      </c>
      <c r="E1503" s="6" t="s">
        <v>1746</v>
      </c>
      <c r="F1503" s="10" t="s">
        <v>1310</v>
      </c>
      <c r="G1503" s="12" t="s">
        <v>972</v>
      </c>
      <c r="H1503" s="185">
        <v>10389</v>
      </c>
    </row>
    <row r="1504" spans="1:8" ht="47.25" x14ac:dyDescent="0.25">
      <c r="A1504" s="27">
        <v>8068030002</v>
      </c>
      <c r="B1504" s="26" t="s">
        <v>1415</v>
      </c>
      <c r="C1504" s="12" t="s">
        <v>1350</v>
      </c>
      <c r="D1504" s="12" t="s">
        <v>290</v>
      </c>
      <c r="E1504" s="12" t="s">
        <v>1746</v>
      </c>
      <c r="F1504" s="10" t="s">
        <v>1311</v>
      </c>
      <c r="G1504" s="4"/>
      <c r="H1504" s="185">
        <f>H1505</f>
        <v>500</v>
      </c>
    </row>
    <row r="1505" spans="1:8" x14ac:dyDescent="0.25">
      <c r="A1505" s="27">
        <v>8068030002013</v>
      </c>
      <c r="B1505" s="26" t="s">
        <v>1335</v>
      </c>
      <c r="C1505" s="12" t="s">
        <v>1350</v>
      </c>
      <c r="D1505" s="6" t="s">
        <v>290</v>
      </c>
      <c r="E1505" s="6" t="s">
        <v>1746</v>
      </c>
      <c r="F1505" s="10" t="s">
        <v>1311</v>
      </c>
      <c r="G1505" s="12" t="s">
        <v>972</v>
      </c>
      <c r="H1505" s="185">
        <v>500</v>
      </c>
    </row>
    <row r="1506" spans="1:8" ht="32.25" customHeight="1" x14ac:dyDescent="0.25">
      <c r="A1506" s="27">
        <v>8068030003</v>
      </c>
      <c r="B1506" s="26" t="s">
        <v>915</v>
      </c>
      <c r="C1506" s="12" t="s">
        <v>1350</v>
      </c>
      <c r="D1506" s="12" t="s">
        <v>290</v>
      </c>
      <c r="E1506" s="12" t="s">
        <v>1746</v>
      </c>
      <c r="F1506" s="10" t="s">
        <v>916</v>
      </c>
      <c r="G1506" s="4"/>
      <c r="H1506" s="185">
        <f>H1507</f>
        <v>800</v>
      </c>
    </row>
    <row r="1507" spans="1:8" x14ac:dyDescent="0.25">
      <c r="A1507" s="27">
        <v>8068030003013</v>
      </c>
      <c r="B1507" s="26" t="s">
        <v>1335</v>
      </c>
      <c r="C1507" s="12" t="s">
        <v>1350</v>
      </c>
      <c r="D1507" s="6" t="s">
        <v>290</v>
      </c>
      <c r="E1507" s="6" t="s">
        <v>1746</v>
      </c>
      <c r="F1507" s="10" t="s">
        <v>916</v>
      </c>
      <c r="G1507" s="12" t="s">
        <v>972</v>
      </c>
      <c r="H1507" s="185">
        <v>800</v>
      </c>
    </row>
    <row r="1508" spans="1:8" x14ac:dyDescent="0.25">
      <c r="A1508" s="27">
        <v>806808</v>
      </c>
      <c r="B1508" s="26" t="s">
        <v>1457</v>
      </c>
      <c r="C1508" s="12" t="s">
        <v>1350</v>
      </c>
      <c r="D1508" s="12" t="s">
        <v>290</v>
      </c>
      <c r="E1508" s="12" t="s">
        <v>1746</v>
      </c>
      <c r="F1508" s="10" t="s">
        <v>1376</v>
      </c>
      <c r="H1508" s="215">
        <f>H1509</f>
        <v>500</v>
      </c>
    </row>
    <row r="1509" spans="1:8" s="28" customFormat="1" x14ac:dyDescent="0.25">
      <c r="A1509" s="27">
        <v>806808013</v>
      </c>
      <c r="B1509" s="26" t="s">
        <v>1335</v>
      </c>
      <c r="C1509" s="12" t="s">
        <v>1350</v>
      </c>
      <c r="D1509" s="12" t="s">
        <v>290</v>
      </c>
      <c r="E1509" s="12" t="s">
        <v>1746</v>
      </c>
      <c r="F1509" s="10" t="s">
        <v>1376</v>
      </c>
      <c r="G1509" s="12" t="s">
        <v>972</v>
      </c>
      <c r="H1509" s="53">
        <v>500</v>
      </c>
    </row>
    <row r="1510" spans="1:8" s="28" customFormat="1" x14ac:dyDescent="0.25">
      <c r="A1510" s="29"/>
      <c r="B1510" s="37"/>
      <c r="C1510" s="12"/>
      <c r="D1510" s="12"/>
      <c r="E1510" s="12"/>
      <c r="F1510" s="12"/>
      <c r="G1510" s="12"/>
      <c r="H1510" s="53"/>
    </row>
    <row r="1511" spans="1:8" s="3" customFormat="1" ht="27.75" customHeight="1" x14ac:dyDescent="0.25">
      <c r="A1511" s="40">
        <v>0</v>
      </c>
      <c r="B1511" s="41" t="s">
        <v>452</v>
      </c>
      <c r="C1511" s="42" t="s">
        <v>1421</v>
      </c>
      <c r="D1511" s="31"/>
      <c r="E1511" s="31"/>
      <c r="F1511" s="31"/>
      <c r="G1511" s="31"/>
      <c r="H1511" s="187">
        <f>H1512+H1520</f>
        <v>58758</v>
      </c>
    </row>
    <row r="1512" spans="1:8" s="28" customFormat="1" x14ac:dyDescent="0.25">
      <c r="A1512" s="29">
        <v>4</v>
      </c>
      <c r="B1512" s="35" t="s">
        <v>993</v>
      </c>
      <c r="C1512" s="12" t="s">
        <v>1421</v>
      </c>
      <c r="D1512" s="12" t="s">
        <v>1181</v>
      </c>
      <c r="E1512" s="10"/>
      <c r="F1512" s="10"/>
      <c r="G1512" s="10"/>
      <c r="H1512" s="53">
        <f>H1513</f>
        <v>58718</v>
      </c>
    </row>
    <row r="1513" spans="1:8" s="28" customFormat="1" x14ac:dyDescent="0.25">
      <c r="A1513" s="29">
        <v>412</v>
      </c>
      <c r="B1513" s="26" t="s">
        <v>1253</v>
      </c>
      <c r="C1513" s="12" t="s">
        <v>1421</v>
      </c>
      <c r="D1513" s="12" t="s">
        <v>1181</v>
      </c>
      <c r="E1513" s="12">
        <v>12</v>
      </c>
      <c r="F1513" s="10"/>
      <c r="G1513" s="10"/>
      <c r="H1513" s="53">
        <f>H1514+H1517</f>
        <v>58718</v>
      </c>
    </row>
    <row r="1514" spans="1:8" s="28" customFormat="1" ht="47.25" x14ac:dyDescent="0.25">
      <c r="A1514" s="27">
        <v>412002</v>
      </c>
      <c r="B1514" s="26" t="s">
        <v>1657</v>
      </c>
      <c r="C1514" s="12" t="s">
        <v>1421</v>
      </c>
      <c r="D1514" s="12" t="s">
        <v>1181</v>
      </c>
      <c r="E1514" s="12">
        <v>12</v>
      </c>
      <c r="F1514" s="12" t="s">
        <v>200</v>
      </c>
      <c r="G1514" s="12"/>
      <c r="H1514" s="53">
        <f>H1515</f>
        <v>48212</v>
      </c>
    </row>
    <row r="1515" spans="1:8" s="28" customFormat="1" x14ac:dyDescent="0.25">
      <c r="A1515" s="27">
        <v>41200204</v>
      </c>
      <c r="B1515" s="26" t="s">
        <v>638</v>
      </c>
      <c r="C1515" s="12" t="s">
        <v>1421</v>
      </c>
      <c r="D1515" s="12" t="s">
        <v>1181</v>
      </c>
      <c r="E1515" s="12">
        <v>12</v>
      </c>
      <c r="F1515" s="12" t="s">
        <v>797</v>
      </c>
      <c r="G1515" s="12"/>
      <c r="H1515" s="53">
        <f>SUM(H1516:H1516)</f>
        <v>48212</v>
      </c>
    </row>
    <row r="1516" spans="1:8" s="3" customFormat="1" x14ac:dyDescent="0.25">
      <c r="A1516" s="27">
        <v>41200204012</v>
      </c>
      <c r="B1516" s="65" t="s">
        <v>1012</v>
      </c>
      <c r="C1516" s="12" t="s">
        <v>1421</v>
      </c>
      <c r="D1516" s="12" t="s">
        <v>1181</v>
      </c>
      <c r="E1516" s="12">
        <v>12</v>
      </c>
      <c r="F1516" s="12" t="s">
        <v>797</v>
      </c>
      <c r="G1516" s="12" t="s">
        <v>1224</v>
      </c>
      <c r="H1516" s="53">
        <v>48212</v>
      </c>
    </row>
    <row r="1517" spans="1:8" s="28" customFormat="1" ht="31.5" x14ac:dyDescent="0.25">
      <c r="A1517" s="27">
        <v>412092</v>
      </c>
      <c r="B1517" s="26" t="s">
        <v>1433</v>
      </c>
      <c r="C1517" s="12" t="s">
        <v>1421</v>
      </c>
      <c r="D1517" s="12" t="s">
        <v>1181</v>
      </c>
      <c r="E1517" s="12">
        <v>12</v>
      </c>
      <c r="F1517" s="10" t="s">
        <v>1704</v>
      </c>
      <c r="G1517" s="12"/>
      <c r="H1517" s="53">
        <f>H1518</f>
        <v>10506</v>
      </c>
    </row>
    <row r="1518" spans="1:8" s="28" customFormat="1" x14ac:dyDescent="0.25">
      <c r="A1518" s="27">
        <v>41209299</v>
      </c>
      <c r="B1518" s="26" t="s">
        <v>624</v>
      </c>
      <c r="C1518" s="12" t="s">
        <v>1421</v>
      </c>
      <c r="D1518" s="12" t="s">
        <v>1181</v>
      </c>
      <c r="E1518" s="12">
        <v>12</v>
      </c>
      <c r="F1518" s="10" t="s">
        <v>1434</v>
      </c>
      <c r="G1518" s="12"/>
      <c r="H1518" s="53">
        <f>H1519</f>
        <v>10506</v>
      </c>
    </row>
    <row r="1519" spans="1:8" s="28" customFormat="1" x14ac:dyDescent="0.25">
      <c r="A1519" s="27">
        <v>41209299001</v>
      </c>
      <c r="B1519" s="26" t="s">
        <v>1435</v>
      </c>
      <c r="C1519" s="12" t="s">
        <v>1421</v>
      </c>
      <c r="D1519" s="12" t="s">
        <v>1181</v>
      </c>
      <c r="E1519" s="12">
        <v>12</v>
      </c>
      <c r="F1519" s="10" t="s">
        <v>1434</v>
      </c>
      <c r="G1519" s="12" t="s">
        <v>1394</v>
      </c>
      <c r="H1519" s="53">
        <v>10506</v>
      </c>
    </row>
    <row r="1520" spans="1:8" s="28" customFormat="1" x14ac:dyDescent="0.25">
      <c r="A1520" s="29">
        <v>7</v>
      </c>
      <c r="B1520" s="35" t="s">
        <v>174</v>
      </c>
      <c r="C1520" s="12" t="s">
        <v>1421</v>
      </c>
      <c r="D1520" s="12" t="s">
        <v>205</v>
      </c>
      <c r="E1520" s="10"/>
      <c r="F1520" s="10"/>
      <c r="G1520" s="10"/>
      <c r="H1520" s="53">
        <f>H1521</f>
        <v>40</v>
      </c>
    </row>
    <row r="1521" spans="1:8" s="28" customFormat="1" x14ac:dyDescent="0.25">
      <c r="A1521" s="29">
        <v>707</v>
      </c>
      <c r="B1521" s="26" t="s">
        <v>699</v>
      </c>
      <c r="C1521" s="12" t="s">
        <v>1421</v>
      </c>
      <c r="D1521" s="12" t="s">
        <v>205</v>
      </c>
      <c r="E1521" s="12" t="s">
        <v>205</v>
      </c>
      <c r="F1521" s="10"/>
      <c r="G1521" s="10"/>
      <c r="H1521" s="53">
        <f>H1522</f>
        <v>40</v>
      </c>
    </row>
    <row r="1522" spans="1:8" s="28" customFormat="1" ht="31.5" x14ac:dyDescent="0.25">
      <c r="A1522" s="27">
        <v>707432</v>
      </c>
      <c r="B1522" s="38" t="s">
        <v>1678</v>
      </c>
      <c r="C1522" s="12" t="s">
        <v>1421</v>
      </c>
      <c r="D1522" s="12" t="s">
        <v>205</v>
      </c>
      <c r="E1522" s="12" t="s">
        <v>205</v>
      </c>
      <c r="F1522" s="11" t="s">
        <v>965</v>
      </c>
      <c r="G1522" s="39"/>
      <c r="H1522" s="53">
        <f>H1523</f>
        <v>40</v>
      </c>
    </row>
    <row r="1523" spans="1:8" s="28" customFormat="1" x14ac:dyDescent="0.25">
      <c r="A1523" s="27">
        <v>70743202</v>
      </c>
      <c r="B1523" s="26" t="s">
        <v>541</v>
      </c>
      <c r="C1523" s="12" t="s">
        <v>1421</v>
      </c>
      <c r="D1523" s="12" t="s">
        <v>205</v>
      </c>
      <c r="E1523" s="12" t="s">
        <v>205</v>
      </c>
      <c r="F1523" s="10" t="s">
        <v>262</v>
      </c>
      <c r="G1523" s="12"/>
      <c r="H1523" s="53">
        <f>H1524</f>
        <v>40</v>
      </c>
    </row>
    <row r="1524" spans="1:8" s="28" customFormat="1" x14ac:dyDescent="0.25">
      <c r="A1524" s="27">
        <v>70743202001</v>
      </c>
      <c r="B1524" s="26" t="s">
        <v>1435</v>
      </c>
      <c r="C1524" s="12" t="s">
        <v>1421</v>
      </c>
      <c r="D1524" s="12" t="s">
        <v>205</v>
      </c>
      <c r="E1524" s="12" t="s">
        <v>205</v>
      </c>
      <c r="F1524" s="10" t="s">
        <v>262</v>
      </c>
      <c r="G1524" s="12" t="s">
        <v>1394</v>
      </c>
      <c r="H1524" s="53">
        <v>40</v>
      </c>
    </row>
    <row r="1525" spans="1:8" s="28" customFormat="1" x14ac:dyDescent="0.25">
      <c r="A1525" s="29"/>
      <c r="B1525" s="26"/>
      <c r="C1525" s="12"/>
      <c r="D1525" s="10"/>
      <c r="E1525" s="10"/>
      <c r="F1525" s="10"/>
      <c r="G1525" s="10"/>
      <c r="H1525" s="53"/>
    </row>
    <row r="1526" spans="1:8" s="3" customFormat="1" ht="17.25" customHeight="1" x14ac:dyDescent="0.25">
      <c r="A1526" s="40">
        <v>0</v>
      </c>
      <c r="B1526" s="41" t="s">
        <v>932</v>
      </c>
      <c r="C1526" s="42" t="s">
        <v>1422</v>
      </c>
      <c r="D1526" s="31"/>
      <c r="E1526" s="31"/>
      <c r="F1526" s="31"/>
      <c r="G1526" s="31"/>
      <c r="H1526" s="187">
        <f>H1559+H1527</f>
        <v>2970780</v>
      </c>
    </row>
    <row r="1527" spans="1:8" s="28" customFormat="1" x14ac:dyDescent="0.25">
      <c r="A1527" s="29">
        <v>7</v>
      </c>
      <c r="B1527" s="35" t="s">
        <v>174</v>
      </c>
      <c r="C1527" s="12" t="s">
        <v>1422</v>
      </c>
      <c r="D1527" s="12" t="s">
        <v>205</v>
      </c>
      <c r="E1527" s="10"/>
      <c r="F1527" s="10"/>
      <c r="G1527" s="10"/>
      <c r="H1527" s="53">
        <f>H1528+H1535+H1546+H1550</f>
        <v>1015493</v>
      </c>
    </row>
    <row r="1528" spans="1:8" s="28" customFormat="1" x14ac:dyDescent="0.25">
      <c r="A1528" s="29">
        <v>702</v>
      </c>
      <c r="B1528" s="26" t="s">
        <v>734</v>
      </c>
      <c r="C1528" s="12" t="s">
        <v>1422</v>
      </c>
      <c r="D1528" s="12" t="s">
        <v>205</v>
      </c>
      <c r="E1528" s="12" t="s">
        <v>567</v>
      </c>
      <c r="F1528" s="12"/>
      <c r="G1528" s="12"/>
      <c r="H1528" s="53">
        <f>H1529</f>
        <v>561362</v>
      </c>
    </row>
    <row r="1529" spans="1:8" s="147" customFormat="1" x14ac:dyDescent="0.25">
      <c r="A1529" s="188">
        <v>702423</v>
      </c>
      <c r="B1529" s="38" t="s">
        <v>1551</v>
      </c>
      <c r="C1529" s="12" t="s">
        <v>1422</v>
      </c>
      <c r="D1529" s="25" t="s">
        <v>205</v>
      </c>
      <c r="E1529" s="25" t="s">
        <v>567</v>
      </c>
      <c r="F1529" s="11" t="s">
        <v>1087</v>
      </c>
      <c r="G1529" s="25"/>
      <c r="H1529" s="53">
        <f>H1530</f>
        <v>561362</v>
      </c>
    </row>
    <row r="1530" spans="1:8" s="147" customFormat="1" x14ac:dyDescent="0.25">
      <c r="A1530" s="188">
        <v>70242399</v>
      </c>
      <c r="B1530" s="38" t="s">
        <v>624</v>
      </c>
      <c r="C1530" s="12" t="s">
        <v>1422</v>
      </c>
      <c r="D1530" s="25" t="s">
        <v>205</v>
      </c>
      <c r="E1530" s="25" t="s">
        <v>567</v>
      </c>
      <c r="F1530" s="11" t="s">
        <v>778</v>
      </c>
      <c r="G1530" s="25"/>
      <c r="H1530" s="53">
        <f>H1531+H1533</f>
        <v>561362</v>
      </c>
    </row>
    <row r="1531" spans="1:8" s="147" customFormat="1" ht="31.5" x14ac:dyDescent="0.25">
      <c r="A1531" s="188">
        <v>7024239902</v>
      </c>
      <c r="B1531" s="193" t="s">
        <v>157</v>
      </c>
      <c r="C1531" s="12" t="s">
        <v>1422</v>
      </c>
      <c r="D1531" s="25" t="s">
        <v>205</v>
      </c>
      <c r="E1531" s="25" t="s">
        <v>567</v>
      </c>
      <c r="F1531" s="11" t="s">
        <v>156</v>
      </c>
      <c r="G1531" s="25"/>
      <c r="H1531" s="53">
        <f>H1532</f>
        <v>31256</v>
      </c>
    </row>
    <row r="1532" spans="1:8" s="147" customFormat="1" x14ac:dyDescent="0.25">
      <c r="A1532" s="188">
        <v>7024239902001</v>
      </c>
      <c r="B1532" s="38" t="s">
        <v>1435</v>
      </c>
      <c r="C1532" s="12" t="s">
        <v>1422</v>
      </c>
      <c r="D1532" s="25" t="s">
        <v>205</v>
      </c>
      <c r="E1532" s="25" t="s">
        <v>567</v>
      </c>
      <c r="F1532" s="11" t="s">
        <v>156</v>
      </c>
      <c r="G1532" s="24" t="s">
        <v>1394</v>
      </c>
      <c r="H1532" s="230">
        <f>28608+2648</f>
        <v>31256</v>
      </c>
    </row>
    <row r="1533" spans="1:8" s="147" customFormat="1" ht="31.5" x14ac:dyDescent="0.25">
      <c r="A1533" s="188">
        <v>7024239999</v>
      </c>
      <c r="B1533" s="193" t="s">
        <v>1454</v>
      </c>
      <c r="C1533" s="25" t="s">
        <v>1422</v>
      </c>
      <c r="D1533" s="25" t="s">
        <v>205</v>
      </c>
      <c r="E1533" s="25" t="s">
        <v>567</v>
      </c>
      <c r="F1533" s="11" t="s">
        <v>779</v>
      </c>
      <c r="G1533" s="25"/>
      <c r="H1533" s="53">
        <f>H1534</f>
        <v>530106</v>
      </c>
    </row>
    <row r="1534" spans="1:8" s="147" customFormat="1" x14ac:dyDescent="0.25">
      <c r="A1534" s="188">
        <v>7024239999001</v>
      </c>
      <c r="B1534" s="38" t="s">
        <v>1435</v>
      </c>
      <c r="C1534" s="25" t="s">
        <v>1422</v>
      </c>
      <c r="D1534" s="25" t="s">
        <v>205</v>
      </c>
      <c r="E1534" s="25" t="s">
        <v>567</v>
      </c>
      <c r="F1534" s="11" t="s">
        <v>779</v>
      </c>
      <c r="G1534" s="24" t="s">
        <v>1394</v>
      </c>
      <c r="H1534" s="230">
        <f>497754+32352</f>
        <v>530106</v>
      </c>
    </row>
    <row r="1535" spans="1:8" s="147" customFormat="1" x14ac:dyDescent="0.25">
      <c r="A1535" s="160">
        <v>704</v>
      </c>
      <c r="B1535" s="38" t="s">
        <v>973</v>
      </c>
      <c r="C1535" s="25" t="s">
        <v>1422</v>
      </c>
      <c r="D1535" s="25" t="s">
        <v>205</v>
      </c>
      <c r="E1535" s="25" t="s">
        <v>1181</v>
      </c>
      <c r="F1535" s="11"/>
      <c r="G1535" s="11"/>
      <c r="H1535" s="53">
        <f>H1536</f>
        <v>310005</v>
      </c>
    </row>
    <row r="1536" spans="1:8" s="147" customFormat="1" x14ac:dyDescent="0.25">
      <c r="A1536" s="188">
        <v>704427</v>
      </c>
      <c r="B1536" s="38" t="s">
        <v>974</v>
      </c>
      <c r="C1536" s="25" t="s">
        <v>1422</v>
      </c>
      <c r="D1536" s="24" t="s">
        <v>205</v>
      </c>
      <c r="E1536" s="24" t="s">
        <v>1181</v>
      </c>
      <c r="F1536" s="80" t="s">
        <v>867</v>
      </c>
      <c r="G1536" s="24"/>
      <c r="H1536" s="53">
        <f>H1537</f>
        <v>310005</v>
      </c>
    </row>
    <row r="1537" spans="1:8" s="147" customFormat="1" x14ac:dyDescent="0.25">
      <c r="A1537" s="188">
        <v>70442799</v>
      </c>
      <c r="B1537" s="38" t="s">
        <v>624</v>
      </c>
      <c r="C1537" s="25" t="s">
        <v>1422</v>
      </c>
      <c r="D1537" s="24" t="s">
        <v>205</v>
      </c>
      <c r="E1537" s="24" t="s">
        <v>1181</v>
      </c>
      <c r="F1537" s="80" t="s">
        <v>263</v>
      </c>
      <c r="G1537" s="24"/>
      <c r="H1537" s="53">
        <f>H1538+H1540+H1542+H1544</f>
        <v>310005</v>
      </c>
    </row>
    <row r="1538" spans="1:8" s="147" customFormat="1" ht="31.5" x14ac:dyDescent="0.25">
      <c r="A1538" s="188">
        <v>7044279901</v>
      </c>
      <c r="B1538" s="38" t="s">
        <v>9</v>
      </c>
      <c r="C1538" s="25" t="s">
        <v>1422</v>
      </c>
      <c r="D1538" s="24" t="s">
        <v>205</v>
      </c>
      <c r="E1538" s="24" t="s">
        <v>1181</v>
      </c>
      <c r="F1538" s="80" t="s">
        <v>264</v>
      </c>
      <c r="G1538" s="24"/>
      <c r="H1538" s="53">
        <f>H1539</f>
        <v>3960</v>
      </c>
    </row>
    <row r="1539" spans="1:8" s="147" customFormat="1" x14ac:dyDescent="0.25">
      <c r="A1539" s="188">
        <v>7044279901001</v>
      </c>
      <c r="B1539" s="38" t="s">
        <v>1435</v>
      </c>
      <c r="C1539" s="25" t="s">
        <v>1422</v>
      </c>
      <c r="D1539" s="24" t="s">
        <v>205</v>
      </c>
      <c r="E1539" s="24" t="s">
        <v>1181</v>
      </c>
      <c r="F1539" s="80" t="s">
        <v>264</v>
      </c>
      <c r="G1539" s="25" t="s">
        <v>1394</v>
      </c>
      <c r="H1539" s="230">
        <f>3990-30</f>
        <v>3960</v>
      </c>
    </row>
    <row r="1540" spans="1:8" s="147" customFormat="1" ht="31.5" x14ac:dyDescent="0.25">
      <c r="A1540" s="188">
        <v>7044279902</v>
      </c>
      <c r="B1540" s="38" t="s">
        <v>10</v>
      </c>
      <c r="C1540" s="25" t="s">
        <v>1422</v>
      </c>
      <c r="D1540" s="24" t="s">
        <v>205</v>
      </c>
      <c r="E1540" s="24" t="s">
        <v>1181</v>
      </c>
      <c r="F1540" s="80" t="s">
        <v>265</v>
      </c>
      <c r="G1540" s="24"/>
      <c r="H1540" s="53">
        <f>H1541</f>
        <v>20754</v>
      </c>
    </row>
    <row r="1541" spans="1:8" s="147" customFormat="1" x14ac:dyDescent="0.25">
      <c r="A1541" s="188">
        <v>7044279902001</v>
      </c>
      <c r="B1541" s="38" t="s">
        <v>1435</v>
      </c>
      <c r="C1541" s="25" t="s">
        <v>1422</v>
      </c>
      <c r="D1541" s="24" t="s">
        <v>205</v>
      </c>
      <c r="E1541" s="24" t="s">
        <v>1181</v>
      </c>
      <c r="F1541" s="80" t="s">
        <v>265</v>
      </c>
      <c r="G1541" s="24" t="s">
        <v>1394</v>
      </c>
      <c r="H1541" s="230">
        <f>23254-2500</f>
        <v>20754</v>
      </c>
    </row>
    <row r="1542" spans="1:8" s="147" customFormat="1" ht="78.75" x14ac:dyDescent="0.25">
      <c r="A1542" s="188">
        <v>7044279911</v>
      </c>
      <c r="B1542" s="148" t="s">
        <v>155</v>
      </c>
      <c r="C1542" s="25" t="s">
        <v>1422</v>
      </c>
      <c r="D1542" s="24" t="s">
        <v>205</v>
      </c>
      <c r="E1542" s="24" t="s">
        <v>1181</v>
      </c>
      <c r="F1542" s="80" t="s">
        <v>83</v>
      </c>
      <c r="G1542" s="24"/>
      <c r="H1542" s="53">
        <f>H1543</f>
        <v>2160</v>
      </c>
    </row>
    <row r="1543" spans="1:8" s="147" customFormat="1" x14ac:dyDescent="0.25">
      <c r="A1543" s="188">
        <v>7044279911001</v>
      </c>
      <c r="B1543" s="38" t="s">
        <v>1435</v>
      </c>
      <c r="C1543" s="25" t="s">
        <v>1422</v>
      </c>
      <c r="D1543" s="24" t="s">
        <v>205</v>
      </c>
      <c r="E1543" s="24" t="s">
        <v>1181</v>
      </c>
      <c r="F1543" s="80" t="s">
        <v>83</v>
      </c>
      <c r="G1543" s="24" t="s">
        <v>1394</v>
      </c>
      <c r="H1543" s="53">
        <v>2160</v>
      </c>
    </row>
    <row r="1544" spans="1:8" s="147" customFormat="1" ht="36.75" customHeight="1" x14ac:dyDescent="0.25">
      <c r="A1544" s="188">
        <v>7044279999</v>
      </c>
      <c r="B1544" s="38" t="s">
        <v>1089</v>
      </c>
      <c r="C1544" s="25" t="s">
        <v>1422</v>
      </c>
      <c r="D1544" s="24" t="s">
        <v>205</v>
      </c>
      <c r="E1544" s="24" t="s">
        <v>1181</v>
      </c>
      <c r="F1544" s="80" t="s">
        <v>266</v>
      </c>
      <c r="G1544" s="24"/>
      <c r="H1544" s="53">
        <f>H1545</f>
        <v>283131</v>
      </c>
    </row>
    <row r="1545" spans="1:8" s="147" customFormat="1" x14ac:dyDescent="0.25">
      <c r="A1545" s="188">
        <v>7044279999001</v>
      </c>
      <c r="B1545" s="38" t="s">
        <v>1435</v>
      </c>
      <c r="C1545" s="25" t="s">
        <v>1422</v>
      </c>
      <c r="D1545" s="24" t="s">
        <v>205</v>
      </c>
      <c r="E1545" s="24" t="s">
        <v>1181</v>
      </c>
      <c r="F1545" s="80" t="s">
        <v>266</v>
      </c>
      <c r="G1545" s="24" t="s">
        <v>1394</v>
      </c>
      <c r="H1545" s="230">
        <f>298601-15470</f>
        <v>283131</v>
      </c>
    </row>
    <row r="1546" spans="1:8" s="28" customFormat="1" x14ac:dyDescent="0.25">
      <c r="A1546" s="29">
        <v>707</v>
      </c>
      <c r="B1546" s="26" t="s">
        <v>699</v>
      </c>
      <c r="C1546" s="25" t="s">
        <v>1422</v>
      </c>
      <c r="D1546" s="12" t="s">
        <v>205</v>
      </c>
      <c r="E1546" s="12" t="s">
        <v>205</v>
      </c>
      <c r="F1546" s="10"/>
      <c r="G1546" s="10"/>
      <c r="H1546" s="53">
        <f>H1547</f>
        <v>123</v>
      </c>
    </row>
    <row r="1547" spans="1:8" s="28" customFormat="1" ht="31.5" x14ac:dyDescent="0.25">
      <c r="A1547" s="27">
        <v>707432</v>
      </c>
      <c r="B1547" s="38" t="s">
        <v>1678</v>
      </c>
      <c r="C1547" s="25" t="s">
        <v>1422</v>
      </c>
      <c r="D1547" s="12" t="s">
        <v>205</v>
      </c>
      <c r="E1547" s="12" t="s">
        <v>205</v>
      </c>
      <c r="F1547" s="11" t="s">
        <v>965</v>
      </c>
      <c r="G1547" s="39"/>
      <c r="H1547" s="53">
        <f>H1548</f>
        <v>123</v>
      </c>
    </row>
    <row r="1548" spans="1:8" s="28" customFormat="1" x14ac:dyDescent="0.25">
      <c r="A1548" s="27">
        <v>70743202</v>
      </c>
      <c r="B1548" s="26" t="s">
        <v>541</v>
      </c>
      <c r="C1548" s="25" t="s">
        <v>1422</v>
      </c>
      <c r="D1548" s="12" t="s">
        <v>205</v>
      </c>
      <c r="E1548" s="12" t="s">
        <v>205</v>
      </c>
      <c r="F1548" s="10" t="s">
        <v>262</v>
      </c>
      <c r="G1548" s="12"/>
      <c r="H1548" s="53">
        <f>H1549</f>
        <v>123</v>
      </c>
    </row>
    <row r="1549" spans="1:8" s="28" customFormat="1" x14ac:dyDescent="0.25">
      <c r="A1549" s="27">
        <v>70743202001</v>
      </c>
      <c r="B1549" s="26" t="s">
        <v>1435</v>
      </c>
      <c r="C1549" s="25" t="s">
        <v>1422</v>
      </c>
      <c r="D1549" s="12" t="s">
        <v>205</v>
      </c>
      <c r="E1549" s="12" t="s">
        <v>205</v>
      </c>
      <c r="F1549" s="10" t="s">
        <v>262</v>
      </c>
      <c r="G1549" s="12" t="s">
        <v>1394</v>
      </c>
      <c r="H1549" s="53">
        <v>123</v>
      </c>
    </row>
    <row r="1550" spans="1:8" s="28" customFormat="1" x14ac:dyDescent="0.25">
      <c r="A1550" s="29">
        <v>709</v>
      </c>
      <c r="B1550" s="26" t="s">
        <v>1317</v>
      </c>
      <c r="C1550" s="12" t="s">
        <v>1422</v>
      </c>
      <c r="D1550" s="12" t="s">
        <v>205</v>
      </c>
      <c r="E1550" s="12" t="s">
        <v>406</v>
      </c>
      <c r="F1550" s="10"/>
      <c r="G1550" s="10"/>
      <c r="H1550" s="53">
        <f>H1551</f>
        <v>144003</v>
      </c>
    </row>
    <row r="1551" spans="1:8" s="159" customFormat="1" x14ac:dyDescent="0.25">
      <c r="A1551" s="188">
        <v>709802</v>
      </c>
      <c r="B1551" s="38" t="s">
        <v>1086</v>
      </c>
      <c r="C1551" s="25" t="s">
        <v>1422</v>
      </c>
      <c r="D1551" s="25" t="s">
        <v>205</v>
      </c>
      <c r="E1551" s="25" t="s">
        <v>406</v>
      </c>
      <c r="F1551" s="11" t="s">
        <v>1046</v>
      </c>
      <c r="G1551" s="11"/>
      <c r="H1551" s="53">
        <f>H1552</f>
        <v>144003</v>
      </c>
    </row>
    <row r="1552" spans="1:8" s="159" customFormat="1" x14ac:dyDescent="0.25">
      <c r="A1552" s="188">
        <v>70980299</v>
      </c>
      <c r="B1552" s="38" t="s">
        <v>624</v>
      </c>
      <c r="C1552" s="25" t="s">
        <v>1422</v>
      </c>
      <c r="D1552" s="24" t="s">
        <v>205</v>
      </c>
      <c r="E1552" s="24" t="s">
        <v>406</v>
      </c>
      <c r="F1552" s="80" t="s">
        <v>1203</v>
      </c>
      <c r="G1552" s="24"/>
      <c r="H1552" s="53">
        <f>H1553+H1555+H1557</f>
        <v>144003</v>
      </c>
    </row>
    <row r="1553" spans="1:8" s="159" customFormat="1" ht="20.25" hidden="1" customHeight="1" x14ac:dyDescent="0.25">
      <c r="A1553" s="188">
        <v>7098029901</v>
      </c>
      <c r="B1553" s="38" t="s">
        <v>1007</v>
      </c>
      <c r="C1553" s="25" t="s">
        <v>1422</v>
      </c>
      <c r="D1553" s="24" t="s">
        <v>205</v>
      </c>
      <c r="E1553" s="24" t="s">
        <v>406</v>
      </c>
      <c r="F1553" s="80" t="s">
        <v>1202</v>
      </c>
      <c r="G1553" s="24"/>
      <c r="H1553" s="53">
        <f>H1554</f>
        <v>0</v>
      </c>
    </row>
    <row r="1554" spans="1:8" s="159" customFormat="1" hidden="1" x14ac:dyDescent="0.25">
      <c r="A1554" s="188">
        <v>7098029901001</v>
      </c>
      <c r="B1554" s="38" t="s">
        <v>1435</v>
      </c>
      <c r="C1554" s="25" t="s">
        <v>1422</v>
      </c>
      <c r="D1554" s="24" t="s">
        <v>205</v>
      </c>
      <c r="E1554" s="24" t="s">
        <v>406</v>
      </c>
      <c r="F1554" s="80" t="s">
        <v>1202</v>
      </c>
      <c r="G1554" s="24" t="s">
        <v>1394</v>
      </c>
      <c r="H1554" s="53"/>
    </row>
    <row r="1555" spans="1:8" s="159" customFormat="1" ht="31.5" x14ac:dyDescent="0.25">
      <c r="A1555" s="188">
        <v>7098029902</v>
      </c>
      <c r="B1555" s="38" t="s">
        <v>939</v>
      </c>
      <c r="C1555" s="25" t="s">
        <v>1422</v>
      </c>
      <c r="D1555" s="24" t="s">
        <v>205</v>
      </c>
      <c r="E1555" s="24" t="s">
        <v>406</v>
      </c>
      <c r="F1555" s="80" t="s">
        <v>1204</v>
      </c>
      <c r="G1555" s="24"/>
      <c r="H1555" s="53">
        <f>H1556</f>
        <v>20103</v>
      </c>
    </row>
    <row r="1556" spans="1:8" s="159" customFormat="1" x14ac:dyDescent="0.25">
      <c r="A1556" s="188">
        <v>7098029902001</v>
      </c>
      <c r="B1556" s="38" t="s">
        <v>1435</v>
      </c>
      <c r="C1556" s="25" t="s">
        <v>1422</v>
      </c>
      <c r="D1556" s="24" t="s">
        <v>205</v>
      </c>
      <c r="E1556" s="24" t="s">
        <v>406</v>
      </c>
      <c r="F1556" s="80" t="s">
        <v>1204</v>
      </c>
      <c r="G1556" s="24" t="s">
        <v>1394</v>
      </c>
      <c r="H1556" s="53">
        <v>20103</v>
      </c>
    </row>
    <row r="1557" spans="1:8" s="159" customFormat="1" ht="31.5" x14ac:dyDescent="0.25">
      <c r="A1557" s="188">
        <v>7098029999</v>
      </c>
      <c r="B1557" s="38" t="s">
        <v>437</v>
      </c>
      <c r="C1557" s="25" t="s">
        <v>1422</v>
      </c>
      <c r="D1557" s="24" t="s">
        <v>205</v>
      </c>
      <c r="E1557" s="24" t="s">
        <v>406</v>
      </c>
      <c r="F1557" s="80" t="s">
        <v>1205</v>
      </c>
      <c r="G1557" s="24"/>
      <c r="H1557" s="53">
        <f>H1558</f>
        <v>123900</v>
      </c>
    </row>
    <row r="1558" spans="1:8" s="159" customFormat="1" x14ac:dyDescent="0.25">
      <c r="A1558" s="188">
        <v>7098029999001</v>
      </c>
      <c r="B1558" s="38" t="s">
        <v>1435</v>
      </c>
      <c r="C1558" s="25" t="s">
        <v>1422</v>
      </c>
      <c r="D1558" s="24" t="s">
        <v>205</v>
      </c>
      <c r="E1558" s="24" t="s">
        <v>406</v>
      </c>
      <c r="F1558" s="80" t="s">
        <v>1205</v>
      </c>
      <c r="G1558" s="24" t="s">
        <v>1394</v>
      </c>
      <c r="H1558" s="53">
        <v>123900</v>
      </c>
    </row>
    <row r="1559" spans="1:8" s="28" customFormat="1" x14ac:dyDescent="0.25">
      <c r="A1559" s="29">
        <v>9</v>
      </c>
      <c r="B1559" s="35" t="s">
        <v>450</v>
      </c>
      <c r="C1559" s="12" t="s">
        <v>1422</v>
      </c>
      <c r="D1559" s="12" t="s">
        <v>406</v>
      </c>
      <c r="E1559" s="10"/>
      <c r="F1559" s="10"/>
      <c r="G1559" s="10"/>
      <c r="H1559" s="53">
        <f>H1570+H1560</f>
        <v>1955287</v>
      </c>
    </row>
    <row r="1560" spans="1:8" s="28" customFormat="1" x14ac:dyDescent="0.25">
      <c r="A1560" s="29">
        <v>908</v>
      </c>
      <c r="B1560" s="26" t="s">
        <v>504</v>
      </c>
      <c r="C1560" s="12" t="s">
        <v>1422</v>
      </c>
      <c r="D1560" s="12" t="s">
        <v>406</v>
      </c>
      <c r="E1560" s="12" t="s">
        <v>290</v>
      </c>
      <c r="F1560" s="12"/>
      <c r="G1560" s="12"/>
      <c r="H1560" s="53">
        <f>H1561+H1564+H1567</f>
        <v>792926</v>
      </c>
    </row>
    <row r="1561" spans="1:8" s="28" customFormat="1" x14ac:dyDescent="0.25">
      <c r="A1561" s="29">
        <v>908482</v>
      </c>
      <c r="B1561" s="38" t="s">
        <v>1324</v>
      </c>
      <c r="C1561" s="12" t="s">
        <v>1422</v>
      </c>
      <c r="D1561" s="12" t="s">
        <v>406</v>
      </c>
      <c r="E1561" s="12" t="s">
        <v>290</v>
      </c>
      <c r="F1561" s="10" t="s">
        <v>1369</v>
      </c>
      <c r="G1561" s="44"/>
      <c r="H1561" s="53">
        <f>H1562</f>
        <v>542223</v>
      </c>
    </row>
    <row r="1562" spans="1:8" s="28" customFormat="1" x14ac:dyDescent="0.25">
      <c r="A1562" s="29">
        <v>90848299</v>
      </c>
      <c r="B1562" s="26" t="s">
        <v>624</v>
      </c>
      <c r="C1562" s="12" t="s">
        <v>1422</v>
      </c>
      <c r="D1562" s="12" t="s">
        <v>406</v>
      </c>
      <c r="E1562" s="12" t="s">
        <v>290</v>
      </c>
      <c r="F1562" s="10" t="s">
        <v>85</v>
      </c>
      <c r="G1562" s="12"/>
      <c r="H1562" s="53">
        <f>H1563</f>
        <v>542223</v>
      </c>
    </row>
    <row r="1563" spans="1:8" s="28" customFormat="1" x14ac:dyDescent="0.25">
      <c r="A1563" s="29">
        <v>90848299001</v>
      </c>
      <c r="B1563" s="26" t="s">
        <v>1435</v>
      </c>
      <c r="C1563" s="12" t="s">
        <v>1422</v>
      </c>
      <c r="D1563" s="12" t="s">
        <v>406</v>
      </c>
      <c r="E1563" s="12" t="s">
        <v>290</v>
      </c>
      <c r="F1563" s="10" t="s">
        <v>85</v>
      </c>
      <c r="G1563" s="12" t="s">
        <v>1394</v>
      </c>
      <c r="H1563" s="53">
        <v>542223</v>
      </c>
    </row>
    <row r="1564" spans="1:8" s="28" customFormat="1" ht="18.75" customHeight="1" x14ac:dyDescent="0.25">
      <c r="A1564" s="29">
        <v>908512</v>
      </c>
      <c r="B1564" s="26" t="s">
        <v>1671</v>
      </c>
      <c r="C1564" s="12" t="s">
        <v>1422</v>
      </c>
      <c r="D1564" s="12" t="s">
        <v>406</v>
      </c>
      <c r="E1564" s="12" t="s">
        <v>290</v>
      </c>
      <c r="F1564" s="10" t="s">
        <v>748</v>
      </c>
      <c r="G1564" s="10"/>
      <c r="H1564" s="53">
        <f>H1565</f>
        <v>242903</v>
      </c>
    </row>
    <row r="1565" spans="1:8" s="28" customFormat="1" ht="18.75" customHeight="1" x14ac:dyDescent="0.25">
      <c r="A1565" s="29">
        <v>90851210</v>
      </c>
      <c r="B1565" s="26" t="s">
        <v>87</v>
      </c>
      <c r="C1565" s="12" t="s">
        <v>1422</v>
      </c>
      <c r="D1565" s="12" t="s">
        <v>406</v>
      </c>
      <c r="E1565" s="12" t="s">
        <v>290</v>
      </c>
      <c r="F1565" s="10" t="s">
        <v>86</v>
      </c>
      <c r="G1565" s="10"/>
      <c r="H1565" s="53">
        <f>H1566</f>
        <v>242903</v>
      </c>
    </row>
    <row r="1566" spans="1:8" s="28" customFormat="1" x14ac:dyDescent="0.25">
      <c r="A1566" s="29">
        <v>90851210012</v>
      </c>
      <c r="B1566" s="26" t="s">
        <v>1012</v>
      </c>
      <c r="C1566" s="12" t="s">
        <v>1422</v>
      </c>
      <c r="D1566" s="12" t="s">
        <v>406</v>
      </c>
      <c r="E1566" s="12" t="s">
        <v>290</v>
      </c>
      <c r="F1566" s="10" t="s">
        <v>86</v>
      </c>
      <c r="G1566" s="12" t="s">
        <v>1224</v>
      </c>
      <c r="H1566" s="230">
        <f>236203+6700</f>
        <v>242903</v>
      </c>
    </row>
    <row r="1567" spans="1:8" s="28" customFormat="1" x14ac:dyDescent="0.25">
      <c r="A1567" s="27">
        <v>908803</v>
      </c>
      <c r="B1567" s="26" t="s">
        <v>1225</v>
      </c>
      <c r="C1567" s="12" t="s">
        <v>1422</v>
      </c>
      <c r="D1567" s="12" t="s">
        <v>406</v>
      </c>
      <c r="E1567" s="12" t="s">
        <v>290</v>
      </c>
      <c r="F1567" s="10" t="s">
        <v>1045</v>
      </c>
      <c r="G1567" s="12"/>
      <c r="H1567" s="53">
        <f>H1568</f>
        <v>7800</v>
      </c>
    </row>
    <row r="1568" spans="1:8" ht="31.5" x14ac:dyDescent="0.25">
      <c r="A1568" s="27">
        <v>9088030006</v>
      </c>
      <c r="B1568" s="26" t="s">
        <v>296</v>
      </c>
      <c r="C1568" s="12" t="s">
        <v>1422</v>
      </c>
      <c r="D1568" s="12" t="s">
        <v>406</v>
      </c>
      <c r="E1568" s="12" t="s">
        <v>290</v>
      </c>
      <c r="F1568" s="10" t="s">
        <v>526</v>
      </c>
      <c r="G1568" s="4"/>
      <c r="H1568" s="185">
        <f>H1569</f>
        <v>7800</v>
      </c>
    </row>
    <row r="1569" spans="1:8" x14ac:dyDescent="0.25">
      <c r="A1569" s="27">
        <v>9088030006013</v>
      </c>
      <c r="B1569" s="26" t="s">
        <v>1335</v>
      </c>
      <c r="C1569" s="12" t="s">
        <v>1422</v>
      </c>
      <c r="D1569" s="6" t="s">
        <v>406</v>
      </c>
      <c r="E1569" s="12" t="s">
        <v>290</v>
      </c>
      <c r="F1569" s="10" t="s">
        <v>526</v>
      </c>
      <c r="G1569" s="12" t="s">
        <v>972</v>
      </c>
      <c r="H1569" s="185">
        <v>7800</v>
      </c>
    </row>
    <row r="1570" spans="1:8" s="28" customFormat="1" ht="31.5" x14ac:dyDescent="0.25">
      <c r="A1570" s="29">
        <v>910</v>
      </c>
      <c r="B1570" s="26" t="s">
        <v>877</v>
      </c>
      <c r="C1570" s="12" t="s">
        <v>1422</v>
      </c>
      <c r="D1570" s="12" t="s">
        <v>406</v>
      </c>
      <c r="E1570" s="12" t="s">
        <v>768</v>
      </c>
      <c r="F1570" s="10"/>
      <c r="G1570" s="10"/>
      <c r="H1570" s="53">
        <f>H1571+H1575</f>
        <v>1162361</v>
      </c>
    </row>
    <row r="1571" spans="1:8" s="28" customFormat="1" ht="47.25" x14ac:dyDescent="0.25">
      <c r="A1571" s="27">
        <v>910002</v>
      </c>
      <c r="B1571" s="26" t="s">
        <v>1657</v>
      </c>
      <c r="C1571" s="12" t="s">
        <v>1422</v>
      </c>
      <c r="D1571" s="12" t="s">
        <v>406</v>
      </c>
      <c r="E1571" s="12" t="s">
        <v>768</v>
      </c>
      <c r="F1571" s="12" t="s">
        <v>200</v>
      </c>
      <c r="G1571" s="12"/>
      <c r="H1571" s="53">
        <f>H1572</f>
        <v>61003</v>
      </c>
    </row>
    <row r="1572" spans="1:8" s="28" customFormat="1" x14ac:dyDescent="0.25">
      <c r="A1572" s="27">
        <v>91000204</v>
      </c>
      <c r="B1572" s="26" t="s">
        <v>638</v>
      </c>
      <c r="C1572" s="12" t="s">
        <v>1422</v>
      </c>
      <c r="D1572" s="12" t="s">
        <v>406</v>
      </c>
      <c r="E1572" s="12" t="s">
        <v>768</v>
      </c>
      <c r="F1572" s="12" t="s">
        <v>797</v>
      </c>
      <c r="G1572" s="12"/>
      <c r="H1572" s="53">
        <f>SUM(H1573:H1574)</f>
        <v>61003</v>
      </c>
    </row>
    <row r="1573" spans="1:8" s="3" customFormat="1" x14ac:dyDescent="0.25">
      <c r="A1573" s="27">
        <v>91000204012</v>
      </c>
      <c r="B1573" s="65" t="s">
        <v>1012</v>
      </c>
      <c r="C1573" s="12" t="s">
        <v>1422</v>
      </c>
      <c r="D1573" s="12" t="s">
        <v>406</v>
      </c>
      <c r="E1573" s="12" t="s">
        <v>768</v>
      </c>
      <c r="F1573" s="12" t="s">
        <v>797</v>
      </c>
      <c r="G1573" s="12" t="s">
        <v>1224</v>
      </c>
      <c r="H1573" s="53">
        <v>60303</v>
      </c>
    </row>
    <row r="1574" spans="1:8" s="28" customFormat="1" ht="63" x14ac:dyDescent="0.25">
      <c r="A1574" s="27">
        <v>91000204902</v>
      </c>
      <c r="B1574" s="26" t="s">
        <v>1100</v>
      </c>
      <c r="C1574" s="12" t="s">
        <v>1422</v>
      </c>
      <c r="D1574" s="12" t="s">
        <v>406</v>
      </c>
      <c r="E1574" s="12" t="s">
        <v>768</v>
      </c>
      <c r="F1574" s="12" t="s">
        <v>797</v>
      </c>
      <c r="G1574" s="12">
        <v>902</v>
      </c>
      <c r="H1574" s="53">
        <v>700</v>
      </c>
    </row>
    <row r="1575" spans="1:8" s="28" customFormat="1" ht="31.5" x14ac:dyDescent="0.25">
      <c r="A1575" s="27">
        <v>910485</v>
      </c>
      <c r="B1575" s="190" t="s">
        <v>732</v>
      </c>
      <c r="C1575" s="12" t="s">
        <v>1422</v>
      </c>
      <c r="D1575" s="12" t="s">
        <v>406</v>
      </c>
      <c r="E1575" s="12">
        <v>10</v>
      </c>
      <c r="F1575" s="10" t="s">
        <v>1213</v>
      </c>
      <c r="G1575" s="12"/>
      <c r="H1575" s="53">
        <f>H1576</f>
        <v>1101358</v>
      </c>
    </row>
    <row r="1576" spans="1:8" s="28" customFormat="1" ht="31.5" x14ac:dyDescent="0.25">
      <c r="A1576" s="27">
        <v>91048597</v>
      </c>
      <c r="B1576" s="190" t="s">
        <v>1718</v>
      </c>
      <c r="C1576" s="12" t="s">
        <v>1422</v>
      </c>
      <c r="D1576" s="12" t="s">
        <v>406</v>
      </c>
      <c r="E1576" s="12">
        <v>10</v>
      </c>
      <c r="F1576" s="10" t="s">
        <v>1360</v>
      </c>
      <c r="G1576" s="12"/>
      <c r="H1576" s="53">
        <f>SUM(H1577:H1578)</f>
        <v>1101358</v>
      </c>
    </row>
    <row r="1577" spans="1:8" s="28" customFormat="1" x14ac:dyDescent="0.25">
      <c r="A1577" s="27">
        <v>91048597006</v>
      </c>
      <c r="B1577" s="190" t="s">
        <v>84</v>
      </c>
      <c r="C1577" s="12" t="s">
        <v>1422</v>
      </c>
      <c r="D1577" s="12" t="s">
        <v>406</v>
      </c>
      <c r="E1577" s="12">
        <v>10</v>
      </c>
      <c r="F1577" s="10" t="s">
        <v>1360</v>
      </c>
      <c r="G1577" s="12" t="s">
        <v>165</v>
      </c>
      <c r="H1577" s="230">
        <f>943263+98095</f>
        <v>1041358</v>
      </c>
    </row>
    <row r="1578" spans="1:8" s="28" customFormat="1" x14ac:dyDescent="0.25">
      <c r="A1578" s="27">
        <v>91048597013</v>
      </c>
      <c r="B1578" s="26" t="s">
        <v>1335</v>
      </c>
      <c r="C1578" s="12" t="s">
        <v>1422</v>
      </c>
      <c r="D1578" s="12" t="s">
        <v>406</v>
      </c>
      <c r="E1578" s="12">
        <v>10</v>
      </c>
      <c r="F1578" s="10" t="s">
        <v>1360</v>
      </c>
      <c r="G1578" s="12" t="s">
        <v>972</v>
      </c>
      <c r="H1578" s="53">
        <v>60000</v>
      </c>
    </row>
    <row r="1579" spans="1:8" s="28" customFormat="1" x14ac:dyDescent="0.25">
      <c r="A1579" s="29"/>
      <c r="B1579" s="39"/>
      <c r="C1579" s="39"/>
      <c r="D1579" s="39"/>
      <c r="E1579" s="39"/>
      <c r="F1579" s="39"/>
      <c r="G1579" s="44"/>
      <c r="H1579" s="53"/>
    </row>
    <row r="1580" spans="1:8" s="3" customFormat="1" ht="30" customHeight="1" x14ac:dyDescent="0.25">
      <c r="A1580" s="40">
        <v>0</v>
      </c>
      <c r="B1580" s="30" t="s">
        <v>422</v>
      </c>
      <c r="C1580" s="42" t="s">
        <v>568</v>
      </c>
      <c r="D1580" s="31"/>
      <c r="E1580" s="31"/>
      <c r="F1580" s="31"/>
      <c r="G1580" s="31"/>
      <c r="H1580" s="187">
        <f>H1581+H1586+H1591+H1596+H1620</f>
        <v>38025719</v>
      </c>
    </row>
    <row r="1581" spans="1:8" s="69" customFormat="1" x14ac:dyDescent="0.25">
      <c r="A1581" s="29">
        <v>1</v>
      </c>
      <c r="B1581" s="35" t="s">
        <v>482</v>
      </c>
      <c r="C1581" s="12" t="s">
        <v>568</v>
      </c>
      <c r="D1581" s="12" t="s">
        <v>566</v>
      </c>
      <c r="E1581" s="10"/>
      <c r="F1581" s="10"/>
      <c r="G1581" s="10"/>
      <c r="H1581" s="53">
        <f>H1582</f>
        <v>550</v>
      </c>
    </row>
    <row r="1582" spans="1:8" s="69" customFormat="1" x14ac:dyDescent="0.25">
      <c r="A1582" s="29">
        <v>108</v>
      </c>
      <c r="B1582" s="26" t="s">
        <v>286</v>
      </c>
      <c r="C1582" s="12" t="s">
        <v>568</v>
      </c>
      <c r="D1582" s="12" t="s">
        <v>566</v>
      </c>
      <c r="E1582" s="12" t="s">
        <v>290</v>
      </c>
      <c r="F1582" s="12"/>
      <c r="G1582" s="10"/>
      <c r="H1582" s="53">
        <f>H1583</f>
        <v>550</v>
      </c>
    </row>
    <row r="1583" spans="1:8" s="69" customFormat="1" ht="21" customHeight="1" x14ac:dyDescent="0.25">
      <c r="A1583" s="27">
        <v>108522</v>
      </c>
      <c r="B1583" s="65" t="s">
        <v>153</v>
      </c>
      <c r="C1583" s="12" t="s">
        <v>568</v>
      </c>
      <c r="D1583" s="12" t="s">
        <v>566</v>
      </c>
      <c r="E1583" s="12" t="s">
        <v>290</v>
      </c>
      <c r="F1583" s="10" t="s">
        <v>611</v>
      </c>
      <c r="G1583" s="12"/>
      <c r="H1583" s="53">
        <f>H1584</f>
        <v>550</v>
      </c>
    </row>
    <row r="1584" spans="1:8" s="69" customFormat="1" ht="35.25" customHeight="1" x14ac:dyDescent="0.25">
      <c r="A1584" s="27">
        <v>10852209</v>
      </c>
      <c r="B1584" s="54" t="s">
        <v>782</v>
      </c>
      <c r="C1584" s="12" t="s">
        <v>568</v>
      </c>
      <c r="D1584" s="12" t="s">
        <v>566</v>
      </c>
      <c r="E1584" s="12" t="s">
        <v>290</v>
      </c>
      <c r="F1584" s="10" t="s">
        <v>29</v>
      </c>
      <c r="G1584" s="12"/>
      <c r="H1584" s="53">
        <f>H1585</f>
        <v>550</v>
      </c>
    </row>
    <row r="1585" spans="1:8" s="69" customFormat="1" x14ac:dyDescent="0.25">
      <c r="A1585" s="27">
        <v>10852209012</v>
      </c>
      <c r="B1585" s="65" t="s">
        <v>1012</v>
      </c>
      <c r="C1585" s="12" t="s">
        <v>568</v>
      </c>
      <c r="D1585" s="12" t="s">
        <v>566</v>
      </c>
      <c r="E1585" s="12" t="s">
        <v>290</v>
      </c>
      <c r="F1585" s="10" t="s">
        <v>29</v>
      </c>
      <c r="G1585" s="6" t="s">
        <v>1224</v>
      </c>
      <c r="H1585" s="53">
        <v>550</v>
      </c>
    </row>
    <row r="1586" spans="1:8" s="3" customFormat="1" ht="18.75" customHeight="1" x14ac:dyDescent="0.25">
      <c r="A1586" s="27">
        <v>3</v>
      </c>
      <c r="B1586" s="35" t="s">
        <v>1049</v>
      </c>
      <c r="C1586" s="12" t="s">
        <v>568</v>
      </c>
      <c r="D1586" s="6" t="s">
        <v>193</v>
      </c>
      <c r="E1586" s="12"/>
      <c r="F1586" s="10"/>
      <c r="G1586" s="12"/>
      <c r="H1586" s="53">
        <f>H1587</f>
        <v>27847</v>
      </c>
    </row>
    <row r="1587" spans="1:8" s="28" customFormat="1" ht="47.25" x14ac:dyDescent="0.25">
      <c r="A1587" s="27">
        <v>309</v>
      </c>
      <c r="B1587" s="26" t="s">
        <v>133</v>
      </c>
      <c r="C1587" s="12" t="s">
        <v>568</v>
      </c>
      <c r="D1587" s="12" t="s">
        <v>193</v>
      </c>
      <c r="E1587" s="12" t="s">
        <v>406</v>
      </c>
      <c r="F1587" s="10"/>
      <c r="G1587" s="12"/>
      <c r="H1587" s="53">
        <f>H1588</f>
        <v>27847</v>
      </c>
    </row>
    <row r="1588" spans="1:8" s="28" customFormat="1" x14ac:dyDescent="0.25">
      <c r="A1588" s="27">
        <v>309219</v>
      </c>
      <c r="B1588" s="26" t="s">
        <v>1098</v>
      </c>
      <c r="C1588" s="12" t="s">
        <v>568</v>
      </c>
      <c r="D1588" s="12" t="s">
        <v>193</v>
      </c>
      <c r="E1588" s="12" t="s">
        <v>406</v>
      </c>
      <c r="F1588" s="10" t="s">
        <v>620</v>
      </c>
      <c r="G1588" s="12"/>
      <c r="H1588" s="53">
        <f>H1589</f>
        <v>27847</v>
      </c>
    </row>
    <row r="1589" spans="1:8" s="28" customFormat="1" ht="31.5" x14ac:dyDescent="0.25">
      <c r="A1589" s="27">
        <v>30921901</v>
      </c>
      <c r="B1589" s="26" t="s">
        <v>591</v>
      </c>
      <c r="C1589" s="12" t="s">
        <v>568</v>
      </c>
      <c r="D1589" s="12" t="s">
        <v>193</v>
      </c>
      <c r="E1589" s="12" t="s">
        <v>406</v>
      </c>
      <c r="F1589" s="10" t="s">
        <v>269</v>
      </c>
      <c r="G1589" s="12"/>
      <c r="H1589" s="53">
        <f>H1590</f>
        <v>27847</v>
      </c>
    </row>
    <row r="1590" spans="1:8" s="28" customFormat="1" x14ac:dyDescent="0.25">
      <c r="A1590" s="27">
        <v>30921901012</v>
      </c>
      <c r="B1590" s="65" t="s">
        <v>1012</v>
      </c>
      <c r="C1590" s="12" t="s">
        <v>568</v>
      </c>
      <c r="D1590" s="12" t="s">
        <v>193</v>
      </c>
      <c r="E1590" s="12" t="s">
        <v>406</v>
      </c>
      <c r="F1590" s="10" t="s">
        <v>269</v>
      </c>
      <c r="G1590" s="12" t="s">
        <v>1224</v>
      </c>
      <c r="H1590" s="53">
        <v>27847</v>
      </c>
    </row>
    <row r="1591" spans="1:8" s="147" customFormat="1" x14ac:dyDescent="0.25">
      <c r="A1591" s="160">
        <v>4</v>
      </c>
      <c r="B1591" s="204" t="s">
        <v>993</v>
      </c>
      <c r="C1591" s="25" t="s">
        <v>568</v>
      </c>
      <c r="D1591" s="25" t="s">
        <v>1181</v>
      </c>
      <c r="E1591" s="11"/>
      <c r="F1591" s="11"/>
      <c r="G1591" s="11"/>
      <c r="H1591" s="53">
        <f>H1592</f>
        <v>55000</v>
      </c>
    </row>
    <row r="1592" spans="1:8" s="147" customFormat="1" x14ac:dyDescent="0.25">
      <c r="A1592" s="160">
        <v>410</v>
      </c>
      <c r="B1592" s="38" t="s">
        <v>626</v>
      </c>
      <c r="C1592" s="25" t="s">
        <v>568</v>
      </c>
      <c r="D1592" s="25" t="s">
        <v>1181</v>
      </c>
      <c r="E1592" s="25" t="s">
        <v>768</v>
      </c>
      <c r="F1592" s="11"/>
      <c r="G1592" s="11"/>
      <c r="H1592" s="53">
        <f>H1593</f>
        <v>55000</v>
      </c>
    </row>
    <row r="1593" spans="1:8" s="147" customFormat="1" x14ac:dyDescent="0.25">
      <c r="A1593" s="188">
        <v>410330</v>
      </c>
      <c r="B1593" s="38" t="s">
        <v>764</v>
      </c>
      <c r="C1593" s="25" t="s">
        <v>568</v>
      </c>
      <c r="D1593" s="25" t="s">
        <v>1181</v>
      </c>
      <c r="E1593" s="25" t="s">
        <v>768</v>
      </c>
      <c r="F1593" s="11" t="s">
        <v>1010</v>
      </c>
      <c r="G1593" s="11"/>
      <c r="H1593" s="53">
        <f>H1594</f>
        <v>55000</v>
      </c>
    </row>
    <row r="1594" spans="1:8" s="147" customFormat="1" ht="31.5" x14ac:dyDescent="0.25">
      <c r="A1594" s="188">
        <v>41033002</v>
      </c>
      <c r="B1594" s="38" t="s">
        <v>887</v>
      </c>
      <c r="C1594" s="25" t="s">
        <v>568</v>
      </c>
      <c r="D1594" s="25" t="s">
        <v>1181</v>
      </c>
      <c r="E1594" s="25" t="s">
        <v>768</v>
      </c>
      <c r="F1594" s="11" t="s">
        <v>1532</v>
      </c>
      <c r="G1594" s="11"/>
      <c r="H1594" s="53">
        <f>H1595</f>
        <v>55000</v>
      </c>
    </row>
    <row r="1595" spans="1:8" s="147" customFormat="1" x14ac:dyDescent="0.25">
      <c r="A1595" s="188">
        <v>41033002012</v>
      </c>
      <c r="B1595" s="38" t="s">
        <v>1012</v>
      </c>
      <c r="C1595" s="25" t="s">
        <v>568</v>
      </c>
      <c r="D1595" s="25" t="s">
        <v>1181</v>
      </c>
      <c r="E1595" s="25" t="s">
        <v>768</v>
      </c>
      <c r="F1595" s="11" t="s">
        <v>1532</v>
      </c>
      <c r="G1595" s="25" t="s">
        <v>1224</v>
      </c>
      <c r="H1595" s="53">
        <v>55000</v>
      </c>
    </row>
    <row r="1596" spans="1:8" s="28" customFormat="1" x14ac:dyDescent="0.25">
      <c r="A1596" s="29">
        <v>7</v>
      </c>
      <c r="B1596" s="35" t="s">
        <v>174</v>
      </c>
      <c r="C1596" s="12" t="s">
        <v>568</v>
      </c>
      <c r="D1596" s="12" t="s">
        <v>205</v>
      </c>
      <c r="E1596" s="10"/>
      <c r="F1596" s="10"/>
      <c r="G1596" s="10"/>
      <c r="H1596" s="53">
        <f>H1597+H1614</f>
        <v>297338</v>
      </c>
    </row>
    <row r="1597" spans="1:8" s="28" customFormat="1" x14ac:dyDescent="0.25">
      <c r="A1597" s="27">
        <v>703</v>
      </c>
      <c r="B1597" s="15" t="s">
        <v>1553</v>
      </c>
      <c r="C1597" s="12" t="s">
        <v>568</v>
      </c>
      <c r="D1597" s="19" t="s">
        <v>205</v>
      </c>
      <c r="E1597" s="6" t="s">
        <v>193</v>
      </c>
      <c r="F1597" s="19"/>
      <c r="G1597" s="19"/>
      <c r="H1597" s="53">
        <f>H1598</f>
        <v>41111</v>
      </c>
    </row>
    <row r="1598" spans="1:8" s="147" customFormat="1" x14ac:dyDescent="0.25">
      <c r="A1598" s="188">
        <v>703425</v>
      </c>
      <c r="B1598" s="38" t="s">
        <v>1554</v>
      </c>
      <c r="C1598" s="25" t="s">
        <v>568</v>
      </c>
      <c r="D1598" s="25" t="s">
        <v>205</v>
      </c>
      <c r="E1598" s="25" t="s">
        <v>193</v>
      </c>
      <c r="F1598" s="11" t="s">
        <v>565</v>
      </c>
      <c r="G1598" s="25"/>
      <c r="H1598" s="53">
        <f>H1599</f>
        <v>41111</v>
      </c>
    </row>
    <row r="1599" spans="1:8" s="147" customFormat="1" x14ac:dyDescent="0.25">
      <c r="A1599" s="188">
        <v>70342599</v>
      </c>
      <c r="B1599" s="38" t="s">
        <v>624</v>
      </c>
      <c r="C1599" s="25" t="s">
        <v>568</v>
      </c>
      <c r="D1599" s="25" t="s">
        <v>205</v>
      </c>
      <c r="E1599" s="25" t="s">
        <v>193</v>
      </c>
      <c r="F1599" s="11" t="s">
        <v>1327</v>
      </c>
      <c r="G1599" s="25"/>
      <c r="H1599" s="53">
        <f>H1600+H1602+H1604+H1606+H1608+H1610+H1612</f>
        <v>41111</v>
      </c>
    </row>
    <row r="1600" spans="1:8" s="159" customFormat="1" ht="31.5" x14ac:dyDescent="0.25">
      <c r="A1600" s="188">
        <v>7034259901</v>
      </c>
      <c r="B1600" s="38" t="s">
        <v>160</v>
      </c>
      <c r="C1600" s="25" t="s">
        <v>568</v>
      </c>
      <c r="D1600" s="24" t="s">
        <v>205</v>
      </c>
      <c r="E1600" s="24" t="s">
        <v>193</v>
      </c>
      <c r="F1600" s="80" t="s">
        <v>1328</v>
      </c>
      <c r="G1600" s="24"/>
      <c r="H1600" s="53">
        <f>H1601</f>
        <v>751</v>
      </c>
    </row>
    <row r="1601" spans="1:8" s="159" customFormat="1" x14ac:dyDescent="0.25">
      <c r="A1601" s="188">
        <v>7034259901001</v>
      </c>
      <c r="B1601" s="38" t="s">
        <v>1435</v>
      </c>
      <c r="C1601" s="25" t="s">
        <v>568</v>
      </c>
      <c r="D1601" s="24" t="s">
        <v>205</v>
      </c>
      <c r="E1601" s="24" t="s">
        <v>193</v>
      </c>
      <c r="F1601" s="80" t="s">
        <v>1328</v>
      </c>
      <c r="G1601" s="24" t="s">
        <v>1394</v>
      </c>
      <c r="H1601" s="53">
        <v>751</v>
      </c>
    </row>
    <row r="1602" spans="1:8" s="159" customFormat="1" ht="31.5" x14ac:dyDescent="0.25">
      <c r="A1602" s="188">
        <v>7034259902</v>
      </c>
      <c r="B1602" s="38" t="s">
        <v>1119</v>
      </c>
      <c r="C1602" s="25" t="s">
        <v>568</v>
      </c>
      <c r="D1602" s="24" t="s">
        <v>205</v>
      </c>
      <c r="E1602" s="24" t="s">
        <v>193</v>
      </c>
      <c r="F1602" s="80" t="s">
        <v>1329</v>
      </c>
      <c r="G1602" s="24"/>
      <c r="H1602" s="53">
        <f>H1603</f>
        <v>2204</v>
      </c>
    </row>
    <row r="1603" spans="1:8" s="159" customFormat="1" x14ac:dyDescent="0.25">
      <c r="A1603" s="188">
        <v>7034259902001</v>
      </c>
      <c r="B1603" s="38" t="s">
        <v>1435</v>
      </c>
      <c r="C1603" s="25" t="s">
        <v>568</v>
      </c>
      <c r="D1603" s="24" t="s">
        <v>205</v>
      </c>
      <c r="E1603" s="24" t="s">
        <v>193</v>
      </c>
      <c r="F1603" s="80" t="s">
        <v>1329</v>
      </c>
      <c r="G1603" s="24" t="s">
        <v>1394</v>
      </c>
      <c r="H1603" s="53">
        <v>2204</v>
      </c>
    </row>
    <row r="1604" spans="1:8" s="159" customFormat="1" ht="31.5" x14ac:dyDescent="0.25">
      <c r="A1604" s="188">
        <v>7034259904</v>
      </c>
      <c r="B1604" s="148" t="s">
        <v>998</v>
      </c>
      <c r="C1604" s="25" t="s">
        <v>568</v>
      </c>
      <c r="D1604" s="24" t="s">
        <v>205</v>
      </c>
      <c r="E1604" s="24" t="s">
        <v>193</v>
      </c>
      <c r="F1604" s="80" t="s">
        <v>978</v>
      </c>
      <c r="G1604" s="24"/>
      <c r="H1604" s="53">
        <f>H1605</f>
        <v>200</v>
      </c>
    </row>
    <row r="1605" spans="1:8" s="159" customFormat="1" x14ac:dyDescent="0.25">
      <c r="A1605" s="188">
        <v>7034259904001</v>
      </c>
      <c r="B1605" s="38" t="s">
        <v>1435</v>
      </c>
      <c r="C1605" s="25" t="s">
        <v>568</v>
      </c>
      <c r="D1605" s="24" t="s">
        <v>205</v>
      </c>
      <c r="E1605" s="24" t="s">
        <v>193</v>
      </c>
      <c r="F1605" s="80" t="s">
        <v>978</v>
      </c>
      <c r="G1605" s="24" t="s">
        <v>1394</v>
      </c>
      <c r="H1605" s="53">
        <v>200</v>
      </c>
    </row>
    <row r="1606" spans="1:8" s="159" customFormat="1" ht="47.25" x14ac:dyDescent="0.25">
      <c r="A1606" s="188">
        <v>7034259907</v>
      </c>
      <c r="B1606" s="148" t="s">
        <v>681</v>
      </c>
      <c r="C1606" s="25" t="s">
        <v>568</v>
      </c>
      <c r="D1606" s="24" t="s">
        <v>205</v>
      </c>
      <c r="E1606" s="24" t="s">
        <v>193</v>
      </c>
      <c r="F1606" s="80" t="s">
        <v>980</v>
      </c>
      <c r="G1606" s="24"/>
      <c r="H1606" s="53">
        <f>H1607</f>
        <v>36</v>
      </c>
    </row>
    <row r="1607" spans="1:8" s="159" customFormat="1" x14ac:dyDescent="0.25">
      <c r="A1607" s="188">
        <v>7034259907001</v>
      </c>
      <c r="B1607" s="38" t="s">
        <v>1435</v>
      </c>
      <c r="C1607" s="25" t="s">
        <v>568</v>
      </c>
      <c r="D1607" s="24" t="s">
        <v>205</v>
      </c>
      <c r="E1607" s="24" t="s">
        <v>193</v>
      </c>
      <c r="F1607" s="80" t="s">
        <v>980</v>
      </c>
      <c r="G1607" s="24" t="s">
        <v>1394</v>
      </c>
      <c r="H1607" s="53">
        <v>36</v>
      </c>
    </row>
    <row r="1608" spans="1:8" s="159" customFormat="1" ht="47.25" x14ac:dyDescent="0.25">
      <c r="A1608" s="188">
        <v>7034259909</v>
      </c>
      <c r="B1608" s="148" t="s">
        <v>896</v>
      </c>
      <c r="C1608" s="25" t="s">
        <v>568</v>
      </c>
      <c r="D1608" s="24" t="s">
        <v>205</v>
      </c>
      <c r="E1608" s="24" t="s">
        <v>193</v>
      </c>
      <c r="F1608" s="80" t="s">
        <v>11</v>
      </c>
      <c r="G1608" s="24"/>
      <c r="H1608" s="53">
        <f>H1609</f>
        <v>320</v>
      </c>
    </row>
    <row r="1609" spans="1:8" s="159" customFormat="1" x14ac:dyDescent="0.25">
      <c r="A1609" s="188">
        <v>7034259909001</v>
      </c>
      <c r="B1609" s="38" t="s">
        <v>1435</v>
      </c>
      <c r="C1609" s="25" t="s">
        <v>568</v>
      </c>
      <c r="D1609" s="24" t="s">
        <v>205</v>
      </c>
      <c r="E1609" s="24" t="s">
        <v>193</v>
      </c>
      <c r="F1609" s="80" t="s">
        <v>11</v>
      </c>
      <c r="G1609" s="24" t="s">
        <v>1394</v>
      </c>
      <c r="H1609" s="53">
        <v>320</v>
      </c>
    </row>
    <row r="1610" spans="1:8" s="159" customFormat="1" ht="63" x14ac:dyDescent="0.25">
      <c r="A1610" s="188">
        <v>7034259910</v>
      </c>
      <c r="B1610" s="148" t="s">
        <v>1490</v>
      </c>
      <c r="C1610" s="25" t="s">
        <v>568</v>
      </c>
      <c r="D1610" s="24" t="s">
        <v>205</v>
      </c>
      <c r="E1610" s="24" t="s">
        <v>193</v>
      </c>
      <c r="F1610" s="80" t="s">
        <v>12</v>
      </c>
      <c r="G1610" s="24"/>
      <c r="H1610" s="53">
        <f>H1611</f>
        <v>20</v>
      </c>
    </row>
    <row r="1611" spans="1:8" s="159" customFormat="1" x14ac:dyDescent="0.25">
      <c r="A1611" s="188">
        <v>7034259910001</v>
      </c>
      <c r="B1611" s="38" t="s">
        <v>1435</v>
      </c>
      <c r="C1611" s="25" t="s">
        <v>568</v>
      </c>
      <c r="D1611" s="24" t="s">
        <v>205</v>
      </c>
      <c r="E1611" s="24" t="s">
        <v>193</v>
      </c>
      <c r="F1611" s="80" t="s">
        <v>12</v>
      </c>
      <c r="G1611" s="24" t="s">
        <v>1394</v>
      </c>
      <c r="H1611" s="53">
        <v>20</v>
      </c>
    </row>
    <row r="1612" spans="1:8" s="147" customFormat="1" ht="33.75" customHeight="1" x14ac:dyDescent="0.25">
      <c r="A1612" s="188">
        <v>7034259999</v>
      </c>
      <c r="B1612" s="38" t="s">
        <v>1018</v>
      </c>
      <c r="C1612" s="25" t="s">
        <v>568</v>
      </c>
      <c r="D1612" s="24" t="s">
        <v>205</v>
      </c>
      <c r="E1612" s="24" t="s">
        <v>193</v>
      </c>
      <c r="F1612" s="80" t="s">
        <v>159</v>
      </c>
      <c r="G1612" s="24"/>
      <c r="H1612" s="53">
        <f>H1613</f>
        <v>37580</v>
      </c>
    </row>
    <row r="1613" spans="1:8" s="147" customFormat="1" x14ac:dyDescent="0.25">
      <c r="A1613" s="188">
        <v>7034259999001</v>
      </c>
      <c r="B1613" s="38" t="s">
        <v>1435</v>
      </c>
      <c r="C1613" s="25" t="s">
        <v>568</v>
      </c>
      <c r="D1613" s="24" t="s">
        <v>205</v>
      </c>
      <c r="E1613" s="24" t="s">
        <v>193</v>
      </c>
      <c r="F1613" s="80" t="s">
        <v>159</v>
      </c>
      <c r="G1613" s="24" t="s">
        <v>1394</v>
      </c>
      <c r="H1613" s="53">
        <v>37580</v>
      </c>
    </row>
    <row r="1614" spans="1:8" s="28" customFormat="1" x14ac:dyDescent="0.25">
      <c r="A1614" s="29">
        <v>707</v>
      </c>
      <c r="B1614" s="26" t="s">
        <v>699</v>
      </c>
      <c r="C1614" s="12" t="s">
        <v>568</v>
      </c>
      <c r="D1614" s="12" t="s">
        <v>205</v>
      </c>
      <c r="E1614" s="12" t="s">
        <v>205</v>
      </c>
      <c r="F1614" s="10"/>
      <c r="G1614" s="10"/>
      <c r="H1614" s="53">
        <f>H1615</f>
        <v>256227</v>
      </c>
    </row>
    <row r="1615" spans="1:8" s="128" customFormat="1" ht="31.5" x14ac:dyDescent="0.25">
      <c r="A1615" s="27">
        <v>707432</v>
      </c>
      <c r="B1615" s="38" t="s">
        <v>1678</v>
      </c>
      <c r="C1615" s="12" t="s">
        <v>568</v>
      </c>
      <c r="D1615" s="12" t="s">
        <v>205</v>
      </c>
      <c r="E1615" s="12" t="s">
        <v>205</v>
      </c>
      <c r="F1615" s="11" t="s">
        <v>965</v>
      </c>
      <c r="G1615" s="39"/>
      <c r="H1615" s="53">
        <f>H1616+H1618</f>
        <v>256227</v>
      </c>
    </row>
    <row r="1616" spans="1:8" s="128" customFormat="1" ht="31.5" x14ac:dyDescent="0.25">
      <c r="A1616" s="27">
        <v>70743201</v>
      </c>
      <c r="B1616" s="26" t="s">
        <v>81</v>
      </c>
      <c r="C1616" s="12" t="s">
        <v>568</v>
      </c>
      <c r="D1616" s="12" t="s">
        <v>205</v>
      </c>
      <c r="E1616" s="12" t="s">
        <v>205</v>
      </c>
      <c r="F1616" s="10" t="s">
        <v>82</v>
      </c>
      <c r="G1616" s="12"/>
      <c r="H1616" s="53">
        <f>H1617</f>
        <v>253035</v>
      </c>
    </row>
    <row r="1617" spans="1:11" s="128" customFormat="1" x14ac:dyDescent="0.25">
      <c r="A1617" s="27">
        <v>70743201001</v>
      </c>
      <c r="B1617" s="26" t="s">
        <v>1435</v>
      </c>
      <c r="C1617" s="12" t="s">
        <v>568</v>
      </c>
      <c r="D1617" s="12" t="s">
        <v>205</v>
      </c>
      <c r="E1617" s="12" t="s">
        <v>205</v>
      </c>
      <c r="F1617" s="10" t="s">
        <v>82</v>
      </c>
      <c r="G1617" s="12" t="s">
        <v>1394</v>
      </c>
      <c r="H1617" s="53">
        <v>253035</v>
      </c>
    </row>
    <row r="1618" spans="1:11" s="128" customFormat="1" x14ac:dyDescent="0.25">
      <c r="A1618" s="27">
        <v>70743202</v>
      </c>
      <c r="B1618" s="26" t="s">
        <v>541</v>
      </c>
      <c r="C1618" s="12" t="s">
        <v>568</v>
      </c>
      <c r="D1618" s="12" t="s">
        <v>205</v>
      </c>
      <c r="E1618" s="12" t="s">
        <v>205</v>
      </c>
      <c r="F1618" s="10" t="s">
        <v>262</v>
      </c>
      <c r="G1618" s="12"/>
      <c r="H1618" s="53">
        <f>H1619</f>
        <v>3192</v>
      </c>
    </row>
    <row r="1619" spans="1:11" s="128" customFormat="1" x14ac:dyDescent="0.25">
      <c r="A1619" s="27">
        <v>70743202001</v>
      </c>
      <c r="B1619" s="26" t="s">
        <v>1435</v>
      </c>
      <c r="C1619" s="12" t="s">
        <v>568</v>
      </c>
      <c r="D1619" s="12" t="s">
        <v>205</v>
      </c>
      <c r="E1619" s="12" t="s">
        <v>205</v>
      </c>
      <c r="F1619" s="10" t="s">
        <v>262</v>
      </c>
      <c r="G1619" s="12" t="s">
        <v>1394</v>
      </c>
      <c r="H1619" s="53">
        <v>3192</v>
      </c>
    </row>
    <row r="1620" spans="1:11" s="46" customFormat="1" x14ac:dyDescent="0.25">
      <c r="A1620" s="29">
        <v>10</v>
      </c>
      <c r="B1620" s="35" t="s">
        <v>1745</v>
      </c>
      <c r="C1620" s="12" t="s">
        <v>568</v>
      </c>
      <c r="D1620" s="12">
        <v>10</v>
      </c>
      <c r="E1620" s="12"/>
      <c r="F1620" s="12"/>
      <c r="G1620" s="12"/>
      <c r="H1620" s="53">
        <f>H1621+H1660+H1791+H1802</f>
        <v>37644984</v>
      </c>
      <c r="I1620" s="28"/>
      <c r="J1620" s="45"/>
      <c r="K1620" s="47"/>
    </row>
    <row r="1621" spans="1:11" s="28" customFormat="1" x14ac:dyDescent="0.25">
      <c r="A1621" s="29">
        <v>1002</v>
      </c>
      <c r="B1621" s="26" t="s">
        <v>1129</v>
      </c>
      <c r="C1621" s="12" t="s">
        <v>568</v>
      </c>
      <c r="D1621" s="12">
        <v>10</v>
      </c>
      <c r="E1621" s="12" t="s">
        <v>567</v>
      </c>
      <c r="F1621" s="10"/>
      <c r="G1621" s="10"/>
      <c r="H1621" s="53">
        <f>H1622+H1626+H1642</f>
        <v>6942058</v>
      </c>
      <c r="J1621" s="43"/>
    </row>
    <row r="1622" spans="1:11" s="69" customFormat="1" ht="31.5" x14ac:dyDescent="0.25">
      <c r="A1622" s="27">
        <v>1002102</v>
      </c>
      <c r="B1622" s="26" t="s">
        <v>106</v>
      </c>
      <c r="C1622" s="12" t="s">
        <v>568</v>
      </c>
      <c r="D1622" s="12">
        <v>10</v>
      </c>
      <c r="E1622" s="12" t="s">
        <v>567</v>
      </c>
      <c r="F1622" s="10" t="s">
        <v>234</v>
      </c>
      <c r="G1622" s="10"/>
      <c r="H1622" s="53">
        <f>H1623</f>
        <v>384800</v>
      </c>
      <c r="J1622" s="71"/>
    </row>
    <row r="1623" spans="1:11" s="28" customFormat="1" ht="63" x14ac:dyDescent="0.25">
      <c r="A1623" s="27">
        <v>100210201</v>
      </c>
      <c r="B1623" s="26" t="s">
        <v>942</v>
      </c>
      <c r="C1623" s="12" t="s">
        <v>568</v>
      </c>
      <c r="D1623" s="12">
        <v>10</v>
      </c>
      <c r="E1623" s="12" t="s">
        <v>567</v>
      </c>
      <c r="F1623" s="10" t="s">
        <v>1178</v>
      </c>
      <c r="G1623" s="10"/>
      <c r="H1623" s="53">
        <f>H1624</f>
        <v>384800</v>
      </c>
    </row>
    <row r="1624" spans="1:11" s="28" customFormat="1" ht="47.25" x14ac:dyDescent="0.25">
      <c r="A1624" s="27">
        <v>10021020101</v>
      </c>
      <c r="B1624" s="26" t="s">
        <v>1025</v>
      </c>
      <c r="C1624" s="12" t="s">
        <v>568</v>
      </c>
      <c r="D1624" s="12">
        <v>10</v>
      </c>
      <c r="E1624" s="12" t="s">
        <v>567</v>
      </c>
      <c r="F1624" s="10" t="s">
        <v>1179</v>
      </c>
      <c r="G1624" s="10"/>
      <c r="H1624" s="53">
        <f>H1625</f>
        <v>384800</v>
      </c>
    </row>
    <row r="1625" spans="1:11" s="28" customFormat="1" x14ac:dyDescent="0.25">
      <c r="A1625" s="27">
        <v>10021020101003</v>
      </c>
      <c r="B1625" s="26" t="s">
        <v>256</v>
      </c>
      <c r="C1625" s="12" t="s">
        <v>568</v>
      </c>
      <c r="D1625" s="12">
        <v>10</v>
      </c>
      <c r="E1625" s="12" t="s">
        <v>567</v>
      </c>
      <c r="F1625" s="10" t="s">
        <v>1179</v>
      </c>
      <c r="G1625" s="80" t="s">
        <v>539</v>
      </c>
      <c r="H1625" s="53">
        <v>384800</v>
      </c>
    </row>
    <row r="1626" spans="1:11" s="28" customFormat="1" ht="16.5" customHeight="1" x14ac:dyDescent="0.25">
      <c r="A1626" s="27">
        <v>1002501</v>
      </c>
      <c r="B1626" s="26" t="s">
        <v>1423</v>
      </c>
      <c r="C1626" s="12" t="s">
        <v>568</v>
      </c>
      <c r="D1626" s="12">
        <v>10</v>
      </c>
      <c r="E1626" s="12" t="s">
        <v>567</v>
      </c>
      <c r="F1626" s="10" t="s">
        <v>1044</v>
      </c>
      <c r="G1626" s="12"/>
      <c r="H1626" s="53">
        <f>H1627</f>
        <v>2372084</v>
      </c>
    </row>
    <row r="1627" spans="1:11" s="28" customFormat="1" ht="16.5" customHeight="1" x14ac:dyDescent="0.25">
      <c r="A1627" s="27">
        <v>100250199</v>
      </c>
      <c r="B1627" s="26" t="s">
        <v>624</v>
      </c>
      <c r="C1627" s="12" t="s">
        <v>568</v>
      </c>
      <c r="D1627" s="12">
        <v>10</v>
      </c>
      <c r="E1627" s="12" t="s">
        <v>567</v>
      </c>
      <c r="F1627" s="10" t="s">
        <v>1091</v>
      </c>
      <c r="G1627" s="12"/>
      <c r="H1627" s="53">
        <f>H1628+H1630+H1632+H1634+H1636+H1638+H1640</f>
        <v>2372084</v>
      </c>
    </row>
    <row r="1628" spans="1:11" s="28" customFormat="1" ht="31.5" x14ac:dyDescent="0.25">
      <c r="A1628" s="27">
        <v>10025019901</v>
      </c>
      <c r="B1628" s="26" t="s">
        <v>1389</v>
      </c>
      <c r="C1628" s="12" t="s">
        <v>568</v>
      </c>
      <c r="D1628" s="12">
        <v>10</v>
      </c>
      <c r="E1628" s="12" t="s">
        <v>567</v>
      </c>
      <c r="F1628" s="10" t="s">
        <v>1092</v>
      </c>
      <c r="G1628" s="25"/>
      <c r="H1628" s="53">
        <f>H1629</f>
        <v>34000</v>
      </c>
    </row>
    <row r="1629" spans="1:11" s="28" customFormat="1" x14ac:dyDescent="0.25">
      <c r="A1629" s="27">
        <v>10025019901001</v>
      </c>
      <c r="B1629" s="26" t="s">
        <v>1435</v>
      </c>
      <c r="C1629" s="12" t="s">
        <v>568</v>
      </c>
      <c r="D1629" s="12">
        <v>10</v>
      </c>
      <c r="E1629" s="12" t="s">
        <v>567</v>
      </c>
      <c r="F1629" s="10" t="s">
        <v>1092</v>
      </c>
      <c r="G1629" s="6" t="s">
        <v>1394</v>
      </c>
      <c r="H1629" s="53">
        <v>34000</v>
      </c>
    </row>
    <row r="1630" spans="1:11" s="28" customFormat="1" ht="31.5" x14ac:dyDescent="0.25">
      <c r="A1630" s="27">
        <v>10025019902</v>
      </c>
      <c r="B1630" s="26" t="s">
        <v>850</v>
      </c>
      <c r="C1630" s="12" t="s">
        <v>568</v>
      </c>
      <c r="D1630" s="12">
        <v>10</v>
      </c>
      <c r="E1630" s="12" t="s">
        <v>567</v>
      </c>
      <c r="F1630" s="11" t="s">
        <v>604</v>
      </c>
      <c r="G1630" s="25"/>
      <c r="H1630" s="53">
        <f>H1631</f>
        <v>46603</v>
      </c>
    </row>
    <row r="1631" spans="1:11" s="28" customFormat="1" x14ac:dyDescent="0.25">
      <c r="A1631" s="27">
        <v>10025019902001</v>
      </c>
      <c r="B1631" s="26" t="s">
        <v>1435</v>
      </c>
      <c r="C1631" s="12" t="s">
        <v>568</v>
      </c>
      <c r="D1631" s="12">
        <v>10</v>
      </c>
      <c r="E1631" s="12" t="s">
        <v>567</v>
      </c>
      <c r="F1631" s="11" t="s">
        <v>604</v>
      </c>
      <c r="G1631" s="6" t="s">
        <v>1394</v>
      </c>
      <c r="H1631" s="53">
        <v>46603</v>
      </c>
    </row>
    <row r="1632" spans="1:11" s="28" customFormat="1" ht="31.5" x14ac:dyDescent="0.25">
      <c r="A1632" s="27">
        <v>10025019903</v>
      </c>
      <c r="B1632" s="26" t="s">
        <v>1390</v>
      </c>
      <c r="C1632" s="12" t="s">
        <v>568</v>
      </c>
      <c r="D1632" s="12">
        <v>10</v>
      </c>
      <c r="E1632" s="12" t="s">
        <v>567</v>
      </c>
      <c r="F1632" s="11" t="s">
        <v>68</v>
      </c>
      <c r="G1632" s="6"/>
      <c r="H1632" s="53">
        <f>H1633</f>
        <v>299482</v>
      </c>
    </row>
    <row r="1633" spans="1:8" s="28" customFormat="1" x14ac:dyDescent="0.25">
      <c r="A1633" s="27">
        <v>10025019903001</v>
      </c>
      <c r="B1633" s="26" t="s">
        <v>1435</v>
      </c>
      <c r="C1633" s="12" t="s">
        <v>568</v>
      </c>
      <c r="D1633" s="12">
        <v>10</v>
      </c>
      <c r="E1633" s="12" t="s">
        <v>567</v>
      </c>
      <c r="F1633" s="11" t="s">
        <v>68</v>
      </c>
      <c r="G1633" s="6" t="s">
        <v>1394</v>
      </c>
      <c r="H1633" s="53">
        <v>299482</v>
      </c>
    </row>
    <row r="1634" spans="1:8" s="28" customFormat="1" ht="33.75" customHeight="1" x14ac:dyDescent="0.25">
      <c r="A1634" s="27">
        <v>10025019904</v>
      </c>
      <c r="B1634" s="26" t="s">
        <v>313</v>
      </c>
      <c r="C1634" s="12" t="s">
        <v>568</v>
      </c>
      <c r="D1634" s="12">
        <v>10</v>
      </c>
      <c r="E1634" s="12" t="s">
        <v>567</v>
      </c>
      <c r="F1634" s="11" t="s">
        <v>69</v>
      </c>
      <c r="G1634" s="6"/>
      <c r="H1634" s="53">
        <f>H1635</f>
        <v>31133</v>
      </c>
    </row>
    <row r="1635" spans="1:8" s="28" customFormat="1" x14ac:dyDescent="0.25">
      <c r="A1635" s="27">
        <v>10025019904001</v>
      </c>
      <c r="B1635" s="26" t="s">
        <v>1435</v>
      </c>
      <c r="C1635" s="12" t="s">
        <v>568</v>
      </c>
      <c r="D1635" s="12">
        <v>10</v>
      </c>
      <c r="E1635" s="12" t="s">
        <v>567</v>
      </c>
      <c r="F1635" s="11" t="s">
        <v>69</v>
      </c>
      <c r="G1635" s="6" t="s">
        <v>1394</v>
      </c>
      <c r="H1635" s="53">
        <v>31133</v>
      </c>
    </row>
    <row r="1636" spans="1:8" s="28" customFormat="1" ht="34.5" customHeight="1" x14ac:dyDescent="0.25">
      <c r="A1636" s="27">
        <v>10025019905</v>
      </c>
      <c r="B1636" s="26" t="s">
        <v>231</v>
      </c>
      <c r="C1636" s="12" t="s">
        <v>568</v>
      </c>
      <c r="D1636" s="12">
        <v>10</v>
      </c>
      <c r="E1636" s="12" t="s">
        <v>567</v>
      </c>
      <c r="F1636" s="11" t="s">
        <v>70</v>
      </c>
      <c r="G1636" s="6"/>
      <c r="H1636" s="53">
        <f>H1637</f>
        <v>120219</v>
      </c>
    </row>
    <row r="1637" spans="1:8" s="28" customFormat="1" x14ac:dyDescent="0.25">
      <c r="A1637" s="27">
        <v>10025019905001</v>
      </c>
      <c r="B1637" s="26" t="s">
        <v>1435</v>
      </c>
      <c r="C1637" s="12" t="s">
        <v>568</v>
      </c>
      <c r="D1637" s="12">
        <v>10</v>
      </c>
      <c r="E1637" s="12" t="s">
        <v>567</v>
      </c>
      <c r="F1637" s="11" t="s">
        <v>70</v>
      </c>
      <c r="G1637" s="6" t="s">
        <v>1394</v>
      </c>
      <c r="H1637" s="53">
        <v>120219</v>
      </c>
    </row>
    <row r="1638" spans="1:8" s="28" customFormat="1" ht="31.5" x14ac:dyDescent="0.25">
      <c r="A1638" s="27">
        <v>10025019907</v>
      </c>
      <c r="B1638" s="26" t="s">
        <v>1095</v>
      </c>
      <c r="C1638" s="12" t="s">
        <v>568</v>
      </c>
      <c r="D1638" s="12">
        <v>10</v>
      </c>
      <c r="E1638" s="12" t="s">
        <v>567</v>
      </c>
      <c r="F1638" s="11" t="s">
        <v>71</v>
      </c>
      <c r="G1638" s="6"/>
      <c r="H1638" s="53">
        <f>H1639</f>
        <v>13110</v>
      </c>
    </row>
    <row r="1639" spans="1:8" s="28" customFormat="1" x14ac:dyDescent="0.25">
      <c r="A1639" s="27">
        <v>10025019907001</v>
      </c>
      <c r="B1639" s="26" t="s">
        <v>1435</v>
      </c>
      <c r="C1639" s="12" t="s">
        <v>568</v>
      </c>
      <c r="D1639" s="12">
        <v>10</v>
      </c>
      <c r="E1639" s="12" t="s">
        <v>567</v>
      </c>
      <c r="F1639" s="11" t="s">
        <v>71</v>
      </c>
      <c r="G1639" s="6" t="s">
        <v>1394</v>
      </c>
      <c r="H1639" s="53">
        <v>13110</v>
      </c>
    </row>
    <row r="1640" spans="1:8" s="28" customFormat="1" ht="31.5" x14ac:dyDescent="0.25">
      <c r="A1640" s="27">
        <v>10025019999</v>
      </c>
      <c r="B1640" s="26" t="s">
        <v>334</v>
      </c>
      <c r="C1640" s="12" t="s">
        <v>568</v>
      </c>
      <c r="D1640" s="12">
        <v>10</v>
      </c>
      <c r="E1640" s="12" t="s">
        <v>567</v>
      </c>
      <c r="F1640" s="10" t="s">
        <v>72</v>
      </c>
      <c r="G1640" s="6"/>
      <c r="H1640" s="53">
        <f>H1641</f>
        <v>1827537</v>
      </c>
    </row>
    <row r="1641" spans="1:8" s="28" customFormat="1" x14ac:dyDescent="0.25">
      <c r="A1641" s="27">
        <v>10025019999001</v>
      </c>
      <c r="B1641" s="26" t="s">
        <v>1435</v>
      </c>
      <c r="C1641" s="12" t="s">
        <v>568</v>
      </c>
      <c r="D1641" s="12">
        <v>10</v>
      </c>
      <c r="E1641" s="12" t="s">
        <v>567</v>
      </c>
      <c r="F1641" s="10" t="s">
        <v>72</v>
      </c>
      <c r="G1641" s="6" t="s">
        <v>1394</v>
      </c>
      <c r="H1641" s="53">
        <v>1827537</v>
      </c>
    </row>
    <row r="1642" spans="1:8" s="28" customFormat="1" x14ac:dyDescent="0.25">
      <c r="A1642" s="27">
        <v>1002507</v>
      </c>
      <c r="B1642" s="26" t="s">
        <v>1077</v>
      </c>
      <c r="C1642" s="12" t="s">
        <v>568</v>
      </c>
      <c r="D1642" s="12">
        <v>10</v>
      </c>
      <c r="E1642" s="12" t="s">
        <v>567</v>
      </c>
      <c r="F1642" s="11" t="s">
        <v>73</v>
      </c>
      <c r="G1642" s="6"/>
      <c r="H1642" s="53">
        <f>H1643</f>
        <v>4185174</v>
      </c>
    </row>
    <row r="1643" spans="1:8" s="28" customFormat="1" x14ac:dyDescent="0.25">
      <c r="A1643" s="27">
        <v>100250799</v>
      </c>
      <c r="B1643" s="26" t="s">
        <v>624</v>
      </c>
      <c r="C1643" s="12" t="s">
        <v>568</v>
      </c>
      <c r="D1643" s="12">
        <v>10</v>
      </c>
      <c r="E1643" s="12" t="s">
        <v>567</v>
      </c>
      <c r="F1643" s="11" t="s">
        <v>74</v>
      </c>
      <c r="G1643" s="6"/>
      <c r="H1643" s="53">
        <f>H1644+H1646+H1648+H1650+H1652+H1654+H1656+H1658</f>
        <v>4185174</v>
      </c>
    </row>
    <row r="1644" spans="1:8" s="28" customFormat="1" ht="31.5" x14ac:dyDescent="0.25">
      <c r="A1644" s="27">
        <v>10025079901</v>
      </c>
      <c r="B1644" s="26" t="s">
        <v>1079</v>
      </c>
      <c r="C1644" s="12" t="s">
        <v>568</v>
      </c>
      <c r="D1644" s="12">
        <v>10</v>
      </c>
      <c r="E1644" s="12" t="s">
        <v>567</v>
      </c>
      <c r="F1644" s="11" t="s">
        <v>1192</v>
      </c>
      <c r="G1644" s="25"/>
      <c r="H1644" s="53">
        <f>H1645</f>
        <v>66000</v>
      </c>
    </row>
    <row r="1645" spans="1:8" s="28" customFormat="1" x14ac:dyDescent="0.25">
      <c r="A1645" s="27">
        <v>10025079901001</v>
      </c>
      <c r="B1645" s="26" t="s">
        <v>1435</v>
      </c>
      <c r="C1645" s="12" t="s">
        <v>568</v>
      </c>
      <c r="D1645" s="12">
        <v>10</v>
      </c>
      <c r="E1645" s="12" t="s">
        <v>567</v>
      </c>
      <c r="F1645" s="11" t="s">
        <v>1192</v>
      </c>
      <c r="G1645" s="25" t="s">
        <v>1394</v>
      </c>
      <c r="H1645" s="53">
        <f>67267-1267</f>
        <v>66000</v>
      </c>
    </row>
    <row r="1646" spans="1:8" s="28" customFormat="1" ht="31.5" x14ac:dyDescent="0.25">
      <c r="A1646" s="27">
        <v>10025079902</v>
      </c>
      <c r="B1646" s="26" t="s">
        <v>1587</v>
      </c>
      <c r="C1646" s="12" t="s">
        <v>568</v>
      </c>
      <c r="D1646" s="12">
        <v>10</v>
      </c>
      <c r="E1646" s="12" t="s">
        <v>567</v>
      </c>
      <c r="F1646" s="11" t="s">
        <v>594</v>
      </c>
      <c r="G1646" s="25"/>
      <c r="H1646" s="53">
        <f>H1647</f>
        <v>77202</v>
      </c>
    </row>
    <row r="1647" spans="1:8" s="28" customFormat="1" x14ac:dyDescent="0.25">
      <c r="A1647" s="27">
        <v>10025079902001</v>
      </c>
      <c r="B1647" s="26" t="s">
        <v>1435</v>
      </c>
      <c r="C1647" s="12" t="s">
        <v>568</v>
      </c>
      <c r="D1647" s="12">
        <v>10</v>
      </c>
      <c r="E1647" s="12" t="s">
        <v>567</v>
      </c>
      <c r="F1647" s="11" t="s">
        <v>594</v>
      </c>
      <c r="G1647" s="25" t="s">
        <v>1394</v>
      </c>
      <c r="H1647" s="53">
        <v>77202</v>
      </c>
    </row>
    <row r="1648" spans="1:8" s="28" customFormat="1" ht="36.75" customHeight="1" x14ac:dyDescent="0.25">
      <c r="A1648" s="27">
        <v>10025079903</v>
      </c>
      <c r="B1648" s="26" t="s">
        <v>515</v>
      </c>
      <c r="C1648" s="12" t="s">
        <v>568</v>
      </c>
      <c r="D1648" s="12">
        <v>10</v>
      </c>
      <c r="E1648" s="12" t="s">
        <v>567</v>
      </c>
      <c r="F1648" s="11" t="s">
        <v>557</v>
      </c>
      <c r="G1648" s="25"/>
      <c r="H1648" s="53">
        <f>H1649</f>
        <v>171566</v>
      </c>
    </row>
    <row r="1649" spans="1:9" s="28" customFormat="1" x14ac:dyDescent="0.25">
      <c r="A1649" s="27">
        <v>10025079903001</v>
      </c>
      <c r="B1649" s="26" t="s">
        <v>1435</v>
      </c>
      <c r="C1649" s="12" t="s">
        <v>568</v>
      </c>
      <c r="D1649" s="12">
        <v>10</v>
      </c>
      <c r="E1649" s="12" t="s">
        <v>567</v>
      </c>
      <c r="F1649" s="11" t="s">
        <v>557</v>
      </c>
      <c r="G1649" s="25" t="s">
        <v>1394</v>
      </c>
      <c r="H1649" s="53">
        <v>171566</v>
      </c>
    </row>
    <row r="1650" spans="1:9" s="28" customFormat="1" ht="45.75" customHeight="1" x14ac:dyDescent="0.25">
      <c r="A1650" s="27">
        <v>10025079904</v>
      </c>
      <c r="B1650" s="26" t="s">
        <v>1222</v>
      </c>
      <c r="C1650" s="12" t="s">
        <v>568</v>
      </c>
      <c r="D1650" s="12">
        <v>10</v>
      </c>
      <c r="E1650" s="12" t="s">
        <v>567</v>
      </c>
      <c r="F1650" s="11" t="s">
        <v>44</v>
      </c>
      <c r="G1650" s="25"/>
      <c r="H1650" s="53">
        <f>H1651</f>
        <v>10063</v>
      </c>
    </row>
    <row r="1651" spans="1:9" s="28" customFormat="1" x14ac:dyDescent="0.25">
      <c r="A1651" s="27">
        <v>10025079904001</v>
      </c>
      <c r="B1651" s="26" t="s">
        <v>1435</v>
      </c>
      <c r="C1651" s="12" t="s">
        <v>568</v>
      </c>
      <c r="D1651" s="12">
        <v>10</v>
      </c>
      <c r="E1651" s="12" t="s">
        <v>567</v>
      </c>
      <c r="F1651" s="11" t="s">
        <v>44</v>
      </c>
      <c r="G1651" s="25" t="s">
        <v>1394</v>
      </c>
      <c r="H1651" s="53">
        <v>10063</v>
      </c>
    </row>
    <row r="1652" spans="1:9" s="28" customFormat="1" ht="47.25" x14ac:dyDescent="0.25">
      <c r="A1652" s="27">
        <v>10025079905</v>
      </c>
      <c r="B1652" s="26" t="s">
        <v>114</v>
      </c>
      <c r="C1652" s="12" t="s">
        <v>568</v>
      </c>
      <c r="D1652" s="12">
        <v>10</v>
      </c>
      <c r="E1652" s="12" t="s">
        <v>567</v>
      </c>
      <c r="F1652" s="11" t="s">
        <v>934</v>
      </c>
      <c r="G1652" s="25"/>
      <c r="H1652" s="53">
        <f>H1653</f>
        <v>45600</v>
      </c>
    </row>
    <row r="1653" spans="1:9" s="28" customFormat="1" x14ac:dyDescent="0.25">
      <c r="A1653" s="27">
        <v>10025079905001</v>
      </c>
      <c r="B1653" s="26" t="s">
        <v>1435</v>
      </c>
      <c r="C1653" s="12" t="s">
        <v>568</v>
      </c>
      <c r="D1653" s="12">
        <v>10</v>
      </c>
      <c r="E1653" s="12" t="s">
        <v>567</v>
      </c>
      <c r="F1653" s="11" t="s">
        <v>934</v>
      </c>
      <c r="G1653" s="25" t="s">
        <v>1394</v>
      </c>
      <c r="H1653" s="53">
        <v>45600</v>
      </c>
    </row>
    <row r="1654" spans="1:9" s="28" customFormat="1" ht="63" x14ac:dyDescent="0.25">
      <c r="A1654" s="27">
        <v>10025079906</v>
      </c>
      <c r="B1654" s="26" t="s">
        <v>1006</v>
      </c>
      <c r="C1654" s="12" t="s">
        <v>568</v>
      </c>
      <c r="D1654" s="12">
        <v>10</v>
      </c>
      <c r="E1654" s="12" t="s">
        <v>567</v>
      </c>
      <c r="F1654" s="11" t="s">
        <v>1576</v>
      </c>
      <c r="G1654" s="25"/>
      <c r="H1654" s="53">
        <f>H1655</f>
        <v>16841</v>
      </c>
    </row>
    <row r="1655" spans="1:9" s="28" customFormat="1" x14ac:dyDescent="0.25">
      <c r="A1655" s="27">
        <v>10025079906001</v>
      </c>
      <c r="B1655" s="26" t="s">
        <v>1435</v>
      </c>
      <c r="C1655" s="12" t="s">
        <v>568</v>
      </c>
      <c r="D1655" s="12">
        <v>10</v>
      </c>
      <c r="E1655" s="12" t="s">
        <v>567</v>
      </c>
      <c r="F1655" s="11" t="s">
        <v>1576</v>
      </c>
      <c r="G1655" s="25" t="s">
        <v>1394</v>
      </c>
      <c r="H1655" s="53">
        <v>16841</v>
      </c>
    </row>
    <row r="1656" spans="1:9" s="28" customFormat="1" ht="47.25" x14ac:dyDescent="0.25">
      <c r="A1656" s="27">
        <v>10025079907</v>
      </c>
      <c r="B1656" s="26" t="s">
        <v>589</v>
      </c>
      <c r="C1656" s="12" t="s">
        <v>568</v>
      </c>
      <c r="D1656" s="12">
        <v>10</v>
      </c>
      <c r="E1656" s="12" t="s">
        <v>567</v>
      </c>
      <c r="F1656" s="11" t="s">
        <v>1577</v>
      </c>
      <c r="G1656" s="25"/>
      <c r="H1656" s="53">
        <f>H1657</f>
        <v>25717</v>
      </c>
    </row>
    <row r="1657" spans="1:9" s="28" customFormat="1" x14ac:dyDescent="0.25">
      <c r="A1657" s="27">
        <v>10025079907001</v>
      </c>
      <c r="B1657" s="26" t="s">
        <v>1435</v>
      </c>
      <c r="C1657" s="12" t="s">
        <v>568</v>
      </c>
      <c r="D1657" s="12">
        <v>10</v>
      </c>
      <c r="E1657" s="12" t="s">
        <v>567</v>
      </c>
      <c r="F1657" s="11" t="s">
        <v>1577</v>
      </c>
      <c r="G1657" s="25" t="s">
        <v>1394</v>
      </c>
      <c r="H1657" s="53">
        <v>25717</v>
      </c>
    </row>
    <row r="1658" spans="1:9" s="28" customFormat="1" ht="31.5" x14ac:dyDescent="0.25">
      <c r="A1658" s="27">
        <v>10025079999</v>
      </c>
      <c r="B1658" s="26" t="s">
        <v>593</v>
      </c>
      <c r="C1658" s="12" t="s">
        <v>568</v>
      </c>
      <c r="D1658" s="12">
        <v>10</v>
      </c>
      <c r="E1658" s="12" t="s">
        <v>567</v>
      </c>
      <c r="F1658" s="11" t="s">
        <v>1578</v>
      </c>
      <c r="G1658" s="25"/>
      <c r="H1658" s="53">
        <f>H1659</f>
        <v>3772185</v>
      </c>
    </row>
    <row r="1659" spans="1:9" s="28" customFormat="1" x14ac:dyDescent="0.25">
      <c r="A1659" s="27">
        <v>10025079999001</v>
      </c>
      <c r="B1659" s="26" t="s">
        <v>1435</v>
      </c>
      <c r="C1659" s="12" t="s">
        <v>568</v>
      </c>
      <c r="D1659" s="12">
        <v>10</v>
      </c>
      <c r="E1659" s="12" t="s">
        <v>567</v>
      </c>
      <c r="F1659" s="11" t="s">
        <v>1578</v>
      </c>
      <c r="G1659" s="25" t="s">
        <v>1394</v>
      </c>
      <c r="H1659" s="53">
        <f>4055918-283733</f>
        <v>3772185</v>
      </c>
    </row>
    <row r="1660" spans="1:9" s="28" customFormat="1" x14ac:dyDescent="0.25">
      <c r="A1660" s="27">
        <v>1003</v>
      </c>
      <c r="B1660" s="26" t="s">
        <v>1322</v>
      </c>
      <c r="C1660" s="12" t="s">
        <v>568</v>
      </c>
      <c r="D1660" s="12">
        <v>10</v>
      </c>
      <c r="E1660" s="12" t="s">
        <v>193</v>
      </c>
      <c r="F1660" s="10"/>
      <c r="G1660" s="12"/>
      <c r="H1660" s="53">
        <f>H1661+H1785</f>
        <v>28195048</v>
      </c>
      <c r="I1660" s="43"/>
    </row>
    <row r="1661" spans="1:9" s="147" customFormat="1" ht="17.25" customHeight="1" x14ac:dyDescent="0.25">
      <c r="A1661" s="188">
        <v>1003505</v>
      </c>
      <c r="B1661" s="38" t="s">
        <v>278</v>
      </c>
      <c r="C1661" s="25" t="s">
        <v>568</v>
      </c>
      <c r="D1661" s="25">
        <v>10</v>
      </c>
      <c r="E1661" s="25" t="s">
        <v>193</v>
      </c>
      <c r="F1661" s="11" t="s">
        <v>1097</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3" x14ac:dyDescent="0.25">
      <c r="A1662" s="27">
        <v>10035052205</v>
      </c>
      <c r="B1662" s="149" t="s">
        <v>725</v>
      </c>
      <c r="C1662" s="12" t="s">
        <v>568</v>
      </c>
      <c r="D1662" s="12">
        <v>10</v>
      </c>
      <c r="E1662" s="12" t="s">
        <v>193</v>
      </c>
      <c r="F1662" s="10" t="s">
        <v>1341</v>
      </c>
      <c r="G1662" s="10"/>
      <c r="H1662" s="53">
        <f>H1663</f>
        <v>7328</v>
      </c>
    </row>
    <row r="1663" spans="1:9" s="28" customFormat="1" ht="17.25" customHeight="1" x14ac:dyDescent="0.25">
      <c r="A1663" s="27">
        <v>10035052205005</v>
      </c>
      <c r="B1663" s="26" t="s">
        <v>946</v>
      </c>
      <c r="C1663" s="12" t="s">
        <v>568</v>
      </c>
      <c r="D1663" s="12">
        <v>10</v>
      </c>
      <c r="E1663" s="12" t="s">
        <v>193</v>
      </c>
      <c r="F1663" s="10" t="s">
        <v>1341</v>
      </c>
      <c r="G1663" s="6" t="s">
        <v>1326</v>
      </c>
      <c r="H1663" s="53">
        <v>7328</v>
      </c>
    </row>
    <row r="1664" spans="1:9" s="4" customFormat="1" ht="36" customHeight="1" x14ac:dyDescent="0.25">
      <c r="A1664" s="29">
        <v>100350529</v>
      </c>
      <c r="B1664" s="26" t="s">
        <v>333</v>
      </c>
      <c r="C1664" s="12" t="s">
        <v>568</v>
      </c>
      <c r="D1664" s="12">
        <v>10</v>
      </c>
      <c r="E1664" s="12" t="s">
        <v>193</v>
      </c>
      <c r="F1664" s="10" t="s">
        <v>472</v>
      </c>
      <c r="G1664" s="12"/>
      <c r="H1664" s="53">
        <f>H1665+H1667+H1669</f>
        <v>327600</v>
      </c>
    </row>
    <row r="1665" spans="1:8" s="4" customFormat="1" ht="47.25" x14ac:dyDescent="0.25">
      <c r="A1665" s="29">
        <v>10035052926</v>
      </c>
      <c r="B1665" s="148" t="s">
        <v>1315</v>
      </c>
      <c r="C1665" s="12" t="s">
        <v>568</v>
      </c>
      <c r="D1665" s="12">
        <v>10</v>
      </c>
      <c r="E1665" s="12" t="s">
        <v>193</v>
      </c>
      <c r="F1665" s="10" t="s">
        <v>473</v>
      </c>
      <c r="G1665" s="12"/>
      <c r="H1665" s="53">
        <f>H1666</f>
        <v>38480</v>
      </c>
    </row>
    <row r="1666" spans="1:8" s="4" customFormat="1" x14ac:dyDescent="0.25">
      <c r="A1666" s="27">
        <v>10035052926005</v>
      </c>
      <c r="B1666" s="26" t="s">
        <v>946</v>
      </c>
      <c r="C1666" s="12" t="s">
        <v>568</v>
      </c>
      <c r="D1666" s="12">
        <v>10</v>
      </c>
      <c r="E1666" s="12" t="s">
        <v>193</v>
      </c>
      <c r="F1666" s="10" t="s">
        <v>473</v>
      </c>
      <c r="G1666" s="6" t="s">
        <v>1326</v>
      </c>
      <c r="H1666" s="53">
        <v>38480</v>
      </c>
    </row>
    <row r="1667" spans="1:8" s="4" customFormat="1" ht="35.25" customHeight="1" x14ac:dyDescent="0.25">
      <c r="A1667" s="27">
        <v>10035052927</v>
      </c>
      <c r="B1667" s="148" t="s">
        <v>1520</v>
      </c>
      <c r="C1667" s="12" t="s">
        <v>568</v>
      </c>
      <c r="D1667" s="12">
        <v>10</v>
      </c>
      <c r="E1667" s="12" t="s">
        <v>193</v>
      </c>
      <c r="F1667" s="10" t="s">
        <v>474</v>
      </c>
      <c r="G1667" s="12"/>
      <c r="H1667" s="53">
        <f>H1668</f>
        <v>43434</v>
      </c>
    </row>
    <row r="1668" spans="1:8" s="4" customFormat="1" x14ac:dyDescent="0.25">
      <c r="A1668" s="27">
        <v>10035052927005</v>
      </c>
      <c r="B1668" s="26" t="s">
        <v>946</v>
      </c>
      <c r="C1668" s="12" t="s">
        <v>568</v>
      </c>
      <c r="D1668" s="12">
        <v>10</v>
      </c>
      <c r="E1668" s="12" t="s">
        <v>193</v>
      </c>
      <c r="F1668" s="10" t="s">
        <v>474</v>
      </c>
      <c r="G1668" s="6" t="s">
        <v>1326</v>
      </c>
      <c r="H1668" s="53">
        <v>43434</v>
      </c>
    </row>
    <row r="1669" spans="1:8" s="4" customFormat="1" ht="35.25" customHeight="1" x14ac:dyDescent="0.25">
      <c r="A1669" s="27">
        <v>10035052928</v>
      </c>
      <c r="B1669" s="148" t="s">
        <v>1570</v>
      </c>
      <c r="C1669" s="12" t="s">
        <v>568</v>
      </c>
      <c r="D1669" s="12">
        <v>10</v>
      </c>
      <c r="E1669" s="12" t="s">
        <v>193</v>
      </c>
      <c r="F1669" s="10" t="s">
        <v>1571</v>
      </c>
      <c r="G1669" s="12"/>
      <c r="H1669" s="53">
        <f>H1670</f>
        <v>245686</v>
      </c>
    </row>
    <row r="1670" spans="1:8" s="4" customFormat="1" x14ac:dyDescent="0.25">
      <c r="A1670" s="27">
        <v>10035052928009</v>
      </c>
      <c r="B1670" s="26" t="s">
        <v>1565</v>
      </c>
      <c r="C1670" s="12" t="s">
        <v>568</v>
      </c>
      <c r="D1670" s="12">
        <v>10</v>
      </c>
      <c r="E1670" s="12" t="s">
        <v>193</v>
      </c>
      <c r="F1670" s="10" t="s">
        <v>1571</v>
      </c>
      <c r="G1670" s="6" t="s">
        <v>569</v>
      </c>
      <c r="H1670" s="53">
        <v>245686</v>
      </c>
    </row>
    <row r="1671" spans="1:8" s="28" customFormat="1" ht="17.25" customHeight="1" x14ac:dyDescent="0.25">
      <c r="A1671" s="27">
        <v>100350530</v>
      </c>
      <c r="B1671" s="149" t="s">
        <v>294</v>
      </c>
      <c r="C1671" s="12" t="s">
        <v>568</v>
      </c>
      <c r="D1671" s="12">
        <v>10</v>
      </c>
      <c r="E1671" s="12" t="s">
        <v>193</v>
      </c>
      <c r="F1671" s="10" t="s">
        <v>1579</v>
      </c>
      <c r="G1671" s="10"/>
      <c r="H1671" s="53">
        <f>H1672</f>
        <v>2805741</v>
      </c>
    </row>
    <row r="1672" spans="1:8" s="28" customFormat="1" ht="17.25" customHeight="1" x14ac:dyDescent="0.25">
      <c r="A1672" s="27">
        <v>100350530005</v>
      </c>
      <c r="B1672" s="26" t="s">
        <v>946</v>
      </c>
      <c r="C1672" s="12" t="s">
        <v>568</v>
      </c>
      <c r="D1672" s="12">
        <v>10</v>
      </c>
      <c r="E1672" s="12" t="s">
        <v>193</v>
      </c>
      <c r="F1672" s="10" t="s">
        <v>1579</v>
      </c>
      <c r="G1672" s="6" t="s">
        <v>1326</v>
      </c>
      <c r="H1672" s="230">
        <f>2429827+375914</f>
        <v>2805741</v>
      </c>
    </row>
    <row r="1673" spans="1:8" s="28" customFormat="1" ht="31.5" x14ac:dyDescent="0.25">
      <c r="A1673" s="27">
        <v>100350531</v>
      </c>
      <c r="B1673" s="26" t="s">
        <v>1548</v>
      </c>
      <c r="C1673" s="12" t="s">
        <v>568</v>
      </c>
      <c r="D1673" s="12">
        <v>10</v>
      </c>
      <c r="E1673" s="12" t="s">
        <v>193</v>
      </c>
      <c r="F1673" s="10" t="s">
        <v>1549</v>
      </c>
      <c r="G1673" s="10"/>
      <c r="H1673" s="53">
        <f>H1674+H1676+H1678+H1680+H1682+H1684+H1686+H1688+H1690+H1692+H1694+H1696</f>
        <v>10217397</v>
      </c>
    </row>
    <row r="1674" spans="1:8" s="28" customFormat="1" ht="31.5" x14ac:dyDescent="0.25">
      <c r="A1674" s="27">
        <v>10035053111</v>
      </c>
      <c r="B1674" s="26" t="s">
        <v>1542</v>
      </c>
      <c r="C1674" s="12" t="s">
        <v>568</v>
      </c>
      <c r="D1674" s="12">
        <v>10</v>
      </c>
      <c r="E1674" s="12" t="s">
        <v>193</v>
      </c>
      <c r="F1674" s="10" t="s">
        <v>947</v>
      </c>
      <c r="G1674" s="6"/>
      <c r="H1674" s="53">
        <f>H1675</f>
        <v>6189306</v>
      </c>
    </row>
    <row r="1675" spans="1:8" s="28" customFormat="1" x14ac:dyDescent="0.25">
      <c r="A1675" s="27">
        <v>10035053111005</v>
      </c>
      <c r="B1675" s="26" t="s">
        <v>946</v>
      </c>
      <c r="C1675" s="12" t="s">
        <v>568</v>
      </c>
      <c r="D1675" s="12">
        <v>10</v>
      </c>
      <c r="E1675" s="12" t="s">
        <v>193</v>
      </c>
      <c r="F1675" s="10" t="s">
        <v>947</v>
      </c>
      <c r="G1675" s="6" t="s">
        <v>1326</v>
      </c>
      <c r="H1675" s="53">
        <v>6189306</v>
      </c>
    </row>
    <row r="1676" spans="1:8" s="28" customFormat="1" ht="31.5" x14ac:dyDescent="0.25">
      <c r="A1676" s="27">
        <v>10035053112</v>
      </c>
      <c r="B1676" s="26" t="s">
        <v>533</v>
      </c>
      <c r="C1676" s="12" t="s">
        <v>568</v>
      </c>
      <c r="D1676" s="12">
        <v>10</v>
      </c>
      <c r="E1676" s="12" t="s">
        <v>193</v>
      </c>
      <c r="F1676" s="10" t="s">
        <v>948</v>
      </c>
      <c r="G1676" s="6"/>
      <c r="H1676" s="53">
        <f>H1677</f>
        <v>12696</v>
      </c>
    </row>
    <row r="1677" spans="1:8" s="28" customFormat="1" x14ac:dyDescent="0.25">
      <c r="A1677" s="27">
        <v>10035053112005</v>
      </c>
      <c r="B1677" s="26" t="s">
        <v>946</v>
      </c>
      <c r="C1677" s="12" t="s">
        <v>568</v>
      </c>
      <c r="D1677" s="12">
        <v>10</v>
      </c>
      <c r="E1677" s="12" t="s">
        <v>193</v>
      </c>
      <c r="F1677" s="10" t="s">
        <v>948</v>
      </c>
      <c r="G1677" s="6" t="s">
        <v>1326</v>
      </c>
      <c r="H1677" s="53">
        <v>12696</v>
      </c>
    </row>
    <row r="1678" spans="1:8" s="147" customFormat="1" ht="34.5" customHeight="1" x14ac:dyDescent="0.25">
      <c r="A1678" s="188">
        <v>10035053120</v>
      </c>
      <c r="B1678" s="38" t="s">
        <v>844</v>
      </c>
      <c r="C1678" s="25" t="s">
        <v>568</v>
      </c>
      <c r="D1678" s="25">
        <v>10</v>
      </c>
      <c r="E1678" s="25" t="s">
        <v>193</v>
      </c>
      <c r="F1678" s="11" t="s">
        <v>1289</v>
      </c>
      <c r="G1678" s="24"/>
      <c r="H1678" s="53">
        <f>H1679</f>
        <v>1473600</v>
      </c>
    </row>
    <row r="1679" spans="1:8" s="147" customFormat="1" x14ac:dyDescent="0.25">
      <c r="A1679" s="188">
        <v>10035053120005</v>
      </c>
      <c r="B1679" s="38" t="s">
        <v>946</v>
      </c>
      <c r="C1679" s="25" t="s">
        <v>568</v>
      </c>
      <c r="D1679" s="25">
        <v>10</v>
      </c>
      <c r="E1679" s="25" t="s">
        <v>193</v>
      </c>
      <c r="F1679" s="11" t="s">
        <v>1289</v>
      </c>
      <c r="G1679" s="24" t="s">
        <v>1326</v>
      </c>
      <c r="H1679" s="53">
        <v>1473600</v>
      </c>
    </row>
    <row r="1680" spans="1:8" s="28" customFormat="1" ht="47.25" x14ac:dyDescent="0.25">
      <c r="A1680" s="27">
        <v>10035053121</v>
      </c>
      <c r="B1680" s="149" t="s">
        <v>1093</v>
      </c>
      <c r="C1680" s="12" t="s">
        <v>568</v>
      </c>
      <c r="D1680" s="12">
        <v>10</v>
      </c>
      <c r="E1680" s="12" t="s">
        <v>193</v>
      </c>
      <c r="F1680" s="10" t="s">
        <v>103</v>
      </c>
      <c r="G1680" s="6"/>
      <c r="H1680" s="53">
        <f>H1681</f>
        <v>1061802</v>
      </c>
    </row>
    <row r="1681" spans="1:8" s="28" customFormat="1" x14ac:dyDescent="0.25">
      <c r="A1681" s="27">
        <v>10035053121005</v>
      </c>
      <c r="B1681" s="26" t="s">
        <v>946</v>
      </c>
      <c r="C1681" s="12" t="s">
        <v>568</v>
      </c>
      <c r="D1681" s="12">
        <v>10</v>
      </c>
      <c r="E1681" s="12" t="s">
        <v>193</v>
      </c>
      <c r="F1681" s="10" t="s">
        <v>103</v>
      </c>
      <c r="G1681" s="6" t="s">
        <v>1326</v>
      </c>
      <c r="H1681" s="53">
        <v>1061802</v>
      </c>
    </row>
    <row r="1682" spans="1:8" s="28" customFormat="1" ht="31.5" x14ac:dyDescent="0.25">
      <c r="A1682" s="27">
        <v>10035053122</v>
      </c>
      <c r="B1682" s="149" t="s">
        <v>1022</v>
      </c>
      <c r="C1682" s="12" t="s">
        <v>568</v>
      </c>
      <c r="D1682" s="12">
        <v>10</v>
      </c>
      <c r="E1682" s="12" t="s">
        <v>193</v>
      </c>
      <c r="F1682" s="10" t="s">
        <v>104</v>
      </c>
      <c r="G1682" s="6"/>
      <c r="H1682" s="53">
        <f>H1683</f>
        <v>58687</v>
      </c>
    </row>
    <row r="1683" spans="1:8" s="28" customFormat="1" x14ac:dyDescent="0.25">
      <c r="A1683" s="27">
        <v>10035053122005</v>
      </c>
      <c r="B1683" s="26" t="s">
        <v>946</v>
      </c>
      <c r="C1683" s="12" t="s">
        <v>568</v>
      </c>
      <c r="D1683" s="12">
        <v>10</v>
      </c>
      <c r="E1683" s="12" t="s">
        <v>193</v>
      </c>
      <c r="F1683" s="10" t="s">
        <v>104</v>
      </c>
      <c r="G1683" s="6" t="s">
        <v>1326</v>
      </c>
      <c r="H1683" s="53">
        <v>58687</v>
      </c>
    </row>
    <row r="1684" spans="1:8" s="147" customFormat="1" ht="34.5" customHeight="1" x14ac:dyDescent="0.25">
      <c r="A1684" s="188">
        <v>10035053123</v>
      </c>
      <c r="B1684" s="38" t="s">
        <v>111</v>
      </c>
      <c r="C1684" s="25" t="s">
        <v>568</v>
      </c>
      <c r="D1684" s="25">
        <v>10</v>
      </c>
      <c r="E1684" s="25" t="s">
        <v>193</v>
      </c>
      <c r="F1684" s="11" t="s">
        <v>1023</v>
      </c>
      <c r="G1684" s="24"/>
      <c r="H1684" s="53">
        <f>H1685</f>
        <v>27917</v>
      </c>
    </row>
    <row r="1685" spans="1:8" s="147" customFormat="1" x14ac:dyDescent="0.25">
      <c r="A1685" s="188">
        <v>10035053123005</v>
      </c>
      <c r="B1685" s="38" t="s">
        <v>946</v>
      </c>
      <c r="C1685" s="25" t="s">
        <v>568</v>
      </c>
      <c r="D1685" s="25">
        <v>10</v>
      </c>
      <c r="E1685" s="25" t="s">
        <v>193</v>
      </c>
      <c r="F1685" s="11" t="s">
        <v>1023</v>
      </c>
      <c r="G1685" s="24" t="s">
        <v>1326</v>
      </c>
      <c r="H1685" s="53">
        <v>27917</v>
      </c>
    </row>
    <row r="1686" spans="1:8" s="147" customFormat="1" ht="47.25" x14ac:dyDescent="0.25">
      <c r="A1686" s="188">
        <v>10035053124</v>
      </c>
      <c r="B1686" s="148" t="s">
        <v>870</v>
      </c>
      <c r="C1686" s="25" t="s">
        <v>568</v>
      </c>
      <c r="D1686" s="25">
        <v>10</v>
      </c>
      <c r="E1686" s="25" t="s">
        <v>193</v>
      </c>
      <c r="F1686" s="11" t="s">
        <v>112</v>
      </c>
      <c r="G1686" s="24"/>
      <c r="H1686" s="53">
        <f>H1687</f>
        <v>43771</v>
      </c>
    </row>
    <row r="1687" spans="1:8" s="147" customFormat="1" x14ac:dyDescent="0.25">
      <c r="A1687" s="188">
        <v>10035053124005</v>
      </c>
      <c r="B1687" s="38" t="s">
        <v>946</v>
      </c>
      <c r="C1687" s="25" t="s">
        <v>568</v>
      </c>
      <c r="D1687" s="25">
        <v>10</v>
      </c>
      <c r="E1687" s="25" t="s">
        <v>193</v>
      </c>
      <c r="F1687" s="11" t="s">
        <v>112</v>
      </c>
      <c r="G1687" s="24" t="s">
        <v>1326</v>
      </c>
      <c r="H1687" s="53">
        <v>43771</v>
      </c>
    </row>
    <row r="1688" spans="1:8" s="147" customFormat="1" ht="31.5" x14ac:dyDescent="0.25">
      <c r="A1688" s="188">
        <v>10035053125</v>
      </c>
      <c r="B1688" s="148" t="s">
        <v>1584</v>
      </c>
      <c r="C1688" s="25" t="s">
        <v>568</v>
      </c>
      <c r="D1688" s="25">
        <v>10</v>
      </c>
      <c r="E1688" s="25" t="s">
        <v>193</v>
      </c>
      <c r="F1688" s="11" t="s">
        <v>1572</v>
      </c>
      <c r="G1688" s="24"/>
      <c r="H1688" s="53">
        <f>H1689</f>
        <v>8300</v>
      </c>
    </row>
    <row r="1689" spans="1:8" s="147" customFormat="1" x14ac:dyDescent="0.25">
      <c r="A1689" s="188">
        <v>10035053125005</v>
      </c>
      <c r="B1689" s="38" t="s">
        <v>946</v>
      </c>
      <c r="C1689" s="25" t="s">
        <v>568</v>
      </c>
      <c r="D1689" s="25">
        <v>10</v>
      </c>
      <c r="E1689" s="25" t="s">
        <v>193</v>
      </c>
      <c r="F1689" s="11" t="s">
        <v>1572</v>
      </c>
      <c r="G1689" s="24" t="s">
        <v>1326</v>
      </c>
      <c r="H1689" s="53">
        <v>8300</v>
      </c>
    </row>
    <row r="1690" spans="1:8" s="28" customFormat="1" ht="31.5" x14ac:dyDescent="0.25">
      <c r="A1690" s="27">
        <v>10035053126</v>
      </c>
      <c r="B1690" s="26" t="s">
        <v>57</v>
      </c>
      <c r="C1690" s="12" t="s">
        <v>568</v>
      </c>
      <c r="D1690" s="12">
        <v>10</v>
      </c>
      <c r="E1690" s="12" t="s">
        <v>193</v>
      </c>
      <c r="F1690" s="10" t="s">
        <v>1573</v>
      </c>
      <c r="G1690" s="6"/>
      <c r="H1690" s="53">
        <f>H1691</f>
        <v>281224</v>
      </c>
    </row>
    <row r="1691" spans="1:8" s="28" customFormat="1" x14ac:dyDescent="0.25">
      <c r="A1691" s="27">
        <v>10035053126005</v>
      </c>
      <c r="B1691" s="26" t="s">
        <v>946</v>
      </c>
      <c r="C1691" s="12" t="s">
        <v>568</v>
      </c>
      <c r="D1691" s="12">
        <v>10</v>
      </c>
      <c r="E1691" s="12" t="s">
        <v>193</v>
      </c>
      <c r="F1691" s="10" t="s">
        <v>1573</v>
      </c>
      <c r="G1691" s="6" t="s">
        <v>1326</v>
      </c>
      <c r="H1691" s="53">
        <v>281224</v>
      </c>
    </row>
    <row r="1692" spans="1:8" s="28" customFormat="1" ht="31.5" x14ac:dyDescent="0.25">
      <c r="A1692" s="27">
        <v>10035053127</v>
      </c>
      <c r="B1692" s="26" t="s">
        <v>639</v>
      </c>
      <c r="C1692" s="12" t="s">
        <v>568</v>
      </c>
      <c r="D1692" s="12">
        <v>10</v>
      </c>
      <c r="E1692" s="12" t="s">
        <v>193</v>
      </c>
      <c r="F1692" s="10" t="s">
        <v>1585</v>
      </c>
      <c r="G1692" s="6"/>
      <c r="H1692" s="53">
        <f>H1693</f>
        <v>20081</v>
      </c>
    </row>
    <row r="1693" spans="1:8" s="28" customFormat="1" x14ac:dyDescent="0.25">
      <c r="A1693" s="27">
        <v>10035053127005</v>
      </c>
      <c r="B1693" s="26" t="s">
        <v>946</v>
      </c>
      <c r="C1693" s="12" t="s">
        <v>568</v>
      </c>
      <c r="D1693" s="12">
        <v>10</v>
      </c>
      <c r="E1693" s="12" t="s">
        <v>193</v>
      </c>
      <c r="F1693" s="10" t="s">
        <v>1585</v>
      </c>
      <c r="G1693" s="6" t="s">
        <v>1326</v>
      </c>
      <c r="H1693" s="53">
        <v>20081</v>
      </c>
    </row>
    <row r="1694" spans="1:8" s="28" customFormat="1" x14ac:dyDescent="0.25">
      <c r="A1694" s="27">
        <v>10035053133</v>
      </c>
      <c r="B1694" s="149" t="s">
        <v>1265</v>
      </c>
      <c r="C1694" s="12" t="s">
        <v>568</v>
      </c>
      <c r="D1694" s="12">
        <v>10</v>
      </c>
      <c r="E1694" s="12" t="s">
        <v>193</v>
      </c>
      <c r="F1694" s="10" t="s">
        <v>597</v>
      </c>
      <c r="G1694" s="6"/>
      <c r="H1694" s="53">
        <f>H1695</f>
        <v>493518</v>
      </c>
    </row>
    <row r="1695" spans="1:8" s="28" customFormat="1" x14ac:dyDescent="0.25">
      <c r="A1695" s="27">
        <v>10035053133005</v>
      </c>
      <c r="B1695" s="26" t="s">
        <v>946</v>
      </c>
      <c r="C1695" s="12" t="s">
        <v>568</v>
      </c>
      <c r="D1695" s="12">
        <v>10</v>
      </c>
      <c r="E1695" s="12" t="s">
        <v>193</v>
      </c>
      <c r="F1695" s="10" t="s">
        <v>597</v>
      </c>
      <c r="G1695" s="6" t="s">
        <v>1326</v>
      </c>
      <c r="H1695" s="230">
        <f>409109+84409</f>
        <v>493518</v>
      </c>
    </row>
    <row r="1696" spans="1:8" s="28" customFormat="1" x14ac:dyDescent="0.25">
      <c r="A1696" s="27">
        <v>10035053134</v>
      </c>
      <c r="B1696" s="149" t="s">
        <v>93</v>
      </c>
      <c r="C1696" s="12" t="s">
        <v>568</v>
      </c>
      <c r="D1696" s="12">
        <v>10</v>
      </c>
      <c r="E1696" s="12" t="s">
        <v>193</v>
      </c>
      <c r="F1696" s="10" t="s">
        <v>598</v>
      </c>
      <c r="G1696" s="6"/>
      <c r="H1696" s="53">
        <f>H1697</f>
        <v>546495</v>
      </c>
    </row>
    <row r="1697" spans="1:8" s="28" customFormat="1" x14ac:dyDescent="0.25">
      <c r="A1697" s="27">
        <v>10035053134005</v>
      </c>
      <c r="B1697" s="26" t="s">
        <v>946</v>
      </c>
      <c r="C1697" s="12" t="s">
        <v>568</v>
      </c>
      <c r="D1697" s="12">
        <v>10</v>
      </c>
      <c r="E1697" s="12" t="s">
        <v>193</v>
      </c>
      <c r="F1697" s="10" t="s">
        <v>598</v>
      </c>
      <c r="G1697" s="6" t="s">
        <v>1326</v>
      </c>
      <c r="H1697" s="53">
        <v>546495</v>
      </c>
    </row>
    <row r="1698" spans="1:8" s="28" customFormat="1" x14ac:dyDescent="0.25">
      <c r="A1698" s="27">
        <v>100350533</v>
      </c>
      <c r="B1698" s="26" t="s">
        <v>1323</v>
      </c>
      <c r="C1698" s="12" t="s">
        <v>568</v>
      </c>
      <c r="D1698" s="12">
        <v>10</v>
      </c>
      <c r="E1698" s="12" t="s">
        <v>193</v>
      </c>
      <c r="F1698" s="10" t="s">
        <v>1339</v>
      </c>
      <c r="G1698" s="10"/>
      <c r="H1698" s="53">
        <f>H1699+H1701+H1703+H1705+H1707</f>
        <v>1970048</v>
      </c>
    </row>
    <row r="1699" spans="1:8" s="28" customFormat="1" ht="31.5" x14ac:dyDescent="0.25">
      <c r="A1699" s="27">
        <v>10035053311</v>
      </c>
      <c r="B1699" s="26" t="s">
        <v>563</v>
      </c>
      <c r="C1699" s="12" t="s">
        <v>568</v>
      </c>
      <c r="D1699" s="12">
        <v>10</v>
      </c>
      <c r="E1699" s="12" t="s">
        <v>193</v>
      </c>
      <c r="F1699" s="10" t="s">
        <v>781</v>
      </c>
      <c r="G1699" s="6"/>
      <c r="H1699" s="53">
        <f>H1700</f>
        <v>215998</v>
      </c>
    </row>
    <row r="1700" spans="1:8" s="28" customFormat="1" x14ac:dyDescent="0.25">
      <c r="A1700" s="27">
        <v>10035053311005</v>
      </c>
      <c r="B1700" s="26" t="s">
        <v>946</v>
      </c>
      <c r="C1700" s="12" t="s">
        <v>568</v>
      </c>
      <c r="D1700" s="12">
        <v>10</v>
      </c>
      <c r="E1700" s="12" t="s">
        <v>193</v>
      </c>
      <c r="F1700" s="10" t="s">
        <v>781</v>
      </c>
      <c r="G1700" s="6" t="s">
        <v>1326</v>
      </c>
      <c r="H1700" s="53">
        <v>215998</v>
      </c>
    </row>
    <row r="1701" spans="1:8" s="28" customFormat="1" ht="31.5" x14ac:dyDescent="0.25">
      <c r="A1701" s="27">
        <v>10035053312</v>
      </c>
      <c r="B1701" s="26" t="s">
        <v>1348</v>
      </c>
      <c r="C1701" s="12" t="s">
        <v>568</v>
      </c>
      <c r="D1701" s="12">
        <v>10</v>
      </c>
      <c r="E1701" s="12" t="s">
        <v>193</v>
      </c>
      <c r="F1701" s="10" t="s">
        <v>273</v>
      </c>
      <c r="G1701" s="6"/>
      <c r="H1701" s="53">
        <f>H1702</f>
        <v>50188</v>
      </c>
    </row>
    <row r="1702" spans="1:8" s="28" customFormat="1" x14ac:dyDescent="0.25">
      <c r="A1702" s="27">
        <v>10035053312005</v>
      </c>
      <c r="B1702" s="26" t="s">
        <v>946</v>
      </c>
      <c r="C1702" s="12" t="s">
        <v>568</v>
      </c>
      <c r="D1702" s="12">
        <v>10</v>
      </c>
      <c r="E1702" s="12" t="s">
        <v>193</v>
      </c>
      <c r="F1702" s="10" t="s">
        <v>273</v>
      </c>
      <c r="G1702" s="6" t="s">
        <v>1326</v>
      </c>
      <c r="H1702" s="53">
        <v>50188</v>
      </c>
    </row>
    <row r="1703" spans="1:8" s="28" customFormat="1" ht="63" x14ac:dyDescent="0.25">
      <c r="A1703" s="27">
        <v>10035053313</v>
      </c>
      <c r="B1703" s="26" t="s">
        <v>1094</v>
      </c>
      <c r="C1703" s="12" t="s">
        <v>568</v>
      </c>
      <c r="D1703" s="12">
        <v>10</v>
      </c>
      <c r="E1703" s="12" t="s">
        <v>193</v>
      </c>
      <c r="F1703" s="10" t="s">
        <v>1349</v>
      </c>
      <c r="G1703" s="6"/>
      <c r="H1703" s="53">
        <f>H1704</f>
        <v>847924</v>
      </c>
    </row>
    <row r="1704" spans="1:8" s="28" customFormat="1" x14ac:dyDescent="0.25">
      <c r="A1704" s="27">
        <v>10035053313005</v>
      </c>
      <c r="B1704" s="26" t="s">
        <v>946</v>
      </c>
      <c r="C1704" s="12" t="s">
        <v>568</v>
      </c>
      <c r="D1704" s="12">
        <v>10</v>
      </c>
      <c r="E1704" s="12" t="s">
        <v>193</v>
      </c>
      <c r="F1704" s="10" t="s">
        <v>1349</v>
      </c>
      <c r="G1704" s="6" t="s">
        <v>1326</v>
      </c>
      <c r="H1704" s="53">
        <v>847924</v>
      </c>
    </row>
    <row r="1705" spans="1:8" s="28" customFormat="1" ht="31.5" x14ac:dyDescent="0.25">
      <c r="A1705" s="27">
        <v>10035053314</v>
      </c>
      <c r="B1705" s="26" t="s">
        <v>798</v>
      </c>
      <c r="C1705" s="12" t="s">
        <v>568</v>
      </c>
      <c r="D1705" s="12">
        <v>10</v>
      </c>
      <c r="E1705" s="12" t="s">
        <v>193</v>
      </c>
      <c r="F1705" s="10" t="s">
        <v>90</v>
      </c>
      <c r="G1705" s="6"/>
      <c r="H1705" s="53">
        <f>H1706</f>
        <v>55938</v>
      </c>
    </row>
    <row r="1706" spans="1:8" s="28" customFormat="1" x14ac:dyDescent="0.25">
      <c r="A1706" s="27">
        <v>10035053314005</v>
      </c>
      <c r="B1706" s="26" t="s">
        <v>946</v>
      </c>
      <c r="C1706" s="12" t="s">
        <v>568</v>
      </c>
      <c r="D1706" s="12">
        <v>10</v>
      </c>
      <c r="E1706" s="12" t="s">
        <v>193</v>
      </c>
      <c r="F1706" s="10" t="s">
        <v>90</v>
      </c>
      <c r="G1706" s="6" t="s">
        <v>1326</v>
      </c>
      <c r="H1706" s="53">
        <v>55938</v>
      </c>
    </row>
    <row r="1707" spans="1:8" s="28" customFormat="1" ht="47.25" x14ac:dyDescent="0.25">
      <c r="A1707" s="27">
        <v>10035053322</v>
      </c>
      <c r="B1707" s="26" t="s">
        <v>258</v>
      </c>
      <c r="C1707" s="12" t="s">
        <v>568</v>
      </c>
      <c r="D1707" s="12">
        <v>10</v>
      </c>
      <c r="E1707" s="12" t="s">
        <v>193</v>
      </c>
      <c r="F1707" s="10" t="s">
        <v>105</v>
      </c>
      <c r="G1707" s="6"/>
      <c r="H1707" s="53">
        <f>H1708</f>
        <v>800000</v>
      </c>
    </row>
    <row r="1708" spans="1:8" s="28" customFormat="1" x14ac:dyDescent="0.25">
      <c r="A1708" s="27">
        <v>10035053322005</v>
      </c>
      <c r="B1708" s="26" t="s">
        <v>946</v>
      </c>
      <c r="C1708" s="12" t="s">
        <v>568</v>
      </c>
      <c r="D1708" s="12">
        <v>10</v>
      </c>
      <c r="E1708" s="12" t="s">
        <v>193</v>
      </c>
      <c r="F1708" s="10" t="s">
        <v>105</v>
      </c>
      <c r="G1708" s="6" t="s">
        <v>1326</v>
      </c>
      <c r="H1708" s="53">
        <v>800000</v>
      </c>
    </row>
    <row r="1709" spans="1:8" s="28" customFormat="1" ht="47.25" x14ac:dyDescent="0.25">
      <c r="A1709" s="27">
        <v>100350544</v>
      </c>
      <c r="B1709" s="149" t="s">
        <v>634</v>
      </c>
      <c r="C1709" s="12" t="s">
        <v>568</v>
      </c>
      <c r="D1709" s="12">
        <v>10</v>
      </c>
      <c r="E1709" s="12" t="s">
        <v>193</v>
      </c>
      <c r="F1709" s="10" t="s">
        <v>131</v>
      </c>
      <c r="G1709" s="6"/>
      <c r="H1709" s="53">
        <f>H1710</f>
        <v>372</v>
      </c>
    </row>
    <row r="1710" spans="1:8" s="28" customFormat="1" x14ac:dyDescent="0.25">
      <c r="A1710" s="27">
        <v>100350544009</v>
      </c>
      <c r="B1710" s="26" t="s">
        <v>1565</v>
      </c>
      <c r="C1710" s="12" t="s">
        <v>568</v>
      </c>
      <c r="D1710" s="12">
        <v>10</v>
      </c>
      <c r="E1710" s="12" t="s">
        <v>193</v>
      </c>
      <c r="F1710" s="10" t="s">
        <v>131</v>
      </c>
      <c r="G1710" s="6" t="s">
        <v>569</v>
      </c>
      <c r="H1710" s="53">
        <v>372</v>
      </c>
    </row>
    <row r="1711" spans="1:8" s="28" customFormat="1" ht="47.25" x14ac:dyDescent="0.25">
      <c r="A1711" s="27">
        <v>100350545</v>
      </c>
      <c r="B1711" s="149" t="s">
        <v>1164</v>
      </c>
      <c r="C1711" s="12" t="s">
        <v>568</v>
      </c>
      <c r="D1711" s="12">
        <v>10</v>
      </c>
      <c r="E1711" s="12" t="s">
        <v>193</v>
      </c>
      <c r="F1711" s="10" t="s">
        <v>599</v>
      </c>
      <c r="G1711" s="6"/>
      <c r="H1711" s="53">
        <f>H1712</f>
        <v>6783</v>
      </c>
    </row>
    <row r="1712" spans="1:8" s="28" customFormat="1" x14ac:dyDescent="0.25">
      <c r="A1712" s="27">
        <v>100350545009</v>
      </c>
      <c r="B1712" s="26" t="s">
        <v>1565</v>
      </c>
      <c r="C1712" s="12" t="s">
        <v>568</v>
      </c>
      <c r="D1712" s="12">
        <v>10</v>
      </c>
      <c r="E1712" s="12" t="s">
        <v>193</v>
      </c>
      <c r="F1712" s="10" t="s">
        <v>599</v>
      </c>
      <c r="G1712" s="6" t="s">
        <v>569</v>
      </c>
      <c r="H1712" s="53">
        <v>6783</v>
      </c>
    </row>
    <row r="1713" spans="1:8" s="28" customFormat="1" ht="31.5" x14ac:dyDescent="0.25">
      <c r="A1713" s="27">
        <v>100350546</v>
      </c>
      <c r="B1713" s="26" t="s">
        <v>1669</v>
      </c>
      <c r="C1713" s="12" t="s">
        <v>568</v>
      </c>
      <c r="D1713" s="12">
        <v>10</v>
      </c>
      <c r="E1713" s="12" t="s">
        <v>193</v>
      </c>
      <c r="F1713" s="10" t="s">
        <v>799</v>
      </c>
      <c r="G1713" s="6"/>
      <c r="H1713" s="53">
        <f>H1714</f>
        <v>5352624</v>
      </c>
    </row>
    <row r="1714" spans="1:8" s="28" customFormat="1" x14ac:dyDescent="0.25">
      <c r="A1714" s="27">
        <v>100350546005</v>
      </c>
      <c r="B1714" s="26" t="s">
        <v>946</v>
      </c>
      <c r="C1714" s="12" t="s">
        <v>568</v>
      </c>
      <c r="D1714" s="12">
        <v>10</v>
      </c>
      <c r="E1714" s="12" t="s">
        <v>193</v>
      </c>
      <c r="F1714" s="10" t="s">
        <v>799</v>
      </c>
      <c r="G1714" s="6" t="s">
        <v>1326</v>
      </c>
      <c r="H1714" s="53">
        <v>5352624</v>
      </c>
    </row>
    <row r="1715" spans="1:8" s="28" customFormat="1" ht="33.75" customHeight="1" x14ac:dyDescent="0.25">
      <c r="A1715" s="27">
        <v>100350547</v>
      </c>
      <c r="B1715" s="26" t="s">
        <v>1432</v>
      </c>
      <c r="C1715" s="12" t="s">
        <v>568</v>
      </c>
      <c r="D1715" s="12">
        <v>10</v>
      </c>
      <c r="E1715" s="12" t="s">
        <v>193</v>
      </c>
      <c r="F1715" s="10" t="s">
        <v>788</v>
      </c>
      <c r="G1715" s="6"/>
      <c r="H1715" s="230">
        <f>H1716+H1718+H1720+H1722+H1724+H1726+H1728+H1730+H1732</f>
        <v>240026</v>
      </c>
    </row>
    <row r="1716" spans="1:8" s="28" customFormat="1" ht="47.25" x14ac:dyDescent="0.25">
      <c r="A1716" s="27">
        <v>10035054710</v>
      </c>
      <c r="B1716" s="26" t="s">
        <v>436</v>
      </c>
      <c r="C1716" s="12" t="s">
        <v>568</v>
      </c>
      <c r="D1716" s="12">
        <v>10</v>
      </c>
      <c r="E1716" s="12" t="s">
        <v>193</v>
      </c>
      <c r="F1716" s="10" t="s">
        <v>789</v>
      </c>
      <c r="G1716" s="6"/>
      <c r="H1716" s="53">
        <f>H1717</f>
        <v>157456</v>
      </c>
    </row>
    <row r="1717" spans="1:8" s="28" customFormat="1" x14ac:dyDescent="0.25">
      <c r="A1717" s="27">
        <v>10035054710005</v>
      </c>
      <c r="B1717" s="26" t="s">
        <v>946</v>
      </c>
      <c r="C1717" s="12" t="s">
        <v>568</v>
      </c>
      <c r="D1717" s="12">
        <v>10</v>
      </c>
      <c r="E1717" s="12" t="s">
        <v>193</v>
      </c>
      <c r="F1717" s="10" t="s">
        <v>789</v>
      </c>
      <c r="G1717" s="6" t="s">
        <v>1326</v>
      </c>
      <c r="H1717" s="53">
        <v>157456</v>
      </c>
    </row>
    <row r="1718" spans="1:8" s="28" customFormat="1" ht="48" customHeight="1" x14ac:dyDescent="0.25">
      <c r="A1718" s="27">
        <v>10035054720</v>
      </c>
      <c r="B1718" s="26" t="s">
        <v>1651</v>
      </c>
      <c r="C1718" s="12" t="s">
        <v>568</v>
      </c>
      <c r="D1718" s="12">
        <v>10</v>
      </c>
      <c r="E1718" s="12" t="s">
        <v>193</v>
      </c>
      <c r="F1718" s="10" t="s">
        <v>259</v>
      </c>
      <c r="G1718" s="6"/>
      <c r="H1718" s="53">
        <f>H1719</f>
        <v>6436</v>
      </c>
    </row>
    <row r="1719" spans="1:8" s="28" customFormat="1" x14ac:dyDescent="0.25">
      <c r="A1719" s="27">
        <v>10035054720005</v>
      </c>
      <c r="B1719" s="26" t="s">
        <v>946</v>
      </c>
      <c r="C1719" s="12" t="s">
        <v>568</v>
      </c>
      <c r="D1719" s="12">
        <v>10</v>
      </c>
      <c r="E1719" s="12" t="s">
        <v>193</v>
      </c>
      <c r="F1719" s="10" t="s">
        <v>259</v>
      </c>
      <c r="G1719" s="6" t="s">
        <v>1326</v>
      </c>
      <c r="H1719" s="53">
        <v>6436</v>
      </c>
    </row>
    <row r="1720" spans="1:8" s="147" customFormat="1" ht="72.75" customHeight="1" x14ac:dyDescent="0.25">
      <c r="A1720" s="188">
        <v>10035054721</v>
      </c>
      <c r="B1720" s="148" t="s">
        <v>23</v>
      </c>
      <c r="C1720" s="25" t="s">
        <v>568</v>
      </c>
      <c r="D1720" s="25">
        <v>10</v>
      </c>
      <c r="E1720" s="25" t="s">
        <v>193</v>
      </c>
      <c r="F1720" s="11" t="s">
        <v>1652</v>
      </c>
      <c r="G1720" s="24"/>
      <c r="H1720" s="53">
        <f>H1721</f>
        <v>7874</v>
      </c>
    </row>
    <row r="1721" spans="1:8" s="147" customFormat="1" x14ac:dyDescent="0.25">
      <c r="A1721" s="188">
        <v>10035054721005</v>
      </c>
      <c r="B1721" s="38" t="s">
        <v>946</v>
      </c>
      <c r="C1721" s="25" t="s">
        <v>568</v>
      </c>
      <c r="D1721" s="25">
        <v>10</v>
      </c>
      <c r="E1721" s="25" t="s">
        <v>193</v>
      </c>
      <c r="F1721" s="11" t="s">
        <v>1652</v>
      </c>
      <c r="G1721" s="24" t="s">
        <v>1326</v>
      </c>
      <c r="H1721" s="53">
        <v>7874</v>
      </c>
    </row>
    <row r="1722" spans="1:8" s="147" customFormat="1" ht="63" x14ac:dyDescent="0.25">
      <c r="A1722" s="188">
        <v>10035054722</v>
      </c>
      <c r="B1722" s="148" t="s">
        <v>1320</v>
      </c>
      <c r="C1722" s="25" t="s">
        <v>568</v>
      </c>
      <c r="D1722" s="25">
        <v>10</v>
      </c>
      <c r="E1722" s="25" t="s">
        <v>193</v>
      </c>
      <c r="F1722" s="11" t="s">
        <v>24</v>
      </c>
      <c r="G1722" s="24"/>
      <c r="H1722" s="53">
        <f>H1723</f>
        <v>2901</v>
      </c>
    </row>
    <row r="1723" spans="1:8" s="147" customFormat="1" x14ac:dyDescent="0.25">
      <c r="A1723" s="188">
        <v>10035054722005</v>
      </c>
      <c r="B1723" s="38" t="s">
        <v>946</v>
      </c>
      <c r="C1723" s="25" t="s">
        <v>568</v>
      </c>
      <c r="D1723" s="25">
        <v>10</v>
      </c>
      <c r="E1723" s="25" t="s">
        <v>193</v>
      </c>
      <c r="F1723" s="11" t="s">
        <v>24</v>
      </c>
      <c r="G1723" s="24" t="s">
        <v>1326</v>
      </c>
      <c r="H1723" s="53">
        <v>2901</v>
      </c>
    </row>
    <row r="1724" spans="1:8" s="28" customFormat="1" ht="51.75" customHeight="1" x14ac:dyDescent="0.25">
      <c r="A1724" s="27">
        <v>10035054725</v>
      </c>
      <c r="B1724" s="26" t="s">
        <v>32</v>
      </c>
      <c r="C1724" s="12" t="s">
        <v>568</v>
      </c>
      <c r="D1724" s="12">
        <v>10</v>
      </c>
      <c r="E1724" s="12" t="s">
        <v>193</v>
      </c>
      <c r="F1724" s="10" t="s">
        <v>1355</v>
      </c>
      <c r="G1724" s="6"/>
      <c r="H1724" s="53">
        <f>H1725</f>
        <v>3059</v>
      </c>
    </row>
    <row r="1725" spans="1:8" s="28" customFormat="1" x14ac:dyDescent="0.25">
      <c r="A1725" s="27">
        <v>10035054725005</v>
      </c>
      <c r="B1725" s="26" t="s">
        <v>946</v>
      </c>
      <c r="C1725" s="12" t="s">
        <v>568</v>
      </c>
      <c r="D1725" s="12">
        <v>10</v>
      </c>
      <c r="E1725" s="12" t="s">
        <v>193</v>
      </c>
      <c r="F1725" s="10" t="s">
        <v>1355</v>
      </c>
      <c r="G1725" s="6" t="s">
        <v>1326</v>
      </c>
      <c r="H1725" s="53">
        <v>3059</v>
      </c>
    </row>
    <row r="1726" spans="1:8" s="28" customFormat="1" ht="31.5" x14ac:dyDescent="0.25">
      <c r="A1726" s="27">
        <v>10035054730</v>
      </c>
      <c r="B1726" s="149" t="s">
        <v>1711</v>
      </c>
      <c r="C1726" s="12" t="s">
        <v>568</v>
      </c>
      <c r="D1726" s="12">
        <v>10</v>
      </c>
      <c r="E1726" s="12" t="s">
        <v>193</v>
      </c>
      <c r="F1726" s="10" t="s">
        <v>600</v>
      </c>
      <c r="G1726" s="6"/>
      <c r="H1726" s="53">
        <f>H1727</f>
        <v>2056</v>
      </c>
    </row>
    <row r="1727" spans="1:8" s="28" customFormat="1" x14ac:dyDescent="0.25">
      <c r="A1727" s="27">
        <v>10035054730005</v>
      </c>
      <c r="B1727" s="26" t="s">
        <v>946</v>
      </c>
      <c r="C1727" s="12" t="s">
        <v>568</v>
      </c>
      <c r="D1727" s="12">
        <v>10</v>
      </c>
      <c r="E1727" s="12" t="s">
        <v>193</v>
      </c>
      <c r="F1727" s="10" t="s">
        <v>600</v>
      </c>
      <c r="G1727" s="6" t="s">
        <v>1326</v>
      </c>
      <c r="H1727" s="53">
        <v>2056</v>
      </c>
    </row>
    <row r="1728" spans="1:8" s="28" customFormat="1" ht="31.5" x14ac:dyDescent="0.25">
      <c r="A1728" s="27">
        <v>10035054731</v>
      </c>
      <c r="B1728" s="149" t="s">
        <v>1712</v>
      </c>
      <c r="C1728" s="12" t="s">
        <v>568</v>
      </c>
      <c r="D1728" s="12">
        <v>10</v>
      </c>
      <c r="E1728" s="12" t="s">
        <v>193</v>
      </c>
      <c r="F1728" s="10" t="s">
        <v>601</v>
      </c>
      <c r="G1728" s="6"/>
      <c r="H1728" s="53">
        <f>H1729</f>
        <v>1562</v>
      </c>
    </row>
    <row r="1729" spans="1:8" s="28" customFormat="1" x14ac:dyDescent="0.25">
      <c r="A1729" s="27">
        <v>10035054731005</v>
      </c>
      <c r="B1729" s="26" t="s">
        <v>946</v>
      </c>
      <c r="C1729" s="12" t="s">
        <v>568</v>
      </c>
      <c r="D1729" s="12">
        <v>10</v>
      </c>
      <c r="E1729" s="12" t="s">
        <v>193</v>
      </c>
      <c r="F1729" s="10" t="s">
        <v>601</v>
      </c>
      <c r="G1729" s="6" t="s">
        <v>1326</v>
      </c>
      <c r="H1729" s="53">
        <v>1562</v>
      </c>
    </row>
    <row r="1730" spans="1:8" s="28" customFormat="1" ht="47.25" x14ac:dyDescent="0.25">
      <c r="A1730" s="27">
        <v>10035054732</v>
      </c>
      <c r="B1730" s="149" t="s">
        <v>493</v>
      </c>
      <c r="C1730" s="12" t="s">
        <v>568</v>
      </c>
      <c r="D1730" s="12">
        <v>10</v>
      </c>
      <c r="E1730" s="12" t="s">
        <v>193</v>
      </c>
      <c r="F1730" s="10" t="s">
        <v>382</v>
      </c>
      <c r="G1730" s="6"/>
      <c r="H1730" s="53">
        <f>H1731</f>
        <v>6182</v>
      </c>
    </row>
    <row r="1731" spans="1:8" s="28" customFormat="1" x14ac:dyDescent="0.25">
      <c r="A1731" s="27">
        <v>10035054732005</v>
      </c>
      <c r="B1731" s="26" t="s">
        <v>946</v>
      </c>
      <c r="C1731" s="12" t="s">
        <v>568</v>
      </c>
      <c r="D1731" s="12">
        <v>10</v>
      </c>
      <c r="E1731" s="12" t="s">
        <v>193</v>
      </c>
      <c r="F1731" s="10" t="s">
        <v>382</v>
      </c>
      <c r="G1731" s="6" t="s">
        <v>1326</v>
      </c>
      <c r="H1731" s="53">
        <v>6182</v>
      </c>
    </row>
    <row r="1732" spans="1:8" s="28" customFormat="1" ht="19.5" customHeight="1" x14ac:dyDescent="0.25">
      <c r="A1732" s="27">
        <v>10035054733</v>
      </c>
      <c r="B1732" s="149" t="s">
        <v>486</v>
      </c>
      <c r="C1732" s="231" t="s">
        <v>568</v>
      </c>
      <c r="D1732" s="231">
        <v>10</v>
      </c>
      <c r="E1732" s="231" t="s">
        <v>193</v>
      </c>
      <c r="F1732" s="232" t="s">
        <v>1737</v>
      </c>
      <c r="G1732" s="75"/>
      <c r="H1732" s="230">
        <f>H1733</f>
        <v>52500</v>
      </c>
    </row>
    <row r="1733" spans="1:8" s="28" customFormat="1" x14ac:dyDescent="0.25">
      <c r="A1733" s="27">
        <v>10035054733005</v>
      </c>
      <c r="B1733" s="26" t="s">
        <v>946</v>
      </c>
      <c r="C1733" s="231" t="s">
        <v>568</v>
      </c>
      <c r="D1733" s="231">
        <v>10</v>
      </c>
      <c r="E1733" s="231" t="s">
        <v>193</v>
      </c>
      <c r="F1733" s="232" t="s">
        <v>1737</v>
      </c>
      <c r="G1733" s="75" t="s">
        <v>1326</v>
      </c>
      <c r="H1733" s="230">
        <v>52500</v>
      </c>
    </row>
    <row r="1734" spans="1:8" s="28" customFormat="1" x14ac:dyDescent="0.25">
      <c r="A1734" s="27">
        <v>100350585</v>
      </c>
      <c r="B1734" s="26" t="s">
        <v>1396</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5" x14ac:dyDescent="0.25">
      <c r="A1735" s="27">
        <v>10035058535</v>
      </c>
      <c r="B1735" s="149" t="s">
        <v>874</v>
      </c>
      <c r="C1735" s="12" t="s">
        <v>568</v>
      </c>
      <c r="D1735" s="12">
        <v>10</v>
      </c>
      <c r="E1735" s="12" t="s">
        <v>193</v>
      </c>
      <c r="F1735" s="10" t="s">
        <v>384</v>
      </c>
      <c r="G1735" s="6"/>
      <c r="H1735" s="53">
        <f>H1736</f>
        <v>1501</v>
      </c>
    </row>
    <row r="1736" spans="1:8" s="28" customFormat="1" x14ac:dyDescent="0.25">
      <c r="A1736" s="27">
        <v>10035058535005</v>
      </c>
      <c r="B1736" s="26" t="s">
        <v>946</v>
      </c>
      <c r="C1736" s="12" t="s">
        <v>568</v>
      </c>
      <c r="D1736" s="12">
        <v>10</v>
      </c>
      <c r="E1736" s="12" t="s">
        <v>193</v>
      </c>
      <c r="F1736" s="10" t="s">
        <v>384</v>
      </c>
      <c r="G1736" s="6" t="s">
        <v>1326</v>
      </c>
      <c r="H1736" s="53">
        <v>1501</v>
      </c>
    </row>
    <row r="1737" spans="1:8" s="28" customFormat="1" x14ac:dyDescent="0.25">
      <c r="A1737" s="27">
        <v>10035058536</v>
      </c>
      <c r="B1737" s="149" t="s">
        <v>427</v>
      </c>
      <c r="C1737" s="12" t="s">
        <v>568</v>
      </c>
      <c r="D1737" s="12">
        <v>10</v>
      </c>
      <c r="E1737" s="12" t="s">
        <v>193</v>
      </c>
      <c r="F1737" s="10" t="s">
        <v>385</v>
      </c>
      <c r="G1737" s="6"/>
      <c r="H1737" s="53">
        <f>H1738</f>
        <v>4520593</v>
      </c>
    </row>
    <row r="1738" spans="1:8" s="28" customFormat="1" x14ac:dyDescent="0.25">
      <c r="A1738" s="27">
        <v>10035058536005</v>
      </c>
      <c r="B1738" s="26" t="s">
        <v>946</v>
      </c>
      <c r="C1738" s="12" t="s">
        <v>568</v>
      </c>
      <c r="D1738" s="12">
        <v>10</v>
      </c>
      <c r="E1738" s="12" t="s">
        <v>193</v>
      </c>
      <c r="F1738" s="10" t="s">
        <v>385</v>
      </c>
      <c r="G1738" s="6" t="s">
        <v>1326</v>
      </c>
      <c r="H1738" s="53">
        <v>4520593</v>
      </c>
    </row>
    <row r="1739" spans="1:8" s="28" customFormat="1" ht="31.5" x14ac:dyDescent="0.25">
      <c r="A1739" s="27">
        <v>10035058537</v>
      </c>
      <c r="B1739" s="149" t="s">
        <v>602</v>
      </c>
      <c r="C1739" s="12" t="s">
        <v>568</v>
      </c>
      <c r="D1739" s="12">
        <v>10</v>
      </c>
      <c r="E1739" s="12" t="s">
        <v>193</v>
      </c>
      <c r="F1739" s="10" t="s">
        <v>396</v>
      </c>
      <c r="G1739" s="6"/>
      <c r="H1739" s="53">
        <f>H1740</f>
        <v>537782</v>
      </c>
    </row>
    <row r="1740" spans="1:8" s="28" customFormat="1" x14ac:dyDescent="0.25">
      <c r="A1740" s="27">
        <v>10035058537005</v>
      </c>
      <c r="B1740" s="26" t="s">
        <v>946</v>
      </c>
      <c r="C1740" s="12" t="s">
        <v>568</v>
      </c>
      <c r="D1740" s="12">
        <v>10</v>
      </c>
      <c r="E1740" s="12" t="s">
        <v>193</v>
      </c>
      <c r="F1740" s="10" t="s">
        <v>396</v>
      </c>
      <c r="G1740" s="6" t="s">
        <v>1326</v>
      </c>
      <c r="H1740" s="53">
        <v>537782</v>
      </c>
    </row>
    <row r="1741" spans="1:8" s="28" customFormat="1" ht="47.25" x14ac:dyDescent="0.25">
      <c r="A1741" s="27">
        <v>10035058538</v>
      </c>
      <c r="B1741" s="149" t="s">
        <v>1175</v>
      </c>
      <c r="C1741" s="12" t="s">
        <v>568</v>
      </c>
      <c r="D1741" s="12">
        <v>10</v>
      </c>
      <c r="E1741" s="12" t="s">
        <v>193</v>
      </c>
      <c r="F1741" s="10" t="s">
        <v>1428</v>
      </c>
      <c r="G1741" s="6"/>
      <c r="H1741" s="53">
        <f>H1742</f>
        <v>1843</v>
      </c>
    </row>
    <row r="1742" spans="1:8" s="28" customFormat="1" x14ac:dyDescent="0.25">
      <c r="A1742" s="27">
        <v>10035058538005</v>
      </c>
      <c r="B1742" s="26" t="s">
        <v>946</v>
      </c>
      <c r="C1742" s="12" t="s">
        <v>568</v>
      </c>
      <c r="D1742" s="12">
        <v>10</v>
      </c>
      <c r="E1742" s="12" t="s">
        <v>193</v>
      </c>
      <c r="F1742" s="10" t="s">
        <v>1428</v>
      </c>
      <c r="G1742" s="6" t="s">
        <v>1326</v>
      </c>
      <c r="H1742" s="53">
        <v>1843</v>
      </c>
    </row>
    <row r="1743" spans="1:8" s="28" customFormat="1" ht="63" x14ac:dyDescent="0.25">
      <c r="A1743" s="27">
        <v>10035058539</v>
      </c>
      <c r="B1743" s="149" t="s">
        <v>1176</v>
      </c>
      <c r="C1743" s="12" t="s">
        <v>568</v>
      </c>
      <c r="D1743" s="12">
        <v>10</v>
      </c>
      <c r="E1743" s="12" t="s">
        <v>193</v>
      </c>
      <c r="F1743" s="10" t="s">
        <v>1429</v>
      </c>
      <c r="G1743" s="6"/>
      <c r="H1743" s="53">
        <f>H1744</f>
        <v>17543</v>
      </c>
    </row>
    <row r="1744" spans="1:8" s="28" customFormat="1" x14ac:dyDescent="0.25">
      <c r="A1744" s="27">
        <v>10035058539005</v>
      </c>
      <c r="B1744" s="26" t="s">
        <v>946</v>
      </c>
      <c r="C1744" s="12" t="s">
        <v>568</v>
      </c>
      <c r="D1744" s="12">
        <v>10</v>
      </c>
      <c r="E1744" s="12" t="s">
        <v>193</v>
      </c>
      <c r="F1744" s="10" t="s">
        <v>1429</v>
      </c>
      <c r="G1744" s="6" t="s">
        <v>1326</v>
      </c>
      <c r="H1744" s="53">
        <v>17543</v>
      </c>
    </row>
    <row r="1745" spans="1:8" s="28" customFormat="1" ht="31.5" x14ac:dyDescent="0.25">
      <c r="A1745" s="27">
        <v>10035058540</v>
      </c>
      <c r="B1745" s="149" t="s">
        <v>1497</v>
      </c>
      <c r="C1745" s="12" t="s">
        <v>568</v>
      </c>
      <c r="D1745" s="12">
        <v>10</v>
      </c>
      <c r="E1745" s="12" t="s">
        <v>193</v>
      </c>
      <c r="F1745" s="10" t="s">
        <v>583</v>
      </c>
      <c r="G1745" s="6"/>
      <c r="H1745" s="53">
        <f>H1746</f>
        <v>59223</v>
      </c>
    </row>
    <row r="1746" spans="1:8" s="28" customFormat="1" x14ac:dyDescent="0.25">
      <c r="A1746" s="27">
        <v>10035058540005</v>
      </c>
      <c r="B1746" s="26" t="s">
        <v>946</v>
      </c>
      <c r="C1746" s="12" t="s">
        <v>568</v>
      </c>
      <c r="D1746" s="12">
        <v>10</v>
      </c>
      <c r="E1746" s="12" t="s">
        <v>193</v>
      </c>
      <c r="F1746" s="10" t="s">
        <v>583</v>
      </c>
      <c r="G1746" s="6" t="s">
        <v>1326</v>
      </c>
      <c r="H1746" s="53">
        <v>59223</v>
      </c>
    </row>
    <row r="1747" spans="1:8" s="28" customFormat="1" ht="31.5" x14ac:dyDescent="0.25">
      <c r="A1747" s="27">
        <v>10035058541</v>
      </c>
      <c r="B1747" s="149" t="s">
        <v>94</v>
      </c>
      <c r="C1747" s="12" t="s">
        <v>568</v>
      </c>
      <c r="D1747" s="12">
        <v>10</v>
      </c>
      <c r="E1747" s="12" t="s">
        <v>193</v>
      </c>
      <c r="F1747" s="10" t="s">
        <v>584</v>
      </c>
      <c r="G1747" s="6"/>
      <c r="H1747" s="53">
        <f>H1748</f>
        <v>16977</v>
      </c>
    </row>
    <row r="1748" spans="1:8" s="28" customFormat="1" x14ac:dyDescent="0.25">
      <c r="A1748" s="27">
        <v>10035058541005</v>
      </c>
      <c r="B1748" s="26" t="s">
        <v>946</v>
      </c>
      <c r="C1748" s="12" t="s">
        <v>568</v>
      </c>
      <c r="D1748" s="12">
        <v>10</v>
      </c>
      <c r="E1748" s="12" t="s">
        <v>193</v>
      </c>
      <c r="F1748" s="10" t="s">
        <v>584</v>
      </c>
      <c r="G1748" s="6" t="s">
        <v>1326</v>
      </c>
      <c r="H1748" s="53">
        <v>16977</v>
      </c>
    </row>
    <row r="1749" spans="1:8" s="28" customFormat="1" ht="47.25" x14ac:dyDescent="0.25">
      <c r="A1749" s="27">
        <v>10035058542</v>
      </c>
      <c r="B1749" s="149" t="s">
        <v>1296</v>
      </c>
      <c r="C1749" s="12" t="s">
        <v>568</v>
      </c>
      <c r="D1749" s="12">
        <v>10</v>
      </c>
      <c r="E1749" s="12" t="s">
        <v>193</v>
      </c>
      <c r="F1749" s="10" t="s">
        <v>943</v>
      </c>
      <c r="G1749" s="6"/>
      <c r="H1749" s="53">
        <f>H1750</f>
        <v>54943</v>
      </c>
    </row>
    <row r="1750" spans="1:8" s="28" customFormat="1" x14ac:dyDescent="0.25">
      <c r="A1750" s="27">
        <v>10035058542005</v>
      </c>
      <c r="B1750" s="26" t="s">
        <v>946</v>
      </c>
      <c r="C1750" s="12" t="s">
        <v>568</v>
      </c>
      <c r="D1750" s="12">
        <v>10</v>
      </c>
      <c r="E1750" s="12" t="s">
        <v>193</v>
      </c>
      <c r="F1750" s="10" t="s">
        <v>943</v>
      </c>
      <c r="G1750" s="6" t="s">
        <v>1326</v>
      </c>
      <c r="H1750" s="53">
        <v>54943</v>
      </c>
    </row>
    <row r="1751" spans="1:8" s="28" customFormat="1" ht="47.25" x14ac:dyDescent="0.25">
      <c r="A1751" s="27">
        <v>10035058543</v>
      </c>
      <c r="B1751" s="149" t="s">
        <v>1277</v>
      </c>
      <c r="C1751" s="12" t="s">
        <v>568</v>
      </c>
      <c r="D1751" s="12">
        <v>10</v>
      </c>
      <c r="E1751" s="12" t="s">
        <v>193</v>
      </c>
      <c r="F1751" s="10" t="s">
        <v>944</v>
      </c>
      <c r="G1751" s="6"/>
      <c r="H1751" s="53">
        <f>H1752</f>
        <v>2875</v>
      </c>
    </row>
    <row r="1752" spans="1:8" s="28" customFormat="1" x14ac:dyDescent="0.25">
      <c r="A1752" s="27">
        <v>10035058543005</v>
      </c>
      <c r="B1752" s="26" t="s">
        <v>946</v>
      </c>
      <c r="C1752" s="12" t="s">
        <v>568</v>
      </c>
      <c r="D1752" s="12">
        <v>10</v>
      </c>
      <c r="E1752" s="12" t="s">
        <v>193</v>
      </c>
      <c r="F1752" s="10" t="s">
        <v>944</v>
      </c>
      <c r="G1752" s="6" t="s">
        <v>1326</v>
      </c>
      <c r="H1752" s="53">
        <v>2875</v>
      </c>
    </row>
    <row r="1753" spans="1:8" s="28" customFormat="1" x14ac:dyDescent="0.25">
      <c r="A1753" s="27">
        <v>10035058544</v>
      </c>
      <c r="B1753" s="149" t="s">
        <v>820</v>
      </c>
      <c r="C1753" s="12" t="s">
        <v>568</v>
      </c>
      <c r="D1753" s="12">
        <v>10</v>
      </c>
      <c r="E1753" s="12" t="s">
        <v>193</v>
      </c>
      <c r="F1753" s="10" t="s">
        <v>1472</v>
      </c>
      <c r="G1753" s="6"/>
      <c r="H1753" s="53">
        <f>H1754</f>
        <v>597886</v>
      </c>
    </row>
    <row r="1754" spans="1:8" s="28" customFormat="1" x14ac:dyDescent="0.25">
      <c r="A1754" s="27">
        <v>10035058544005</v>
      </c>
      <c r="B1754" s="26" t="s">
        <v>946</v>
      </c>
      <c r="C1754" s="12" t="s">
        <v>568</v>
      </c>
      <c r="D1754" s="12">
        <v>10</v>
      </c>
      <c r="E1754" s="12" t="s">
        <v>193</v>
      </c>
      <c r="F1754" s="10" t="s">
        <v>1472</v>
      </c>
      <c r="G1754" s="6" t="s">
        <v>1326</v>
      </c>
      <c r="H1754" s="230">
        <f>181911+415975</f>
        <v>597886</v>
      </c>
    </row>
    <row r="1755" spans="1:8" s="28" customFormat="1" x14ac:dyDescent="0.25">
      <c r="A1755" s="27">
        <v>10035058545</v>
      </c>
      <c r="B1755" s="149" t="s">
        <v>1583</v>
      </c>
      <c r="C1755" s="12" t="s">
        <v>568</v>
      </c>
      <c r="D1755" s="12">
        <v>10</v>
      </c>
      <c r="E1755" s="12" t="s">
        <v>193</v>
      </c>
      <c r="F1755" s="10" t="s">
        <v>1473</v>
      </c>
      <c r="G1755" s="6"/>
      <c r="H1755" s="53">
        <f>H1756</f>
        <v>190418</v>
      </c>
    </row>
    <row r="1756" spans="1:8" s="28" customFormat="1" x14ac:dyDescent="0.25">
      <c r="A1756" s="27">
        <v>10035058545005</v>
      </c>
      <c r="B1756" s="26" t="s">
        <v>946</v>
      </c>
      <c r="C1756" s="12" t="s">
        <v>568</v>
      </c>
      <c r="D1756" s="12">
        <v>10</v>
      </c>
      <c r="E1756" s="12" t="s">
        <v>193</v>
      </c>
      <c r="F1756" s="10" t="s">
        <v>1473</v>
      </c>
      <c r="G1756" s="6" t="s">
        <v>1326</v>
      </c>
      <c r="H1756" s="53">
        <v>190418</v>
      </c>
    </row>
    <row r="1757" spans="1:8" s="28" customFormat="1" ht="31.5" x14ac:dyDescent="0.25">
      <c r="A1757" s="27">
        <v>10035058546</v>
      </c>
      <c r="B1757" s="149" t="s">
        <v>935</v>
      </c>
      <c r="C1757" s="12" t="s">
        <v>568</v>
      </c>
      <c r="D1757" s="12">
        <v>10</v>
      </c>
      <c r="E1757" s="12" t="s">
        <v>193</v>
      </c>
      <c r="F1757" s="10" t="s">
        <v>1474</v>
      </c>
      <c r="G1757" s="6"/>
      <c r="H1757" s="53">
        <f>H1758</f>
        <v>38698</v>
      </c>
    </row>
    <row r="1758" spans="1:8" s="28" customFormat="1" x14ac:dyDescent="0.25">
      <c r="A1758" s="27">
        <v>10035058546005</v>
      </c>
      <c r="B1758" s="26" t="s">
        <v>946</v>
      </c>
      <c r="C1758" s="12" t="s">
        <v>568</v>
      </c>
      <c r="D1758" s="12">
        <v>10</v>
      </c>
      <c r="E1758" s="12" t="s">
        <v>193</v>
      </c>
      <c r="F1758" s="10" t="s">
        <v>1474</v>
      </c>
      <c r="G1758" s="6" t="s">
        <v>1326</v>
      </c>
      <c r="H1758" s="53">
        <v>38698</v>
      </c>
    </row>
    <row r="1759" spans="1:8" s="28" customFormat="1" ht="31.5" x14ac:dyDescent="0.25">
      <c r="A1759" s="27">
        <v>10035058547</v>
      </c>
      <c r="B1759" s="149" t="s">
        <v>1270</v>
      </c>
      <c r="C1759" s="12" t="s">
        <v>568</v>
      </c>
      <c r="D1759" s="12">
        <v>10</v>
      </c>
      <c r="E1759" s="12" t="s">
        <v>193</v>
      </c>
      <c r="F1759" s="10" t="s">
        <v>1644</v>
      </c>
      <c r="G1759" s="6"/>
      <c r="H1759" s="53">
        <f>H1760</f>
        <v>88140</v>
      </c>
    </row>
    <row r="1760" spans="1:8" s="28" customFormat="1" x14ac:dyDescent="0.25">
      <c r="A1760" s="27">
        <v>10035058547005</v>
      </c>
      <c r="B1760" s="26" t="s">
        <v>946</v>
      </c>
      <c r="C1760" s="12" t="s">
        <v>568</v>
      </c>
      <c r="D1760" s="12">
        <v>10</v>
      </c>
      <c r="E1760" s="12" t="s">
        <v>193</v>
      </c>
      <c r="F1760" s="10" t="s">
        <v>1644</v>
      </c>
      <c r="G1760" s="6" t="s">
        <v>1326</v>
      </c>
      <c r="H1760" s="53">
        <v>88140</v>
      </c>
    </row>
    <row r="1761" spans="1:8" s="28" customFormat="1" ht="31.5" x14ac:dyDescent="0.25">
      <c r="A1761" s="27">
        <v>10035058548</v>
      </c>
      <c r="B1761" s="149" t="s">
        <v>1526</v>
      </c>
      <c r="C1761" s="12" t="s">
        <v>568</v>
      </c>
      <c r="D1761" s="12">
        <v>10</v>
      </c>
      <c r="E1761" s="12" t="s">
        <v>193</v>
      </c>
      <c r="F1761" s="10" t="s">
        <v>1645</v>
      </c>
      <c r="G1761" s="6"/>
      <c r="H1761" s="53">
        <f>H1762</f>
        <v>93865</v>
      </c>
    </row>
    <row r="1762" spans="1:8" s="28" customFormat="1" x14ac:dyDescent="0.25">
      <c r="A1762" s="27">
        <v>10035058548005</v>
      </c>
      <c r="B1762" s="26" t="s">
        <v>946</v>
      </c>
      <c r="C1762" s="12" t="s">
        <v>568</v>
      </c>
      <c r="D1762" s="12">
        <v>10</v>
      </c>
      <c r="E1762" s="12" t="s">
        <v>193</v>
      </c>
      <c r="F1762" s="10" t="s">
        <v>1645</v>
      </c>
      <c r="G1762" s="6" t="s">
        <v>1326</v>
      </c>
      <c r="H1762" s="53">
        <v>93865</v>
      </c>
    </row>
    <row r="1763" spans="1:8" s="28" customFormat="1" ht="47.25" x14ac:dyDescent="0.25">
      <c r="A1763" s="27">
        <v>10035058549</v>
      </c>
      <c r="B1763" s="149" t="s">
        <v>310</v>
      </c>
      <c r="C1763" s="12" t="s">
        <v>568</v>
      </c>
      <c r="D1763" s="12">
        <v>10</v>
      </c>
      <c r="E1763" s="12" t="s">
        <v>193</v>
      </c>
      <c r="F1763" s="10" t="s">
        <v>1646</v>
      </c>
      <c r="G1763" s="6"/>
      <c r="H1763" s="53">
        <f>H1764</f>
        <v>313000</v>
      </c>
    </row>
    <row r="1764" spans="1:8" s="28" customFormat="1" x14ac:dyDescent="0.25">
      <c r="A1764" s="27">
        <v>10035058549005</v>
      </c>
      <c r="B1764" s="26" t="s">
        <v>946</v>
      </c>
      <c r="C1764" s="12" t="s">
        <v>568</v>
      </c>
      <c r="D1764" s="12">
        <v>10</v>
      </c>
      <c r="E1764" s="12" t="s">
        <v>193</v>
      </c>
      <c r="F1764" s="10" t="s">
        <v>1646</v>
      </c>
      <c r="G1764" s="6" t="s">
        <v>1326</v>
      </c>
      <c r="H1764" s="53">
        <v>313000</v>
      </c>
    </row>
    <row r="1765" spans="1:8" s="28" customFormat="1" ht="31.5" x14ac:dyDescent="0.25">
      <c r="A1765" s="27">
        <v>10035058550</v>
      </c>
      <c r="B1765" s="149" t="s">
        <v>677</v>
      </c>
      <c r="C1765" s="12" t="s">
        <v>568</v>
      </c>
      <c r="D1765" s="12">
        <v>10</v>
      </c>
      <c r="E1765" s="12" t="s">
        <v>193</v>
      </c>
      <c r="F1765" s="10" t="s">
        <v>1647</v>
      </c>
      <c r="G1765" s="6"/>
      <c r="H1765" s="53">
        <f>H1766</f>
        <v>30707</v>
      </c>
    </row>
    <row r="1766" spans="1:8" s="28" customFormat="1" x14ac:dyDescent="0.25">
      <c r="A1766" s="27">
        <v>10035058550005</v>
      </c>
      <c r="B1766" s="26" t="s">
        <v>946</v>
      </c>
      <c r="C1766" s="12" t="s">
        <v>568</v>
      </c>
      <c r="D1766" s="12">
        <v>10</v>
      </c>
      <c r="E1766" s="12" t="s">
        <v>193</v>
      </c>
      <c r="F1766" s="10" t="s">
        <v>1647</v>
      </c>
      <c r="G1766" s="6" t="s">
        <v>1326</v>
      </c>
      <c r="H1766" s="53">
        <v>30707</v>
      </c>
    </row>
    <row r="1767" spans="1:8" s="28" customFormat="1" x14ac:dyDescent="0.25">
      <c r="A1767" s="27">
        <v>10035058551</v>
      </c>
      <c r="B1767" s="149" t="s">
        <v>520</v>
      </c>
      <c r="C1767" s="12" t="s">
        <v>568</v>
      </c>
      <c r="D1767" s="12">
        <v>10</v>
      </c>
      <c r="E1767" s="12" t="s">
        <v>193</v>
      </c>
      <c r="F1767" s="10" t="s">
        <v>1648</v>
      </c>
      <c r="G1767" s="6"/>
      <c r="H1767" s="53">
        <f>H1768</f>
        <v>29888</v>
      </c>
    </row>
    <row r="1768" spans="1:8" s="28" customFormat="1" x14ac:dyDescent="0.25">
      <c r="A1768" s="27">
        <v>10035058551005</v>
      </c>
      <c r="B1768" s="26" t="s">
        <v>946</v>
      </c>
      <c r="C1768" s="12" t="s">
        <v>568</v>
      </c>
      <c r="D1768" s="12">
        <v>10</v>
      </c>
      <c r="E1768" s="12" t="s">
        <v>193</v>
      </c>
      <c r="F1768" s="10" t="s">
        <v>1648</v>
      </c>
      <c r="G1768" s="6" t="s">
        <v>1326</v>
      </c>
      <c r="H1768" s="53">
        <v>29888</v>
      </c>
    </row>
    <row r="1769" spans="1:8" s="28" customFormat="1" ht="47.25" x14ac:dyDescent="0.25">
      <c r="A1769" s="27">
        <v>10035058552</v>
      </c>
      <c r="B1769" s="149" t="s">
        <v>521</v>
      </c>
      <c r="C1769" s="12" t="s">
        <v>568</v>
      </c>
      <c r="D1769" s="12">
        <v>10</v>
      </c>
      <c r="E1769" s="12" t="s">
        <v>193</v>
      </c>
      <c r="F1769" s="10" t="s">
        <v>1649</v>
      </c>
      <c r="G1769" s="6"/>
      <c r="H1769" s="53">
        <f>H1770</f>
        <v>4095</v>
      </c>
    </row>
    <row r="1770" spans="1:8" s="28" customFormat="1" x14ac:dyDescent="0.25">
      <c r="A1770" s="27">
        <v>10035058552005</v>
      </c>
      <c r="B1770" s="26" t="s">
        <v>946</v>
      </c>
      <c r="C1770" s="12" t="s">
        <v>568</v>
      </c>
      <c r="D1770" s="12">
        <v>10</v>
      </c>
      <c r="E1770" s="12" t="s">
        <v>193</v>
      </c>
      <c r="F1770" s="10" t="s">
        <v>1649</v>
      </c>
      <c r="G1770" s="6" t="s">
        <v>1326</v>
      </c>
      <c r="H1770" s="53">
        <v>4095</v>
      </c>
    </row>
    <row r="1771" spans="1:8" s="28" customFormat="1" ht="65.25" customHeight="1" x14ac:dyDescent="0.25">
      <c r="A1771" s="27">
        <v>10035058553</v>
      </c>
      <c r="B1771" s="149" t="s">
        <v>747</v>
      </c>
      <c r="C1771" s="12" t="s">
        <v>568</v>
      </c>
      <c r="D1771" s="12">
        <v>10</v>
      </c>
      <c r="E1771" s="12" t="s">
        <v>193</v>
      </c>
      <c r="F1771" s="10" t="s">
        <v>1650</v>
      </c>
      <c r="G1771" s="6"/>
      <c r="H1771" s="53">
        <f>H1772</f>
        <v>7758</v>
      </c>
    </row>
    <row r="1772" spans="1:8" s="28" customFormat="1" x14ac:dyDescent="0.25">
      <c r="A1772" s="27">
        <v>10035058553005</v>
      </c>
      <c r="B1772" s="26" t="s">
        <v>946</v>
      </c>
      <c r="C1772" s="12" t="s">
        <v>568</v>
      </c>
      <c r="D1772" s="12">
        <v>10</v>
      </c>
      <c r="E1772" s="12" t="s">
        <v>193</v>
      </c>
      <c r="F1772" s="10" t="s">
        <v>1650</v>
      </c>
      <c r="G1772" s="6" t="s">
        <v>1326</v>
      </c>
      <c r="H1772" s="53">
        <v>7758</v>
      </c>
    </row>
    <row r="1773" spans="1:8" s="28" customFormat="1" ht="48.75" customHeight="1" x14ac:dyDescent="0.25">
      <c r="A1773" s="27">
        <v>10035058554</v>
      </c>
      <c r="B1773" s="149" t="s">
        <v>1140</v>
      </c>
      <c r="C1773" s="12" t="s">
        <v>568</v>
      </c>
      <c r="D1773" s="12">
        <v>10</v>
      </c>
      <c r="E1773" s="12" t="s">
        <v>193</v>
      </c>
      <c r="F1773" s="10" t="s">
        <v>1523</v>
      </c>
      <c r="G1773" s="6"/>
      <c r="H1773" s="53">
        <f>H1774</f>
        <v>385497</v>
      </c>
    </row>
    <row r="1774" spans="1:8" s="28" customFormat="1" x14ac:dyDescent="0.25">
      <c r="A1774" s="27">
        <v>10035058554005</v>
      </c>
      <c r="B1774" s="26" t="s">
        <v>946</v>
      </c>
      <c r="C1774" s="12" t="s">
        <v>568</v>
      </c>
      <c r="D1774" s="12">
        <v>10</v>
      </c>
      <c r="E1774" s="12" t="s">
        <v>193</v>
      </c>
      <c r="F1774" s="10" t="s">
        <v>1523</v>
      </c>
      <c r="G1774" s="6" t="s">
        <v>1326</v>
      </c>
      <c r="H1774" s="53">
        <v>385497</v>
      </c>
    </row>
    <row r="1775" spans="1:8" s="28" customFormat="1" ht="47.25" hidden="1" x14ac:dyDescent="0.25">
      <c r="A1775" s="27">
        <v>10035058555</v>
      </c>
      <c r="B1775" s="149" t="s">
        <v>1575</v>
      </c>
      <c r="C1775" s="12" t="s">
        <v>568</v>
      </c>
      <c r="D1775" s="12">
        <v>10</v>
      </c>
      <c r="E1775" s="12" t="s">
        <v>193</v>
      </c>
      <c r="F1775" s="10" t="s">
        <v>1453</v>
      </c>
      <c r="G1775" s="6"/>
      <c r="H1775" s="53">
        <f>H1776</f>
        <v>0</v>
      </c>
    </row>
    <row r="1776" spans="1:8" s="28" customFormat="1" hidden="1" x14ac:dyDescent="0.25">
      <c r="A1776" s="27">
        <v>10035058555005</v>
      </c>
      <c r="B1776" s="86" t="s">
        <v>946</v>
      </c>
      <c r="C1776" s="12" t="s">
        <v>568</v>
      </c>
      <c r="D1776" s="12">
        <v>10</v>
      </c>
      <c r="E1776" s="12" t="s">
        <v>193</v>
      </c>
      <c r="F1776" s="10" t="s">
        <v>1453</v>
      </c>
      <c r="G1776" s="6" t="s">
        <v>1326</v>
      </c>
      <c r="H1776" s="53">
        <f>5045-5045</f>
        <v>0</v>
      </c>
    </row>
    <row r="1777" spans="1:8" s="28" customFormat="1" ht="31.5" x14ac:dyDescent="0.25">
      <c r="A1777" s="27">
        <v>10035058556</v>
      </c>
      <c r="B1777" s="149" t="s">
        <v>642</v>
      </c>
      <c r="C1777" s="12" t="s">
        <v>568</v>
      </c>
      <c r="D1777" s="12">
        <v>10</v>
      </c>
      <c r="E1777" s="12" t="s">
        <v>193</v>
      </c>
      <c r="F1777" s="10" t="s">
        <v>315</v>
      </c>
      <c r="G1777" s="6"/>
      <c r="H1777" s="53">
        <f>H1778</f>
        <v>22600</v>
      </c>
    </row>
    <row r="1778" spans="1:8" s="28" customFormat="1" x14ac:dyDescent="0.25">
      <c r="A1778" s="27">
        <v>10035058556005</v>
      </c>
      <c r="B1778" s="26" t="s">
        <v>946</v>
      </c>
      <c r="C1778" s="12" t="s">
        <v>568</v>
      </c>
      <c r="D1778" s="12">
        <v>10</v>
      </c>
      <c r="E1778" s="12" t="s">
        <v>193</v>
      </c>
      <c r="F1778" s="10" t="s">
        <v>315</v>
      </c>
      <c r="G1778" s="6" t="s">
        <v>1326</v>
      </c>
      <c r="H1778" s="53">
        <v>22600</v>
      </c>
    </row>
    <row r="1779" spans="1:8" s="28" customFormat="1" ht="31.5" x14ac:dyDescent="0.25">
      <c r="A1779" s="27">
        <v>10035058557</v>
      </c>
      <c r="B1779" s="149" t="s">
        <v>1292</v>
      </c>
      <c r="C1779" s="12" t="s">
        <v>568</v>
      </c>
      <c r="D1779" s="12">
        <v>10</v>
      </c>
      <c r="E1779" s="12" t="s">
        <v>193</v>
      </c>
      <c r="F1779" s="10" t="s">
        <v>316</v>
      </c>
      <c r="G1779" s="6"/>
      <c r="H1779" s="53">
        <f>H1780</f>
        <v>62716</v>
      </c>
    </row>
    <row r="1780" spans="1:8" s="28" customFormat="1" x14ac:dyDescent="0.25">
      <c r="A1780" s="27">
        <v>10035058557005</v>
      </c>
      <c r="B1780" s="26" t="s">
        <v>946</v>
      </c>
      <c r="C1780" s="12" t="s">
        <v>568</v>
      </c>
      <c r="D1780" s="12">
        <v>10</v>
      </c>
      <c r="E1780" s="12" t="s">
        <v>193</v>
      </c>
      <c r="F1780" s="10" t="s">
        <v>316</v>
      </c>
      <c r="G1780" s="6" t="s">
        <v>1326</v>
      </c>
      <c r="H1780" s="53">
        <v>62716</v>
      </c>
    </row>
    <row r="1781" spans="1:8" s="128" customFormat="1" ht="33" customHeight="1" x14ac:dyDescent="0.25">
      <c r="A1781" s="27">
        <v>10035058560</v>
      </c>
      <c r="B1781" s="26" t="s">
        <v>762</v>
      </c>
      <c r="C1781" s="12" t="s">
        <v>568</v>
      </c>
      <c r="D1781" s="12">
        <v>10</v>
      </c>
      <c r="E1781" s="12" t="s">
        <v>193</v>
      </c>
      <c r="F1781" s="10" t="s">
        <v>33</v>
      </c>
      <c r="G1781" s="6"/>
      <c r="H1781" s="53">
        <f>H1782</f>
        <v>90250</v>
      </c>
    </row>
    <row r="1782" spans="1:8" s="128" customFormat="1" x14ac:dyDescent="0.25">
      <c r="A1782" s="27">
        <v>10035058560005</v>
      </c>
      <c r="B1782" s="26" t="s">
        <v>946</v>
      </c>
      <c r="C1782" s="12" t="s">
        <v>568</v>
      </c>
      <c r="D1782" s="12">
        <v>10</v>
      </c>
      <c r="E1782" s="12" t="s">
        <v>193</v>
      </c>
      <c r="F1782" s="10" t="s">
        <v>33</v>
      </c>
      <c r="G1782" s="6" t="s">
        <v>1326</v>
      </c>
      <c r="H1782" s="53">
        <v>90250</v>
      </c>
    </row>
    <row r="1783" spans="1:8" s="128" customFormat="1" ht="47.25" x14ac:dyDescent="0.25">
      <c r="A1783" s="27">
        <v>10035058561</v>
      </c>
      <c r="B1783" s="26" t="s">
        <v>445</v>
      </c>
      <c r="C1783" s="12" t="s">
        <v>568</v>
      </c>
      <c r="D1783" s="12">
        <v>10</v>
      </c>
      <c r="E1783" s="12" t="s">
        <v>193</v>
      </c>
      <c r="F1783" s="10" t="s">
        <v>102</v>
      </c>
      <c r="G1783" s="6"/>
      <c r="H1783" s="53">
        <f>H1784</f>
        <v>45531</v>
      </c>
    </row>
    <row r="1784" spans="1:8" s="128" customFormat="1" x14ac:dyDescent="0.25">
      <c r="A1784" s="27">
        <v>10035058561005</v>
      </c>
      <c r="B1784" s="26" t="s">
        <v>946</v>
      </c>
      <c r="C1784" s="12" t="s">
        <v>568</v>
      </c>
      <c r="D1784" s="12">
        <v>10</v>
      </c>
      <c r="E1784" s="12" t="s">
        <v>193</v>
      </c>
      <c r="F1784" s="10" t="s">
        <v>102</v>
      </c>
      <c r="G1784" s="6" t="s">
        <v>1326</v>
      </c>
      <c r="H1784" s="53">
        <v>45531</v>
      </c>
    </row>
    <row r="1785" spans="1:8" s="28" customFormat="1" ht="31.5" x14ac:dyDescent="0.25">
      <c r="A1785" s="27">
        <v>1003514</v>
      </c>
      <c r="B1785" s="38" t="s">
        <v>1717</v>
      </c>
      <c r="C1785" s="12" t="s">
        <v>568</v>
      </c>
      <c r="D1785" s="12">
        <v>10</v>
      </c>
      <c r="E1785" s="12" t="s">
        <v>193</v>
      </c>
      <c r="F1785" s="10" t="s">
        <v>1716</v>
      </c>
      <c r="G1785" s="12"/>
      <c r="H1785" s="53">
        <f>H1786</f>
        <v>52800</v>
      </c>
    </row>
    <row r="1786" spans="1:8" s="28" customFormat="1" x14ac:dyDescent="0.25">
      <c r="A1786" s="27">
        <v>100351401</v>
      </c>
      <c r="B1786" s="38" t="s">
        <v>1323</v>
      </c>
      <c r="C1786" s="12" t="s">
        <v>568</v>
      </c>
      <c r="D1786" s="12">
        <v>10</v>
      </c>
      <c r="E1786" s="12" t="s">
        <v>193</v>
      </c>
      <c r="F1786" s="10" t="s">
        <v>260</v>
      </c>
      <c r="G1786" s="12"/>
      <c r="H1786" s="53">
        <f>H1787+H1789</f>
        <v>52800</v>
      </c>
    </row>
    <row r="1787" spans="1:8" s="28" customFormat="1" ht="31.5" x14ac:dyDescent="0.25">
      <c r="A1787" s="27">
        <v>10035140101</v>
      </c>
      <c r="B1787" s="38" t="s">
        <v>1167</v>
      </c>
      <c r="C1787" s="12" t="s">
        <v>568</v>
      </c>
      <c r="D1787" s="12">
        <v>10</v>
      </c>
      <c r="E1787" s="12" t="s">
        <v>193</v>
      </c>
      <c r="F1787" s="10" t="s">
        <v>1208</v>
      </c>
      <c r="G1787" s="12"/>
      <c r="H1787" s="53">
        <f>H1788</f>
        <v>45000</v>
      </c>
    </row>
    <row r="1788" spans="1:8" s="28" customFormat="1" x14ac:dyDescent="0.25">
      <c r="A1788" s="27">
        <v>10035140101013</v>
      </c>
      <c r="B1788" s="38" t="s">
        <v>1335</v>
      </c>
      <c r="C1788" s="12" t="s">
        <v>568</v>
      </c>
      <c r="D1788" s="12">
        <v>10</v>
      </c>
      <c r="E1788" s="12" t="s">
        <v>193</v>
      </c>
      <c r="F1788" s="10" t="s">
        <v>1208</v>
      </c>
      <c r="G1788" s="12" t="s">
        <v>972</v>
      </c>
      <c r="H1788" s="53">
        <v>45000</v>
      </c>
    </row>
    <row r="1789" spans="1:8" s="28" customFormat="1" ht="31.5" x14ac:dyDescent="0.25">
      <c r="A1789" s="27">
        <v>10035140102</v>
      </c>
      <c r="B1789" s="38" t="s">
        <v>653</v>
      </c>
      <c r="C1789" s="12" t="s">
        <v>568</v>
      </c>
      <c r="D1789" s="12">
        <v>10</v>
      </c>
      <c r="E1789" s="12" t="s">
        <v>193</v>
      </c>
      <c r="F1789" s="10" t="s">
        <v>1209</v>
      </c>
      <c r="G1789" s="12"/>
      <c r="H1789" s="53">
        <f>H1790</f>
        <v>7800</v>
      </c>
    </row>
    <row r="1790" spans="1:8" s="28" customFormat="1" x14ac:dyDescent="0.25">
      <c r="A1790" s="27">
        <v>10035140102013</v>
      </c>
      <c r="B1790" s="38" t="s">
        <v>1335</v>
      </c>
      <c r="C1790" s="12" t="s">
        <v>568</v>
      </c>
      <c r="D1790" s="12">
        <v>10</v>
      </c>
      <c r="E1790" s="12" t="s">
        <v>193</v>
      </c>
      <c r="F1790" s="10" t="s">
        <v>1209</v>
      </c>
      <c r="G1790" s="12" t="s">
        <v>972</v>
      </c>
      <c r="H1790" s="53">
        <v>7800</v>
      </c>
    </row>
    <row r="1791" spans="1:8" s="28" customFormat="1" x14ac:dyDescent="0.25">
      <c r="A1791" s="27">
        <v>1004</v>
      </c>
      <c r="B1791" s="26" t="s">
        <v>605</v>
      </c>
      <c r="C1791" s="12" t="s">
        <v>568</v>
      </c>
      <c r="D1791" s="12">
        <v>10</v>
      </c>
      <c r="E1791" s="12" t="s">
        <v>1181</v>
      </c>
      <c r="F1791" s="10"/>
      <c r="G1791" s="12"/>
      <c r="H1791" s="53">
        <f>H1792+H1798</f>
        <v>66185</v>
      </c>
    </row>
    <row r="1792" spans="1:8" s="28" customFormat="1" ht="31.5" x14ac:dyDescent="0.25">
      <c r="A1792" s="27">
        <v>1004511</v>
      </c>
      <c r="B1792" s="26" t="s">
        <v>1375</v>
      </c>
      <c r="C1792" s="12" t="s">
        <v>568</v>
      </c>
      <c r="D1792" s="12">
        <v>10</v>
      </c>
      <c r="E1792" s="12" t="s">
        <v>1181</v>
      </c>
      <c r="F1792" s="10" t="s">
        <v>1078</v>
      </c>
      <c r="G1792" s="12"/>
      <c r="H1792" s="53">
        <f>H1793+H1796</f>
        <v>64185</v>
      </c>
    </row>
    <row r="1793" spans="1:11" s="28" customFormat="1" ht="47.25" x14ac:dyDescent="0.25">
      <c r="A1793" s="27">
        <v>100451102</v>
      </c>
      <c r="B1793" s="26" t="s">
        <v>536</v>
      </c>
      <c r="C1793" s="12" t="s">
        <v>568</v>
      </c>
      <c r="D1793" s="12">
        <v>10</v>
      </c>
      <c r="E1793" s="12" t="s">
        <v>1181</v>
      </c>
      <c r="F1793" s="10" t="s">
        <v>537</v>
      </c>
      <c r="G1793" s="12"/>
      <c r="H1793" s="53">
        <f>SUM(H1794:H1795)</f>
        <v>580</v>
      </c>
    </row>
    <row r="1794" spans="1:11" s="28" customFormat="1" x14ac:dyDescent="0.25">
      <c r="A1794" s="27">
        <v>100451102009</v>
      </c>
      <c r="B1794" s="26" t="s">
        <v>1565</v>
      </c>
      <c r="C1794" s="12" t="s">
        <v>568</v>
      </c>
      <c r="D1794" s="12">
        <v>10</v>
      </c>
      <c r="E1794" s="12" t="s">
        <v>1181</v>
      </c>
      <c r="F1794" s="10" t="s">
        <v>537</v>
      </c>
      <c r="G1794" s="12" t="s">
        <v>569</v>
      </c>
      <c r="H1794" s="53">
        <v>530</v>
      </c>
    </row>
    <row r="1795" spans="1:11" s="28" customFormat="1" x14ac:dyDescent="0.25">
      <c r="A1795" s="27">
        <v>100451102013</v>
      </c>
      <c r="B1795" s="65" t="s">
        <v>1335</v>
      </c>
      <c r="C1795" s="12" t="s">
        <v>568</v>
      </c>
      <c r="D1795" s="12">
        <v>10</v>
      </c>
      <c r="E1795" s="12" t="s">
        <v>1181</v>
      </c>
      <c r="F1795" s="10" t="s">
        <v>537</v>
      </c>
      <c r="G1795" s="12" t="s">
        <v>972</v>
      </c>
      <c r="H1795" s="53">
        <v>50</v>
      </c>
    </row>
    <row r="1796" spans="1:11" s="172" customFormat="1" x14ac:dyDescent="0.25">
      <c r="A1796" s="188">
        <v>100451106</v>
      </c>
      <c r="B1796" s="170" t="s">
        <v>663</v>
      </c>
      <c r="C1796" s="25" t="s">
        <v>568</v>
      </c>
      <c r="D1796" s="25">
        <v>10</v>
      </c>
      <c r="E1796" s="25" t="s">
        <v>1181</v>
      </c>
      <c r="F1796" s="11" t="s">
        <v>1517</v>
      </c>
      <c r="G1796" s="198"/>
      <c r="H1796" s="194">
        <f>H1797</f>
        <v>63605</v>
      </c>
      <c r="J1796" s="72"/>
      <c r="K1796" s="72"/>
    </row>
    <row r="1797" spans="1:11" s="172" customFormat="1" x14ac:dyDescent="0.25">
      <c r="A1797" s="188">
        <v>100451106005</v>
      </c>
      <c r="B1797" s="216" t="s">
        <v>946</v>
      </c>
      <c r="C1797" s="25" t="s">
        <v>568</v>
      </c>
      <c r="D1797" s="205">
        <v>10</v>
      </c>
      <c r="E1797" s="205" t="s">
        <v>1181</v>
      </c>
      <c r="F1797" s="206" t="s">
        <v>1517</v>
      </c>
      <c r="G1797" s="217" t="s">
        <v>1326</v>
      </c>
      <c r="H1797" s="194">
        <v>63605</v>
      </c>
      <c r="J1797" s="72"/>
      <c r="K1797" s="72"/>
    </row>
    <row r="1798" spans="1:11" s="28" customFormat="1" ht="31.5" x14ac:dyDescent="0.25">
      <c r="A1798" s="27">
        <v>1004514</v>
      </c>
      <c r="B1798" s="38" t="s">
        <v>1717</v>
      </c>
      <c r="C1798" s="12" t="s">
        <v>568</v>
      </c>
      <c r="D1798" s="12">
        <v>10</v>
      </c>
      <c r="E1798" s="12" t="s">
        <v>1181</v>
      </c>
      <c r="F1798" s="10" t="s">
        <v>1716</v>
      </c>
      <c r="G1798" s="12"/>
      <c r="H1798" s="53">
        <f>H1799</f>
        <v>2000</v>
      </c>
    </row>
    <row r="1799" spans="1:11" s="28" customFormat="1" x14ac:dyDescent="0.25">
      <c r="A1799" s="27">
        <v>100451401</v>
      </c>
      <c r="B1799" s="38" t="s">
        <v>1323</v>
      </c>
      <c r="C1799" s="12" t="s">
        <v>568</v>
      </c>
      <c r="D1799" s="12">
        <v>10</v>
      </c>
      <c r="E1799" s="12" t="s">
        <v>1181</v>
      </c>
      <c r="F1799" s="10" t="s">
        <v>260</v>
      </c>
      <c r="G1799" s="12"/>
      <c r="H1799" s="53">
        <f>H1800</f>
        <v>2000</v>
      </c>
    </row>
    <row r="1800" spans="1:11" s="28" customFormat="1" ht="47.25" x14ac:dyDescent="0.25">
      <c r="A1800" s="27">
        <v>10045140103</v>
      </c>
      <c r="B1800" s="38" t="s">
        <v>288</v>
      </c>
      <c r="C1800" s="12" t="s">
        <v>568</v>
      </c>
      <c r="D1800" s="12">
        <v>10</v>
      </c>
      <c r="E1800" s="12" t="s">
        <v>1181</v>
      </c>
      <c r="F1800" s="10" t="s">
        <v>1003</v>
      </c>
      <c r="G1800" s="12"/>
      <c r="H1800" s="53">
        <f>H1801</f>
        <v>2000</v>
      </c>
    </row>
    <row r="1801" spans="1:11" s="28" customFormat="1" x14ac:dyDescent="0.25">
      <c r="A1801" s="27">
        <v>10045140103005</v>
      </c>
      <c r="B1801" s="26" t="s">
        <v>946</v>
      </c>
      <c r="C1801" s="12" t="s">
        <v>568</v>
      </c>
      <c r="D1801" s="12">
        <v>10</v>
      </c>
      <c r="E1801" s="12" t="s">
        <v>1181</v>
      </c>
      <c r="F1801" s="10" t="s">
        <v>1003</v>
      </c>
      <c r="G1801" s="12" t="s">
        <v>1326</v>
      </c>
      <c r="H1801" s="53">
        <v>2000</v>
      </c>
    </row>
    <row r="1802" spans="1:11" s="28" customFormat="1" x14ac:dyDescent="0.25">
      <c r="A1802" s="29">
        <v>1006</v>
      </c>
      <c r="B1802" s="26" t="s">
        <v>1595</v>
      </c>
      <c r="C1802" s="12" t="s">
        <v>568</v>
      </c>
      <c r="D1802" s="12">
        <v>10</v>
      </c>
      <c r="E1802" s="12" t="s">
        <v>1746</v>
      </c>
      <c r="F1802" s="39"/>
      <c r="G1802" s="39"/>
      <c r="H1802" s="53">
        <f>H1803+H1807+H1814+H1823</f>
        <v>2441693</v>
      </c>
    </row>
    <row r="1803" spans="1:11" s="28" customFormat="1" ht="47.25" x14ac:dyDescent="0.25">
      <c r="A1803" s="27">
        <v>1006002</v>
      </c>
      <c r="B1803" s="26" t="s">
        <v>1657</v>
      </c>
      <c r="C1803" s="12" t="s">
        <v>568</v>
      </c>
      <c r="D1803" s="12">
        <v>10</v>
      </c>
      <c r="E1803" s="12" t="s">
        <v>1746</v>
      </c>
      <c r="F1803" s="12" t="s">
        <v>200</v>
      </c>
      <c r="G1803" s="12"/>
      <c r="H1803" s="53">
        <f>H1804</f>
        <v>2328189</v>
      </c>
    </row>
    <row r="1804" spans="1:11" s="28" customFormat="1" x14ac:dyDescent="0.25">
      <c r="A1804" s="27">
        <v>100600204</v>
      </c>
      <c r="B1804" s="26" t="s">
        <v>638</v>
      </c>
      <c r="C1804" s="12" t="s">
        <v>568</v>
      </c>
      <c r="D1804" s="12">
        <v>10</v>
      </c>
      <c r="E1804" s="12" t="s">
        <v>1746</v>
      </c>
      <c r="F1804" s="12" t="s">
        <v>797</v>
      </c>
      <c r="G1804" s="12"/>
      <c r="H1804" s="53">
        <f>SUM(H1805:H1806)</f>
        <v>2328189</v>
      </c>
    </row>
    <row r="1805" spans="1:11" s="3" customFormat="1" x14ac:dyDescent="0.25">
      <c r="A1805" s="27">
        <v>100600204012</v>
      </c>
      <c r="B1805" s="65" t="s">
        <v>1012</v>
      </c>
      <c r="C1805" s="12" t="s">
        <v>568</v>
      </c>
      <c r="D1805" s="12">
        <v>10</v>
      </c>
      <c r="E1805" s="12" t="s">
        <v>1746</v>
      </c>
      <c r="F1805" s="12" t="s">
        <v>797</v>
      </c>
      <c r="G1805" s="12" t="s">
        <v>1224</v>
      </c>
      <c r="H1805" s="53">
        <f>1988045+285000</f>
        <v>2273045</v>
      </c>
    </row>
    <row r="1806" spans="1:11" s="28" customFormat="1" ht="63" x14ac:dyDescent="0.25">
      <c r="A1806" s="27">
        <v>100600204902</v>
      </c>
      <c r="B1806" s="26" t="s">
        <v>1100</v>
      </c>
      <c r="C1806" s="12" t="s">
        <v>568</v>
      </c>
      <c r="D1806" s="12">
        <v>10</v>
      </c>
      <c r="E1806" s="12" t="s">
        <v>1746</v>
      </c>
      <c r="F1806" s="12" t="s">
        <v>797</v>
      </c>
      <c r="G1806" s="12">
        <v>902</v>
      </c>
      <c r="H1806" s="53">
        <v>55144</v>
      </c>
    </row>
    <row r="1807" spans="1:11" s="28" customFormat="1" x14ac:dyDescent="0.25">
      <c r="A1807" s="27">
        <v>1006803</v>
      </c>
      <c r="B1807" s="26" t="s">
        <v>1225</v>
      </c>
      <c r="C1807" s="12" t="s">
        <v>568</v>
      </c>
      <c r="D1807" s="12">
        <v>10</v>
      </c>
      <c r="E1807" s="12" t="s">
        <v>1746</v>
      </c>
      <c r="F1807" s="10" t="s">
        <v>1045</v>
      </c>
      <c r="G1807" s="39"/>
      <c r="H1807" s="53">
        <f>H1808+H1810+H1812</f>
        <v>27340</v>
      </c>
    </row>
    <row r="1808" spans="1:11" ht="31.5" x14ac:dyDescent="0.25">
      <c r="A1808" s="27">
        <v>10068030001</v>
      </c>
      <c r="B1808" s="26" t="s">
        <v>546</v>
      </c>
      <c r="C1808" s="12" t="s">
        <v>568</v>
      </c>
      <c r="D1808" s="12">
        <v>10</v>
      </c>
      <c r="E1808" s="12" t="s">
        <v>1746</v>
      </c>
      <c r="F1808" s="10" t="s">
        <v>1310</v>
      </c>
      <c r="G1808" s="4"/>
      <c r="H1808" s="185">
        <f>H1809</f>
        <v>19040</v>
      </c>
    </row>
    <row r="1809" spans="1:8" x14ac:dyDescent="0.25">
      <c r="A1809" s="56">
        <v>10068030001013</v>
      </c>
      <c r="B1809" s="26" t="s">
        <v>1335</v>
      </c>
      <c r="C1809" s="12" t="s">
        <v>568</v>
      </c>
      <c r="D1809" s="6">
        <v>10</v>
      </c>
      <c r="E1809" s="6" t="s">
        <v>1746</v>
      </c>
      <c r="F1809" s="10" t="s">
        <v>1310</v>
      </c>
      <c r="G1809" s="12" t="s">
        <v>972</v>
      </c>
      <c r="H1809" s="185">
        <v>19040</v>
      </c>
    </row>
    <row r="1810" spans="1:8" ht="47.25" x14ac:dyDescent="0.25">
      <c r="A1810" s="27">
        <v>10068030002</v>
      </c>
      <c r="B1810" s="26" t="s">
        <v>1415</v>
      </c>
      <c r="C1810" s="12" t="s">
        <v>568</v>
      </c>
      <c r="D1810" s="12">
        <v>10</v>
      </c>
      <c r="E1810" s="12" t="s">
        <v>1746</v>
      </c>
      <c r="F1810" s="10" t="s">
        <v>1311</v>
      </c>
      <c r="G1810" s="4"/>
      <c r="H1810" s="185">
        <f>H1811</f>
        <v>4000</v>
      </c>
    </row>
    <row r="1811" spans="1:8" x14ac:dyDescent="0.25">
      <c r="A1811" s="56">
        <v>10068030002013</v>
      </c>
      <c r="B1811" s="26" t="s">
        <v>1335</v>
      </c>
      <c r="C1811" s="12" t="s">
        <v>568</v>
      </c>
      <c r="D1811" s="6">
        <v>10</v>
      </c>
      <c r="E1811" s="6" t="s">
        <v>1746</v>
      </c>
      <c r="F1811" s="10" t="s">
        <v>1311</v>
      </c>
      <c r="G1811" s="12" t="s">
        <v>972</v>
      </c>
      <c r="H1811" s="185">
        <v>4000</v>
      </c>
    </row>
    <row r="1812" spans="1:8" ht="32.25" customHeight="1" x14ac:dyDescent="0.25">
      <c r="A1812" s="27">
        <v>10068030003</v>
      </c>
      <c r="B1812" s="26" t="s">
        <v>915</v>
      </c>
      <c r="C1812" s="12" t="s">
        <v>568</v>
      </c>
      <c r="D1812" s="12">
        <v>10</v>
      </c>
      <c r="E1812" s="12" t="s">
        <v>1746</v>
      </c>
      <c r="F1812" s="10" t="s">
        <v>916</v>
      </c>
      <c r="G1812" s="4"/>
      <c r="H1812" s="185">
        <f>H1813</f>
        <v>4300</v>
      </c>
    </row>
    <row r="1813" spans="1:8" x14ac:dyDescent="0.25">
      <c r="A1813" s="56">
        <v>10068030003013</v>
      </c>
      <c r="B1813" s="26" t="s">
        <v>1335</v>
      </c>
      <c r="C1813" s="12" t="s">
        <v>568</v>
      </c>
      <c r="D1813" s="6">
        <v>10</v>
      </c>
      <c r="E1813" s="6" t="s">
        <v>1746</v>
      </c>
      <c r="F1813" s="10" t="s">
        <v>916</v>
      </c>
      <c r="G1813" s="12" t="s">
        <v>972</v>
      </c>
      <c r="H1813" s="185">
        <v>4300</v>
      </c>
    </row>
    <row r="1814" spans="1:8" s="28" customFormat="1" x14ac:dyDescent="0.25">
      <c r="A1814" s="27">
        <v>1006806</v>
      </c>
      <c r="B1814" s="26" t="s">
        <v>1522</v>
      </c>
      <c r="C1814" s="12" t="s">
        <v>568</v>
      </c>
      <c r="D1814" s="12">
        <v>10</v>
      </c>
      <c r="E1814" s="12" t="s">
        <v>1746</v>
      </c>
      <c r="F1814" s="11" t="s">
        <v>453</v>
      </c>
      <c r="G1814" s="12"/>
      <c r="H1814" s="53">
        <f>H1815+H1817+H1819+H1821</f>
        <v>85664</v>
      </c>
    </row>
    <row r="1815" spans="1:8" s="28" customFormat="1" ht="49.5" customHeight="1" x14ac:dyDescent="0.25">
      <c r="A1815" s="27">
        <v>10068060030</v>
      </c>
      <c r="B1815" s="26" t="s">
        <v>712</v>
      </c>
      <c r="C1815" s="12" t="s">
        <v>568</v>
      </c>
      <c r="D1815" s="12">
        <v>10</v>
      </c>
      <c r="E1815" s="12" t="s">
        <v>1746</v>
      </c>
      <c r="F1815" s="11" t="s">
        <v>20</v>
      </c>
      <c r="G1815" s="12"/>
      <c r="H1815" s="53">
        <f>H1816</f>
        <v>30347</v>
      </c>
    </row>
    <row r="1816" spans="1:8" s="28" customFormat="1" x14ac:dyDescent="0.25">
      <c r="A1816" s="27">
        <v>10068060030013</v>
      </c>
      <c r="B1816" s="26" t="s">
        <v>1335</v>
      </c>
      <c r="C1816" s="12" t="s">
        <v>568</v>
      </c>
      <c r="D1816" s="12">
        <v>10</v>
      </c>
      <c r="E1816" s="12" t="s">
        <v>1746</v>
      </c>
      <c r="F1816" s="11" t="s">
        <v>20</v>
      </c>
      <c r="G1816" s="12" t="s">
        <v>972</v>
      </c>
      <c r="H1816" s="53">
        <v>30347</v>
      </c>
    </row>
    <row r="1817" spans="1:8" s="28" customFormat="1" ht="47.25" x14ac:dyDescent="0.25">
      <c r="A1817" s="27">
        <v>10068060031</v>
      </c>
      <c r="B1817" s="26" t="s">
        <v>1502</v>
      </c>
      <c r="C1817" s="12" t="s">
        <v>568</v>
      </c>
      <c r="D1817" s="12">
        <v>10</v>
      </c>
      <c r="E1817" s="12" t="s">
        <v>1746</v>
      </c>
      <c r="F1817" s="11" t="s">
        <v>21</v>
      </c>
      <c r="G1817" s="12"/>
      <c r="H1817" s="53">
        <f>H1818</f>
        <v>150</v>
      </c>
    </row>
    <row r="1818" spans="1:8" s="28" customFormat="1" x14ac:dyDescent="0.25">
      <c r="A1818" s="27">
        <v>10068060031013</v>
      </c>
      <c r="B1818" s="26" t="s">
        <v>1335</v>
      </c>
      <c r="C1818" s="12" t="s">
        <v>568</v>
      </c>
      <c r="D1818" s="12">
        <v>10</v>
      </c>
      <c r="E1818" s="12" t="s">
        <v>1746</v>
      </c>
      <c r="F1818" s="11" t="s">
        <v>21</v>
      </c>
      <c r="G1818" s="12" t="s">
        <v>972</v>
      </c>
      <c r="H1818" s="53">
        <v>150</v>
      </c>
    </row>
    <row r="1819" spans="1:8" s="28" customFormat="1" ht="49.5" customHeight="1" x14ac:dyDescent="0.25">
      <c r="A1819" s="27">
        <v>10068060032</v>
      </c>
      <c r="B1819" s="26" t="s">
        <v>1309</v>
      </c>
      <c r="C1819" s="12" t="s">
        <v>568</v>
      </c>
      <c r="D1819" s="12">
        <v>10</v>
      </c>
      <c r="E1819" s="12" t="s">
        <v>1746</v>
      </c>
      <c r="F1819" s="11" t="s">
        <v>22</v>
      </c>
      <c r="G1819" s="12"/>
      <c r="H1819" s="53">
        <f>H1820</f>
        <v>31815</v>
      </c>
    </row>
    <row r="1820" spans="1:8" s="28" customFormat="1" x14ac:dyDescent="0.25">
      <c r="A1820" s="27">
        <v>10068060032013</v>
      </c>
      <c r="B1820" s="26" t="s">
        <v>1335</v>
      </c>
      <c r="C1820" s="12" t="s">
        <v>568</v>
      </c>
      <c r="D1820" s="12">
        <v>10</v>
      </c>
      <c r="E1820" s="12" t="s">
        <v>1746</v>
      </c>
      <c r="F1820" s="11" t="s">
        <v>22</v>
      </c>
      <c r="G1820" s="12" t="s">
        <v>972</v>
      </c>
      <c r="H1820" s="53">
        <v>31815</v>
      </c>
    </row>
    <row r="1821" spans="1:8" s="28" customFormat="1" ht="31.5" x14ac:dyDescent="0.25">
      <c r="A1821" s="27">
        <v>10068060033</v>
      </c>
      <c r="B1821" s="26" t="s">
        <v>1588</v>
      </c>
      <c r="C1821" s="12" t="s">
        <v>568</v>
      </c>
      <c r="D1821" s="12">
        <v>10</v>
      </c>
      <c r="E1821" s="12" t="s">
        <v>1746</v>
      </c>
      <c r="F1821" s="11" t="s">
        <v>1416</v>
      </c>
      <c r="G1821" s="12"/>
      <c r="H1821" s="53">
        <f>H1822</f>
        <v>23352</v>
      </c>
    </row>
    <row r="1822" spans="1:8" s="28" customFormat="1" x14ac:dyDescent="0.25">
      <c r="A1822" s="27">
        <v>10068060033013</v>
      </c>
      <c r="B1822" s="26" t="s">
        <v>1335</v>
      </c>
      <c r="C1822" s="12" t="s">
        <v>568</v>
      </c>
      <c r="D1822" s="12">
        <v>10</v>
      </c>
      <c r="E1822" s="12" t="s">
        <v>1746</v>
      </c>
      <c r="F1822" s="11" t="s">
        <v>1416</v>
      </c>
      <c r="G1822" s="12" t="s">
        <v>972</v>
      </c>
      <c r="H1822" s="53">
        <v>23352</v>
      </c>
    </row>
    <row r="1823" spans="1:8" s="28" customFormat="1" x14ac:dyDescent="0.25">
      <c r="A1823" s="27">
        <v>1006808</v>
      </c>
      <c r="B1823" s="26" t="s">
        <v>1457</v>
      </c>
      <c r="C1823" s="12" t="s">
        <v>568</v>
      </c>
      <c r="D1823" s="12">
        <v>10</v>
      </c>
      <c r="E1823" s="12" t="s">
        <v>1746</v>
      </c>
      <c r="F1823" s="10" t="s">
        <v>1376</v>
      </c>
      <c r="G1823" s="19"/>
      <c r="H1823" s="53">
        <f>H1824</f>
        <v>500</v>
      </c>
    </row>
    <row r="1824" spans="1:8" s="28" customFormat="1" x14ac:dyDescent="0.25">
      <c r="A1824" s="27">
        <v>1006808013</v>
      </c>
      <c r="B1824" s="26" t="s">
        <v>1335</v>
      </c>
      <c r="C1824" s="12" t="s">
        <v>568</v>
      </c>
      <c r="D1824" s="12">
        <v>10</v>
      </c>
      <c r="E1824" s="12" t="s">
        <v>1746</v>
      </c>
      <c r="F1824" s="10" t="s">
        <v>1376</v>
      </c>
      <c r="G1824" s="12" t="s">
        <v>972</v>
      </c>
      <c r="H1824" s="53">
        <v>500</v>
      </c>
    </row>
    <row r="1825" spans="1:8" s="28" customFormat="1" x14ac:dyDescent="0.25">
      <c r="A1825" s="29"/>
      <c r="B1825" s="26"/>
      <c r="C1825" s="12"/>
      <c r="D1825" s="12"/>
      <c r="E1825" s="12"/>
      <c r="F1825" s="10"/>
      <c r="G1825" s="12"/>
      <c r="H1825" s="53"/>
    </row>
    <row r="1826" spans="1:8" s="3" customFormat="1" x14ac:dyDescent="0.25">
      <c r="A1826" s="48">
        <v>0</v>
      </c>
      <c r="B1826" s="30" t="s">
        <v>1036</v>
      </c>
      <c r="C1826" s="42" t="s">
        <v>1424</v>
      </c>
      <c r="D1826" s="31"/>
      <c r="E1826" s="31"/>
      <c r="F1826" s="31"/>
      <c r="G1826" s="31"/>
      <c r="H1826" s="187">
        <f>H1827+H1837+H1871+H1832+H1876+H1886</f>
        <v>4765724</v>
      </c>
    </row>
    <row r="1827" spans="1:8" s="3" customFormat="1" x14ac:dyDescent="0.25">
      <c r="A1827" s="27">
        <v>2</v>
      </c>
      <c r="B1827" s="35" t="s">
        <v>271</v>
      </c>
      <c r="C1827" s="12" t="s">
        <v>1424</v>
      </c>
      <c r="D1827" s="12" t="s">
        <v>567</v>
      </c>
      <c r="E1827" s="31"/>
      <c r="F1827" s="31"/>
      <c r="G1827" s="31"/>
      <c r="H1827" s="53">
        <f>H1828</f>
        <v>150</v>
      </c>
    </row>
    <row r="1828" spans="1:8" s="3" customFormat="1" x14ac:dyDescent="0.25">
      <c r="A1828" s="27">
        <v>204</v>
      </c>
      <c r="B1828" s="26" t="s">
        <v>1054</v>
      </c>
      <c r="C1828" s="12" t="s">
        <v>1424</v>
      </c>
      <c r="D1828" s="12" t="s">
        <v>567</v>
      </c>
      <c r="E1828" s="12" t="s">
        <v>1181</v>
      </c>
      <c r="F1828" s="31"/>
      <c r="G1828" s="31"/>
      <c r="H1828" s="53">
        <f>H1829</f>
        <v>150</v>
      </c>
    </row>
    <row r="1829" spans="1:8" s="3" customFormat="1" ht="31.5" x14ac:dyDescent="0.25">
      <c r="A1829" s="27">
        <v>204209</v>
      </c>
      <c r="B1829" s="26" t="s">
        <v>141</v>
      </c>
      <c r="C1829" s="12" t="s">
        <v>1424</v>
      </c>
      <c r="D1829" s="12" t="s">
        <v>567</v>
      </c>
      <c r="E1829" s="12" t="s">
        <v>1181</v>
      </c>
      <c r="F1829" s="10" t="s">
        <v>270</v>
      </c>
      <c r="G1829" s="31"/>
      <c r="H1829" s="53">
        <f>H1830</f>
        <v>150</v>
      </c>
    </row>
    <row r="1830" spans="1:8" s="3" customFormat="1" ht="31.5" x14ac:dyDescent="0.25">
      <c r="A1830" s="27">
        <v>20420901</v>
      </c>
      <c r="B1830" s="26" t="s">
        <v>1408</v>
      </c>
      <c r="C1830" s="12" t="s">
        <v>1424</v>
      </c>
      <c r="D1830" s="12" t="s">
        <v>567</v>
      </c>
      <c r="E1830" s="12" t="s">
        <v>1181</v>
      </c>
      <c r="F1830" s="10" t="s">
        <v>956</v>
      </c>
      <c r="G1830" s="31"/>
      <c r="H1830" s="53">
        <f>H1831</f>
        <v>150</v>
      </c>
    </row>
    <row r="1831" spans="1:8" s="3" customFormat="1" x14ac:dyDescent="0.25">
      <c r="A1831" s="27">
        <v>20420901012</v>
      </c>
      <c r="B1831" s="65" t="s">
        <v>1012</v>
      </c>
      <c r="C1831" s="12" t="s">
        <v>1424</v>
      </c>
      <c r="D1831" s="12" t="s">
        <v>567</v>
      </c>
      <c r="E1831" s="12" t="s">
        <v>1181</v>
      </c>
      <c r="F1831" s="10" t="s">
        <v>956</v>
      </c>
      <c r="G1831" s="12" t="s">
        <v>1224</v>
      </c>
      <c r="H1831" s="53">
        <v>150</v>
      </c>
    </row>
    <row r="1832" spans="1:8" s="28" customFormat="1" ht="21" customHeight="1" x14ac:dyDescent="0.25">
      <c r="A1832" s="27">
        <v>3</v>
      </c>
      <c r="B1832" s="35" t="s">
        <v>1049</v>
      </c>
      <c r="C1832" s="12" t="s">
        <v>1424</v>
      </c>
      <c r="D1832" s="12" t="s">
        <v>193</v>
      </c>
      <c r="E1832" s="12"/>
      <c r="F1832" s="10"/>
      <c r="G1832" s="12"/>
      <c r="H1832" s="53">
        <f>H1833</f>
        <v>121</v>
      </c>
    </row>
    <row r="1833" spans="1:8" s="28" customFormat="1" ht="47.25" x14ac:dyDescent="0.25">
      <c r="A1833" s="27">
        <v>309</v>
      </c>
      <c r="B1833" s="26" t="s">
        <v>133</v>
      </c>
      <c r="C1833" s="12" t="s">
        <v>1424</v>
      </c>
      <c r="D1833" s="12" t="s">
        <v>193</v>
      </c>
      <c r="E1833" s="12" t="s">
        <v>406</v>
      </c>
      <c r="F1833" s="10"/>
      <c r="G1833" s="12"/>
      <c r="H1833" s="53">
        <f>H1834</f>
        <v>121</v>
      </c>
    </row>
    <row r="1834" spans="1:8" s="28" customFormat="1" x14ac:dyDescent="0.25">
      <c r="A1834" s="27">
        <v>309219</v>
      </c>
      <c r="B1834" s="26" t="s">
        <v>1098</v>
      </c>
      <c r="C1834" s="12" t="s">
        <v>1424</v>
      </c>
      <c r="D1834" s="12" t="s">
        <v>193</v>
      </c>
      <c r="E1834" s="12" t="s">
        <v>406</v>
      </c>
      <c r="F1834" s="10" t="s">
        <v>620</v>
      </c>
      <c r="G1834" s="12"/>
      <c r="H1834" s="53">
        <f>H1835</f>
        <v>121</v>
      </c>
    </row>
    <row r="1835" spans="1:8" s="28" customFormat="1" ht="31.5" x14ac:dyDescent="0.25">
      <c r="A1835" s="27">
        <v>30921901</v>
      </c>
      <c r="B1835" s="26" t="s">
        <v>591</v>
      </c>
      <c r="C1835" s="12" t="s">
        <v>1424</v>
      </c>
      <c r="D1835" s="12" t="s">
        <v>193</v>
      </c>
      <c r="E1835" s="12" t="s">
        <v>406</v>
      </c>
      <c r="F1835" s="10" t="s">
        <v>269</v>
      </c>
      <c r="G1835" s="12"/>
      <c r="H1835" s="53">
        <f>H1836</f>
        <v>121</v>
      </c>
    </row>
    <row r="1836" spans="1:8" s="28" customFormat="1" x14ac:dyDescent="0.25">
      <c r="A1836" s="27">
        <v>30921901012</v>
      </c>
      <c r="B1836" s="65" t="s">
        <v>1012</v>
      </c>
      <c r="C1836" s="12" t="s">
        <v>1424</v>
      </c>
      <c r="D1836" s="12" t="s">
        <v>193</v>
      </c>
      <c r="E1836" s="12" t="s">
        <v>406</v>
      </c>
      <c r="F1836" s="10" t="s">
        <v>269</v>
      </c>
      <c r="G1836" s="12" t="s">
        <v>1224</v>
      </c>
      <c r="H1836" s="53">
        <v>121</v>
      </c>
    </row>
    <row r="1837" spans="1:8" s="28" customFormat="1" x14ac:dyDescent="0.25">
      <c r="A1837" s="29">
        <v>4</v>
      </c>
      <c r="B1837" s="35" t="s">
        <v>993</v>
      </c>
      <c r="C1837" s="12" t="s">
        <v>1424</v>
      </c>
      <c r="D1837" s="12" t="s">
        <v>1181</v>
      </c>
      <c r="E1837" s="10"/>
      <c r="F1837" s="10"/>
      <c r="G1837" s="10"/>
      <c r="H1837" s="53">
        <f>H1838+H1857+H1861</f>
        <v>2375434</v>
      </c>
    </row>
    <row r="1838" spans="1:8" s="28" customFormat="1" x14ac:dyDescent="0.25">
      <c r="A1838" s="27">
        <v>408</v>
      </c>
      <c r="B1838" s="26" t="s">
        <v>1596</v>
      </c>
      <c r="C1838" s="12" t="s">
        <v>1424</v>
      </c>
      <c r="D1838" s="12" t="s">
        <v>1181</v>
      </c>
      <c r="E1838" s="12" t="s">
        <v>290</v>
      </c>
      <c r="F1838" s="10"/>
      <c r="G1838" s="10"/>
      <c r="H1838" s="53">
        <f>H1839+H1842+H1845+H1851</f>
        <v>2020818</v>
      </c>
    </row>
    <row r="1839" spans="1:8" s="28" customFormat="1" ht="47.25" x14ac:dyDescent="0.25">
      <c r="A1839" s="27">
        <v>408002</v>
      </c>
      <c r="B1839" s="26" t="s">
        <v>1657</v>
      </c>
      <c r="C1839" s="12" t="s">
        <v>1424</v>
      </c>
      <c r="D1839" s="12" t="s">
        <v>1181</v>
      </c>
      <c r="E1839" s="12" t="s">
        <v>290</v>
      </c>
      <c r="F1839" s="12" t="s">
        <v>200</v>
      </c>
      <c r="G1839" s="12"/>
      <c r="H1839" s="53">
        <f>H1840</f>
        <v>308487</v>
      </c>
    </row>
    <row r="1840" spans="1:8" s="28" customFormat="1" x14ac:dyDescent="0.25">
      <c r="A1840" s="27">
        <v>40800204</v>
      </c>
      <c r="B1840" s="26" t="s">
        <v>638</v>
      </c>
      <c r="C1840" s="12" t="s">
        <v>1424</v>
      </c>
      <c r="D1840" s="12" t="s">
        <v>1181</v>
      </c>
      <c r="E1840" s="12" t="s">
        <v>290</v>
      </c>
      <c r="F1840" s="12" t="s">
        <v>797</v>
      </c>
      <c r="G1840" s="12"/>
      <c r="H1840" s="53">
        <f>H1841</f>
        <v>308487</v>
      </c>
    </row>
    <row r="1841" spans="1:8" s="3" customFormat="1" x14ac:dyDescent="0.25">
      <c r="A1841" s="27">
        <v>40800204012</v>
      </c>
      <c r="B1841" s="65" t="s">
        <v>1012</v>
      </c>
      <c r="C1841" s="12" t="s">
        <v>1424</v>
      </c>
      <c r="D1841" s="12" t="s">
        <v>1181</v>
      </c>
      <c r="E1841" s="12" t="s">
        <v>290</v>
      </c>
      <c r="F1841" s="12" t="s">
        <v>797</v>
      </c>
      <c r="G1841" s="12" t="s">
        <v>1224</v>
      </c>
      <c r="H1841" s="53">
        <v>308487</v>
      </c>
    </row>
    <row r="1842" spans="1:8" s="128" customFormat="1" x14ac:dyDescent="0.25">
      <c r="A1842" s="27">
        <v>408301</v>
      </c>
      <c r="B1842" s="26" t="s">
        <v>650</v>
      </c>
      <c r="C1842" s="12" t="s">
        <v>1424</v>
      </c>
      <c r="D1842" s="12" t="s">
        <v>1181</v>
      </c>
      <c r="E1842" s="12" t="s">
        <v>290</v>
      </c>
      <c r="F1842" s="12" t="s">
        <v>89</v>
      </c>
      <c r="G1842" s="12"/>
      <c r="H1842" s="53">
        <f>H1843</f>
        <v>2070</v>
      </c>
    </row>
    <row r="1843" spans="1:8" s="128" customFormat="1" ht="31.5" x14ac:dyDescent="0.25">
      <c r="A1843" s="27">
        <v>40830103</v>
      </c>
      <c r="B1843" s="26" t="s">
        <v>941</v>
      </c>
      <c r="C1843" s="12" t="s">
        <v>1424</v>
      </c>
      <c r="D1843" s="12" t="s">
        <v>1181</v>
      </c>
      <c r="E1843" s="12" t="s">
        <v>290</v>
      </c>
      <c r="F1843" s="12" t="s">
        <v>1201</v>
      </c>
      <c r="G1843" s="12"/>
      <c r="H1843" s="53">
        <f>H1844</f>
        <v>2070</v>
      </c>
    </row>
    <row r="1844" spans="1:8" s="128" customFormat="1" x14ac:dyDescent="0.25">
      <c r="A1844" s="27">
        <v>40830103006</v>
      </c>
      <c r="B1844" s="26" t="s">
        <v>84</v>
      </c>
      <c r="C1844" s="12" t="s">
        <v>1424</v>
      </c>
      <c r="D1844" s="12" t="s">
        <v>1181</v>
      </c>
      <c r="E1844" s="12" t="s">
        <v>290</v>
      </c>
      <c r="F1844" s="12" t="s">
        <v>1201</v>
      </c>
      <c r="G1844" s="12" t="s">
        <v>165</v>
      </c>
      <c r="H1844" s="53">
        <v>2070</v>
      </c>
    </row>
    <row r="1845" spans="1:8" s="128" customFormat="1" hidden="1" x14ac:dyDescent="0.25">
      <c r="A1845" s="27">
        <v>408303</v>
      </c>
      <c r="B1845" s="26" t="s">
        <v>201</v>
      </c>
      <c r="C1845" s="12" t="s">
        <v>1424</v>
      </c>
      <c r="D1845" s="12" t="s">
        <v>1181</v>
      </c>
      <c r="E1845" s="12" t="s">
        <v>290</v>
      </c>
      <c r="F1845" s="12" t="s">
        <v>1738</v>
      </c>
      <c r="G1845" s="12"/>
      <c r="H1845" s="53">
        <f>H1846</f>
        <v>0</v>
      </c>
    </row>
    <row r="1846" spans="1:8" s="128" customFormat="1" ht="18" hidden="1" customHeight="1" x14ac:dyDescent="0.25">
      <c r="A1846" s="27">
        <v>40830302</v>
      </c>
      <c r="B1846" s="26" t="s">
        <v>457</v>
      </c>
      <c r="C1846" s="12" t="s">
        <v>1424</v>
      </c>
      <c r="D1846" s="12" t="s">
        <v>1181</v>
      </c>
      <c r="E1846" s="12" t="s">
        <v>290</v>
      </c>
      <c r="F1846" s="12" t="s">
        <v>549</v>
      </c>
      <c r="G1846" s="12"/>
      <c r="H1846" s="53">
        <f>H1847+H1849</f>
        <v>0</v>
      </c>
    </row>
    <row r="1847" spans="1:8" s="128" customFormat="1" ht="47.25" hidden="1" x14ac:dyDescent="0.25">
      <c r="A1847" s="27">
        <v>4083030201</v>
      </c>
      <c r="B1847" s="26" t="s">
        <v>1050</v>
      </c>
      <c r="C1847" s="12" t="s">
        <v>1424</v>
      </c>
      <c r="D1847" s="12" t="s">
        <v>1181</v>
      </c>
      <c r="E1847" s="12" t="s">
        <v>290</v>
      </c>
      <c r="F1847" s="12" t="s">
        <v>475</v>
      </c>
      <c r="G1847" s="12"/>
      <c r="H1847" s="53">
        <f>H1848</f>
        <v>0</v>
      </c>
    </row>
    <row r="1848" spans="1:8" s="128" customFormat="1" hidden="1" x14ac:dyDescent="0.25">
      <c r="A1848" s="27">
        <v>4083030201006</v>
      </c>
      <c r="B1848" s="26" t="s">
        <v>84</v>
      </c>
      <c r="C1848" s="12" t="s">
        <v>1424</v>
      </c>
      <c r="D1848" s="12" t="s">
        <v>1181</v>
      </c>
      <c r="E1848" s="12" t="s">
        <v>290</v>
      </c>
      <c r="F1848" s="10" t="s">
        <v>475</v>
      </c>
      <c r="G1848" s="10" t="s">
        <v>165</v>
      </c>
      <c r="H1848" s="230">
        <f>1690261-1690261</f>
        <v>0</v>
      </c>
    </row>
    <row r="1849" spans="1:8" s="128" customFormat="1" ht="47.25" hidden="1" x14ac:dyDescent="0.25">
      <c r="A1849" s="27">
        <v>4083030202</v>
      </c>
      <c r="B1849" s="26" t="s">
        <v>876</v>
      </c>
      <c r="C1849" s="12" t="s">
        <v>1424</v>
      </c>
      <c r="D1849" s="12" t="s">
        <v>1181</v>
      </c>
      <c r="E1849" s="12" t="s">
        <v>290</v>
      </c>
      <c r="F1849" s="10" t="s">
        <v>649</v>
      </c>
      <c r="G1849" s="12"/>
      <c r="H1849" s="53">
        <f>H1850</f>
        <v>0</v>
      </c>
    </row>
    <row r="1850" spans="1:8" s="128" customFormat="1" hidden="1" x14ac:dyDescent="0.25">
      <c r="A1850" s="27">
        <v>4083030202013</v>
      </c>
      <c r="B1850" s="37" t="s">
        <v>1335</v>
      </c>
      <c r="C1850" s="12" t="s">
        <v>1424</v>
      </c>
      <c r="D1850" s="12" t="s">
        <v>1181</v>
      </c>
      <c r="E1850" s="12" t="s">
        <v>290</v>
      </c>
      <c r="F1850" s="10" t="s">
        <v>649</v>
      </c>
      <c r="G1850" s="12" t="s">
        <v>972</v>
      </c>
      <c r="H1850" s="230">
        <f>20000-20000</f>
        <v>0</v>
      </c>
    </row>
    <row r="1851" spans="1:8" s="159" customFormat="1" x14ac:dyDescent="0.25">
      <c r="A1851" s="188">
        <v>408317</v>
      </c>
      <c r="B1851" s="38" t="s">
        <v>579</v>
      </c>
      <c r="C1851" s="25" t="s">
        <v>1424</v>
      </c>
      <c r="D1851" s="25" t="s">
        <v>1181</v>
      </c>
      <c r="E1851" s="25" t="s">
        <v>290</v>
      </c>
      <c r="F1851" s="25" t="s">
        <v>342</v>
      </c>
      <c r="G1851" s="25"/>
      <c r="H1851" s="230">
        <f>H1852</f>
        <v>1710261</v>
      </c>
    </row>
    <row r="1852" spans="1:8" s="159" customFormat="1" ht="31.5" x14ac:dyDescent="0.25">
      <c r="A1852" s="188">
        <v>40831701</v>
      </c>
      <c r="B1852" s="38" t="s">
        <v>1516</v>
      </c>
      <c r="C1852" s="25" t="s">
        <v>1424</v>
      </c>
      <c r="D1852" s="25" t="s">
        <v>1181</v>
      </c>
      <c r="E1852" s="25" t="s">
        <v>290</v>
      </c>
      <c r="F1852" s="25" t="s">
        <v>343</v>
      </c>
      <c r="G1852" s="25"/>
      <c r="H1852" s="230">
        <f>H1853+H1855</f>
        <v>1710261</v>
      </c>
    </row>
    <row r="1853" spans="1:8" s="159" customFormat="1" ht="47.25" x14ac:dyDescent="0.25">
      <c r="A1853" s="188">
        <v>4083170102</v>
      </c>
      <c r="B1853" s="38" t="s">
        <v>1050</v>
      </c>
      <c r="C1853" s="25" t="s">
        <v>1424</v>
      </c>
      <c r="D1853" s="25" t="s">
        <v>1181</v>
      </c>
      <c r="E1853" s="25" t="s">
        <v>290</v>
      </c>
      <c r="F1853" s="25" t="s">
        <v>578</v>
      </c>
      <c r="G1853" s="25"/>
      <c r="H1853" s="230">
        <f>H1854</f>
        <v>1690261</v>
      </c>
    </row>
    <row r="1854" spans="1:8" s="159" customFormat="1" x14ac:dyDescent="0.25">
      <c r="A1854" s="188">
        <v>4083170102006</v>
      </c>
      <c r="B1854" s="38" t="s">
        <v>84</v>
      </c>
      <c r="C1854" s="25" t="s">
        <v>1424</v>
      </c>
      <c r="D1854" s="25" t="s">
        <v>1181</v>
      </c>
      <c r="E1854" s="25" t="s">
        <v>290</v>
      </c>
      <c r="F1854" s="25" t="s">
        <v>578</v>
      </c>
      <c r="G1854" s="11" t="s">
        <v>165</v>
      </c>
      <c r="H1854" s="230">
        <v>1690261</v>
      </c>
    </row>
    <row r="1855" spans="1:8" s="159" customFormat="1" ht="47.25" x14ac:dyDescent="0.25">
      <c r="A1855" s="188">
        <v>4083170103</v>
      </c>
      <c r="B1855" s="38" t="s">
        <v>876</v>
      </c>
      <c r="C1855" s="25" t="s">
        <v>1424</v>
      </c>
      <c r="D1855" s="25" t="s">
        <v>1181</v>
      </c>
      <c r="E1855" s="25" t="s">
        <v>290</v>
      </c>
      <c r="F1855" s="25" t="s">
        <v>1455</v>
      </c>
      <c r="G1855" s="25"/>
      <c r="H1855" s="230">
        <f>H1856</f>
        <v>20000</v>
      </c>
    </row>
    <row r="1856" spans="1:8" s="159" customFormat="1" x14ac:dyDescent="0.25">
      <c r="A1856" s="188">
        <v>4083170103013</v>
      </c>
      <c r="B1856" s="161" t="s">
        <v>1335</v>
      </c>
      <c r="C1856" s="25" t="s">
        <v>1424</v>
      </c>
      <c r="D1856" s="25" t="s">
        <v>1181</v>
      </c>
      <c r="E1856" s="25" t="s">
        <v>290</v>
      </c>
      <c r="F1856" s="25" t="s">
        <v>1455</v>
      </c>
      <c r="G1856" s="25" t="s">
        <v>972</v>
      </c>
      <c r="H1856" s="230">
        <v>20000</v>
      </c>
    </row>
    <row r="1857" spans="1:8" s="28" customFormat="1" x14ac:dyDescent="0.25">
      <c r="A1857" s="29">
        <v>410</v>
      </c>
      <c r="B1857" s="26" t="s">
        <v>626</v>
      </c>
      <c r="C1857" s="12" t="s">
        <v>1424</v>
      </c>
      <c r="D1857" s="12" t="s">
        <v>1181</v>
      </c>
      <c r="E1857" s="12" t="s">
        <v>768</v>
      </c>
      <c r="F1857" s="10"/>
      <c r="G1857" s="10"/>
      <c r="H1857" s="53">
        <f>H1858</f>
        <v>26000</v>
      </c>
    </row>
    <row r="1858" spans="1:8" s="28" customFormat="1" x14ac:dyDescent="0.25">
      <c r="A1858" s="27">
        <v>410330</v>
      </c>
      <c r="B1858" s="26" t="s">
        <v>764</v>
      </c>
      <c r="C1858" s="12" t="s">
        <v>1424</v>
      </c>
      <c r="D1858" s="12" t="s">
        <v>1181</v>
      </c>
      <c r="E1858" s="12" t="s">
        <v>768</v>
      </c>
      <c r="F1858" s="10" t="s">
        <v>1010</v>
      </c>
      <c r="G1858" s="10"/>
      <c r="H1858" s="53">
        <f>H1859</f>
        <v>26000</v>
      </c>
    </row>
    <row r="1859" spans="1:8" s="28" customFormat="1" x14ac:dyDescent="0.25">
      <c r="A1859" s="27">
        <v>41033082</v>
      </c>
      <c r="B1859" s="26" t="s">
        <v>280</v>
      </c>
      <c r="C1859" s="12" t="s">
        <v>1424</v>
      </c>
      <c r="D1859" s="12" t="s">
        <v>1181</v>
      </c>
      <c r="E1859" s="12" t="s">
        <v>768</v>
      </c>
      <c r="F1859" s="10" t="s">
        <v>749</v>
      </c>
      <c r="G1859" s="10"/>
      <c r="H1859" s="53">
        <f>H1860</f>
        <v>26000</v>
      </c>
    </row>
    <row r="1860" spans="1:8" s="28" customFormat="1" x14ac:dyDescent="0.25">
      <c r="A1860" s="27">
        <v>41033082012</v>
      </c>
      <c r="B1860" s="26" t="s">
        <v>1012</v>
      </c>
      <c r="C1860" s="12" t="s">
        <v>1424</v>
      </c>
      <c r="D1860" s="12" t="s">
        <v>1181</v>
      </c>
      <c r="E1860" s="12" t="s">
        <v>768</v>
      </c>
      <c r="F1860" s="10" t="s">
        <v>749</v>
      </c>
      <c r="G1860" s="12" t="s">
        <v>1224</v>
      </c>
      <c r="H1860" s="53">
        <v>26000</v>
      </c>
    </row>
    <row r="1861" spans="1:8" s="28" customFormat="1" x14ac:dyDescent="0.25">
      <c r="A1861" s="29">
        <v>412</v>
      </c>
      <c r="B1861" s="26" t="s">
        <v>1253</v>
      </c>
      <c r="C1861" s="12" t="s">
        <v>1424</v>
      </c>
      <c r="D1861" s="12" t="s">
        <v>1181</v>
      </c>
      <c r="E1861" s="12">
        <v>12</v>
      </c>
      <c r="F1861" s="10"/>
      <c r="G1861" s="12"/>
      <c r="H1861" s="53">
        <f>H1862+H1865</f>
        <v>328616</v>
      </c>
    </row>
    <row r="1862" spans="1:8" s="28" customFormat="1" ht="47.25" x14ac:dyDescent="0.25">
      <c r="A1862" s="27">
        <v>412002</v>
      </c>
      <c r="B1862" s="26" t="s">
        <v>1657</v>
      </c>
      <c r="C1862" s="12" t="s">
        <v>1424</v>
      </c>
      <c r="D1862" s="12" t="s">
        <v>1181</v>
      </c>
      <c r="E1862" s="12">
        <v>12</v>
      </c>
      <c r="F1862" s="12" t="s">
        <v>200</v>
      </c>
      <c r="G1862" s="12"/>
      <c r="H1862" s="53">
        <f>H1863</f>
        <v>327366</v>
      </c>
    </row>
    <row r="1863" spans="1:8" s="28" customFormat="1" x14ac:dyDescent="0.25">
      <c r="A1863" s="27">
        <v>41200299</v>
      </c>
      <c r="B1863" s="65" t="s">
        <v>624</v>
      </c>
      <c r="C1863" s="12" t="s">
        <v>1424</v>
      </c>
      <c r="D1863" s="12" t="s">
        <v>1181</v>
      </c>
      <c r="E1863" s="12">
        <v>12</v>
      </c>
      <c r="F1863" s="12" t="s">
        <v>617</v>
      </c>
      <c r="G1863" s="12"/>
      <c r="H1863" s="53">
        <f>H1864</f>
        <v>327366</v>
      </c>
    </row>
    <row r="1864" spans="1:8" s="3" customFormat="1" x14ac:dyDescent="0.25">
      <c r="A1864" s="27">
        <v>41200299001</v>
      </c>
      <c r="B1864" s="65" t="s">
        <v>1435</v>
      </c>
      <c r="C1864" s="12" t="s">
        <v>1424</v>
      </c>
      <c r="D1864" s="12" t="s">
        <v>1181</v>
      </c>
      <c r="E1864" s="12">
        <v>12</v>
      </c>
      <c r="F1864" s="12" t="s">
        <v>617</v>
      </c>
      <c r="G1864" s="12" t="s">
        <v>1394</v>
      </c>
      <c r="H1864" s="53">
        <v>327366</v>
      </c>
    </row>
    <row r="1865" spans="1:8" s="28" customFormat="1" ht="18.75" customHeight="1" x14ac:dyDescent="0.25">
      <c r="A1865" s="27">
        <v>412522</v>
      </c>
      <c r="B1865" s="26" t="s">
        <v>153</v>
      </c>
      <c r="C1865" s="12" t="s">
        <v>1424</v>
      </c>
      <c r="D1865" s="6" t="s">
        <v>1181</v>
      </c>
      <c r="E1865" s="12">
        <v>12</v>
      </c>
      <c r="F1865" s="10" t="s">
        <v>611</v>
      </c>
      <c r="G1865" s="6"/>
      <c r="H1865" s="53">
        <f>H1866</f>
        <v>1250</v>
      </c>
    </row>
    <row r="1866" spans="1:8" s="28" customFormat="1" ht="49.5" customHeight="1" x14ac:dyDescent="0.25">
      <c r="A1866" s="27">
        <v>41252210</v>
      </c>
      <c r="B1866" s="26" t="s">
        <v>285</v>
      </c>
      <c r="C1866" s="12" t="s">
        <v>1424</v>
      </c>
      <c r="D1866" s="6" t="s">
        <v>1181</v>
      </c>
      <c r="E1866" s="12">
        <v>12</v>
      </c>
      <c r="F1866" s="10" t="s">
        <v>1483</v>
      </c>
      <c r="G1866" s="6"/>
      <c r="H1866" s="53">
        <f>H1867+H1869</f>
        <v>1250</v>
      </c>
    </row>
    <row r="1867" spans="1:8" s="28" customFormat="1" ht="33.75" customHeight="1" x14ac:dyDescent="0.25">
      <c r="A1867" s="27">
        <v>4125221001</v>
      </c>
      <c r="B1867" s="26" t="s">
        <v>370</v>
      </c>
      <c r="C1867" s="12" t="s">
        <v>1424</v>
      </c>
      <c r="D1867" s="6" t="s">
        <v>1181</v>
      </c>
      <c r="E1867" s="12">
        <v>12</v>
      </c>
      <c r="F1867" s="10" t="s">
        <v>1484</v>
      </c>
      <c r="G1867" s="6"/>
      <c r="H1867" s="53">
        <f>H1868</f>
        <v>1000</v>
      </c>
    </row>
    <row r="1868" spans="1:8" s="28" customFormat="1" ht="18.75" customHeight="1" x14ac:dyDescent="0.25">
      <c r="A1868" s="27">
        <v>4125221001038</v>
      </c>
      <c r="B1868" s="26" t="s">
        <v>1235</v>
      </c>
      <c r="C1868" s="12" t="s">
        <v>1424</v>
      </c>
      <c r="D1868" s="6" t="s">
        <v>1181</v>
      </c>
      <c r="E1868" s="12">
        <v>12</v>
      </c>
      <c r="F1868" s="10" t="s">
        <v>1484</v>
      </c>
      <c r="G1868" s="231" t="s">
        <v>1456</v>
      </c>
      <c r="H1868" s="53">
        <v>1000</v>
      </c>
    </row>
    <row r="1869" spans="1:8" s="28" customFormat="1" ht="48.75" customHeight="1" x14ac:dyDescent="0.25">
      <c r="A1869" s="27">
        <v>4125221003</v>
      </c>
      <c r="B1869" s="26" t="s">
        <v>741</v>
      </c>
      <c r="C1869" s="12" t="s">
        <v>1424</v>
      </c>
      <c r="D1869" s="6" t="s">
        <v>1181</v>
      </c>
      <c r="E1869" s="12">
        <v>12</v>
      </c>
      <c r="F1869" s="10" t="s">
        <v>777</v>
      </c>
      <c r="G1869" s="6"/>
      <c r="H1869" s="53">
        <f>H1870</f>
        <v>250</v>
      </c>
    </row>
    <row r="1870" spans="1:8" s="28" customFormat="1" ht="24" customHeight="1" x14ac:dyDescent="0.25">
      <c r="A1870" s="27">
        <v>4125221003038</v>
      </c>
      <c r="B1870" s="26" t="s">
        <v>1235</v>
      </c>
      <c r="C1870" s="12" t="s">
        <v>1424</v>
      </c>
      <c r="D1870" s="6" t="s">
        <v>1181</v>
      </c>
      <c r="E1870" s="12">
        <v>12</v>
      </c>
      <c r="F1870" s="10" t="s">
        <v>777</v>
      </c>
      <c r="G1870" s="231" t="s">
        <v>1456</v>
      </c>
      <c r="H1870" s="53">
        <v>250</v>
      </c>
    </row>
    <row r="1871" spans="1:8" s="128" customFormat="1" x14ac:dyDescent="0.25">
      <c r="A1871" s="29">
        <v>7</v>
      </c>
      <c r="B1871" s="35" t="s">
        <v>174</v>
      </c>
      <c r="C1871" s="12" t="s">
        <v>1424</v>
      </c>
      <c r="D1871" s="12" t="s">
        <v>205</v>
      </c>
      <c r="E1871" s="10"/>
      <c r="F1871" s="10"/>
      <c r="G1871" s="10"/>
      <c r="H1871" s="53">
        <f>H1872</f>
        <v>245</v>
      </c>
    </row>
    <row r="1872" spans="1:8" s="128" customFormat="1" x14ac:dyDescent="0.25">
      <c r="A1872" s="29">
        <v>707</v>
      </c>
      <c r="B1872" s="26" t="s">
        <v>699</v>
      </c>
      <c r="C1872" s="12" t="s">
        <v>1424</v>
      </c>
      <c r="D1872" s="12" t="s">
        <v>205</v>
      </c>
      <c r="E1872" s="12" t="s">
        <v>205</v>
      </c>
      <c r="F1872" s="10"/>
      <c r="G1872" s="10"/>
      <c r="H1872" s="53">
        <f>H1873</f>
        <v>245</v>
      </c>
    </row>
    <row r="1873" spans="1:10" s="28" customFormat="1" ht="21" customHeight="1" x14ac:dyDescent="0.25">
      <c r="A1873" s="27">
        <v>707432</v>
      </c>
      <c r="B1873" s="26" t="s">
        <v>1482</v>
      </c>
      <c r="C1873" s="12" t="s">
        <v>1424</v>
      </c>
      <c r="D1873" s="12" t="s">
        <v>205</v>
      </c>
      <c r="E1873" s="12" t="s">
        <v>205</v>
      </c>
      <c r="F1873" s="10" t="s">
        <v>965</v>
      </c>
      <c r="G1873" s="12"/>
      <c r="H1873" s="53">
        <f>H1874</f>
        <v>245</v>
      </c>
    </row>
    <row r="1874" spans="1:10" s="28" customFormat="1" x14ac:dyDescent="0.25">
      <c r="A1874" s="27">
        <v>70743202</v>
      </c>
      <c r="B1874" s="26" t="s">
        <v>541</v>
      </c>
      <c r="C1874" s="12" t="s">
        <v>1424</v>
      </c>
      <c r="D1874" s="12" t="s">
        <v>205</v>
      </c>
      <c r="E1874" s="12" t="s">
        <v>205</v>
      </c>
      <c r="F1874" s="10" t="s">
        <v>262</v>
      </c>
      <c r="G1874" s="12"/>
      <c r="H1874" s="53">
        <f>H1875</f>
        <v>245</v>
      </c>
    </row>
    <row r="1875" spans="1:10" s="28" customFormat="1" x14ac:dyDescent="0.25">
      <c r="A1875" s="27">
        <v>70743202001</v>
      </c>
      <c r="B1875" s="26" t="s">
        <v>1435</v>
      </c>
      <c r="C1875" s="12" t="s">
        <v>1424</v>
      </c>
      <c r="D1875" s="12" t="s">
        <v>205</v>
      </c>
      <c r="E1875" s="12" t="s">
        <v>205</v>
      </c>
      <c r="F1875" s="10" t="s">
        <v>262</v>
      </c>
      <c r="G1875" s="12" t="s">
        <v>1394</v>
      </c>
      <c r="H1875" s="53">
        <v>245</v>
      </c>
    </row>
    <row r="1876" spans="1:10" s="28" customFormat="1" x14ac:dyDescent="0.25">
      <c r="A1876" s="27">
        <v>10</v>
      </c>
      <c r="B1876" s="35" t="s">
        <v>1745</v>
      </c>
      <c r="C1876" s="12" t="s">
        <v>1424</v>
      </c>
      <c r="D1876" s="6">
        <v>10</v>
      </c>
      <c r="E1876" s="12"/>
      <c r="F1876" s="12"/>
      <c r="G1876" s="12"/>
      <c r="H1876" s="53">
        <f>H1877</f>
        <v>2189774</v>
      </c>
    </row>
    <row r="1877" spans="1:10" s="28" customFormat="1" x14ac:dyDescent="0.25">
      <c r="A1877" s="27">
        <v>1003</v>
      </c>
      <c r="B1877" s="26" t="s">
        <v>1322</v>
      </c>
      <c r="C1877" s="12" t="s">
        <v>1424</v>
      </c>
      <c r="D1877" s="6">
        <v>10</v>
      </c>
      <c r="E1877" s="6" t="s">
        <v>193</v>
      </c>
      <c r="F1877" s="19"/>
      <c r="G1877" s="12"/>
      <c r="H1877" s="53">
        <f>H1878</f>
        <v>2189774</v>
      </c>
    </row>
    <row r="1878" spans="1:10" s="28" customFormat="1" x14ac:dyDescent="0.25">
      <c r="A1878" s="27">
        <v>1003505</v>
      </c>
      <c r="B1878" s="26" t="s">
        <v>278</v>
      </c>
      <c r="C1878" s="12" t="s">
        <v>1424</v>
      </c>
      <c r="D1878" s="6">
        <v>10</v>
      </c>
      <c r="E1878" s="6" t="s">
        <v>193</v>
      </c>
      <c r="F1878" s="19" t="s">
        <v>1097</v>
      </c>
      <c r="G1878" s="12"/>
      <c r="H1878" s="53">
        <f>H1879+H1884</f>
        <v>2189774</v>
      </c>
    </row>
    <row r="1879" spans="1:10" s="28" customFormat="1" x14ac:dyDescent="0.25">
      <c r="A1879" s="27">
        <v>100350533</v>
      </c>
      <c r="B1879" s="26" t="s">
        <v>1323</v>
      </c>
      <c r="C1879" s="12" t="s">
        <v>1424</v>
      </c>
      <c r="D1879" s="6">
        <v>10</v>
      </c>
      <c r="E1879" s="6" t="s">
        <v>193</v>
      </c>
      <c r="F1879" s="19" t="s">
        <v>1339</v>
      </c>
      <c r="G1879" s="12"/>
      <c r="H1879" s="53">
        <f>H1880+H1882</f>
        <v>1951483</v>
      </c>
    </row>
    <row r="1880" spans="1:10" s="28" customFormat="1" ht="141.75" x14ac:dyDescent="0.25">
      <c r="A1880" s="27">
        <v>10035053320</v>
      </c>
      <c r="B1880" s="26" t="s">
        <v>1217</v>
      </c>
      <c r="C1880" s="12" t="s">
        <v>1424</v>
      </c>
      <c r="D1880" s="6">
        <v>10</v>
      </c>
      <c r="E1880" s="6" t="s">
        <v>193</v>
      </c>
      <c r="F1880" s="19" t="s">
        <v>1336</v>
      </c>
      <c r="G1880" s="12"/>
      <c r="H1880" s="53">
        <f>H1881</f>
        <v>1194483</v>
      </c>
    </row>
    <row r="1881" spans="1:10" s="28" customFormat="1" x14ac:dyDescent="0.25">
      <c r="A1881" s="27">
        <v>10035053320005</v>
      </c>
      <c r="B1881" s="26" t="s">
        <v>946</v>
      </c>
      <c r="C1881" s="12" t="s">
        <v>1424</v>
      </c>
      <c r="D1881" s="6">
        <v>10</v>
      </c>
      <c r="E1881" s="6" t="s">
        <v>193</v>
      </c>
      <c r="F1881" s="19" t="s">
        <v>1336</v>
      </c>
      <c r="G1881" s="12" t="s">
        <v>1326</v>
      </c>
      <c r="H1881" s="53">
        <v>1194483</v>
      </c>
    </row>
    <row r="1882" spans="1:10" s="28" customFormat="1" ht="94.5" x14ac:dyDescent="0.25">
      <c r="A1882" s="27">
        <v>10035053321</v>
      </c>
      <c r="B1882" s="26" t="s">
        <v>1430</v>
      </c>
      <c r="C1882" s="12" t="s">
        <v>1424</v>
      </c>
      <c r="D1882" s="6">
        <v>10</v>
      </c>
      <c r="E1882" s="6" t="s">
        <v>193</v>
      </c>
      <c r="F1882" s="19" t="s">
        <v>1539</v>
      </c>
      <c r="G1882" s="12"/>
      <c r="H1882" s="53">
        <f>H1883</f>
        <v>757000</v>
      </c>
    </row>
    <row r="1883" spans="1:10" s="28" customFormat="1" x14ac:dyDescent="0.25">
      <c r="A1883" s="27">
        <v>10035053321005</v>
      </c>
      <c r="B1883" s="26" t="s">
        <v>946</v>
      </c>
      <c r="C1883" s="12" t="s">
        <v>1424</v>
      </c>
      <c r="D1883" s="6">
        <v>10</v>
      </c>
      <c r="E1883" s="6" t="s">
        <v>193</v>
      </c>
      <c r="F1883" s="19" t="s">
        <v>1539</v>
      </c>
      <c r="G1883" s="12" t="s">
        <v>1326</v>
      </c>
      <c r="H1883" s="53">
        <v>757000</v>
      </c>
    </row>
    <row r="1884" spans="1:10" s="28" customFormat="1" ht="47.25" x14ac:dyDescent="0.25">
      <c r="A1884" s="27">
        <v>100350537</v>
      </c>
      <c r="B1884" s="26" t="s">
        <v>669</v>
      </c>
      <c r="C1884" s="12" t="s">
        <v>1424</v>
      </c>
      <c r="D1884" s="6">
        <v>10</v>
      </c>
      <c r="E1884" s="6" t="s">
        <v>193</v>
      </c>
      <c r="F1884" s="19" t="s">
        <v>1540</v>
      </c>
      <c r="G1884" s="12"/>
      <c r="H1884" s="53">
        <f>H1885</f>
        <v>238291</v>
      </c>
    </row>
    <row r="1885" spans="1:10" s="28" customFormat="1" x14ac:dyDescent="0.25">
      <c r="A1885" s="27">
        <v>100350537005</v>
      </c>
      <c r="B1885" s="26" t="s">
        <v>946</v>
      </c>
      <c r="C1885" s="12" t="s">
        <v>1424</v>
      </c>
      <c r="D1885" s="6">
        <v>10</v>
      </c>
      <c r="E1885" s="6" t="s">
        <v>193</v>
      </c>
      <c r="F1885" s="19" t="s">
        <v>1540</v>
      </c>
      <c r="G1885" s="12" t="s">
        <v>1326</v>
      </c>
      <c r="H1885" s="53">
        <v>238291</v>
      </c>
    </row>
    <row r="1886" spans="1:10" s="28" customFormat="1" x14ac:dyDescent="0.25">
      <c r="A1886" s="27">
        <v>11</v>
      </c>
      <c r="B1886" s="35" t="s">
        <v>219</v>
      </c>
      <c r="C1886" s="12" t="s">
        <v>1424</v>
      </c>
      <c r="D1886" s="12">
        <v>11</v>
      </c>
      <c r="E1886" s="12"/>
      <c r="F1886" s="10"/>
      <c r="G1886" s="10"/>
      <c r="H1886" s="53">
        <f>H1887</f>
        <v>200000</v>
      </c>
    </row>
    <row r="1887" spans="1:10" s="46" customFormat="1" x14ac:dyDescent="0.25">
      <c r="A1887" s="27">
        <v>1104</v>
      </c>
      <c r="B1887" s="26" t="s">
        <v>464</v>
      </c>
      <c r="C1887" s="12" t="s">
        <v>1424</v>
      </c>
      <c r="D1887" s="6">
        <v>11</v>
      </c>
      <c r="E1887" s="6" t="s">
        <v>1181</v>
      </c>
      <c r="F1887" s="10"/>
      <c r="G1887" s="10"/>
      <c r="H1887" s="53">
        <f>H1888</f>
        <v>200000</v>
      </c>
      <c r="I1887" s="45"/>
      <c r="J1887" s="47"/>
    </row>
    <row r="1888" spans="1:10" s="46" customFormat="1" x14ac:dyDescent="0.25">
      <c r="A1888" s="27">
        <v>1104520</v>
      </c>
      <c r="B1888" s="26" t="s">
        <v>279</v>
      </c>
      <c r="C1888" s="12" t="s">
        <v>1424</v>
      </c>
      <c r="D1888" s="6">
        <v>11</v>
      </c>
      <c r="E1888" s="6" t="s">
        <v>1181</v>
      </c>
      <c r="F1888" s="19" t="s">
        <v>627</v>
      </c>
      <c r="G1888" s="10"/>
      <c r="H1888" s="53">
        <f>H1889</f>
        <v>200000</v>
      </c>
      <c r="I1888" s="45"/>
      <c r="J1888" s="47"/>
    </row>
    <row r="1889" spans="1:10" s="46" customFormat="1" ht="47.25" x14ac:dyDescent="0.25">
      <c r="A1889" s="27">
        <v>110452015</v>
      </c>
      <c r="B1889" s="26" t="s">
        <v>1702</v>
      </c>
      <c r="C1889" s="12" t="s">
        <v>1424</v>
      </c>
      <c r="D1889" s="6">
        <v>11</v>
      </c>
      <c r="E1889" s="6" t="s">
        <v>1181</v>
      </c>
      <c r="F1889" s="19" t="s">
        <v>1541</v>
      </c>
      <c r="G1889" s="10"/>
      <c r="H1889" s="53">
        <f>H1890</f>
        <v>200000</v>
      </c>
      <c r="I1889" s="45"/>
      <c r="J1889" s="47"/>
    </row>
    <row r="1890" spans="1:10" s="46" customFormat="1" x14ac:dyDescent="0.25">
      <c r="A1890" s="27">
        <v>110452015017</v>
      </c>
      <c r="B1890" s="76" t="s">
        <v>464</v>
      </c>
      <c r="C1890" s="12" t="s">
        <v>1424</v>
      </c>
      <c r="D1890" s="6">
        <v>11</v>
      </c>
      <c r="E1890" s="6" t="s">
        <v>1181</v>
      </c>
      <c r="F1890" s="19" t="s">
        <v>1541</v>
      </c>
      <c r="G1890" s="12" t="s">
        <v>1040</v>
      </c>
      <c r="H1890" s="53">
        <v>200000</v>
      </c>
      <c r="I1890" s="45"/>
      <c r="J1890" s="47"/>
    </row>
    <row r="1891" spans="1:10" s="28" customFormat="1" x14ac:dyDescent="0.25">
      <c r="A1891" s="29"/>
      <c r="B1891" s="26"/>
      <c r="C1891" s="12"/>
      <c r="D1891" s="12"/>
      <c r="E1891" s="12"/>
      <c r="F1891" s="10"/>
      <c r="G1891" s="12"/>
      <c r="H1891" s="53"/>
    </row>
    <row r="1892" spans="1:10" s="3" customFormat="1" x14ac:dyDescent="0.25">
      <c r="A1892" s="40">
        <v>0</v>
      </c>
      <c r="B1892" s="30" t="s">
        <v>1290</v>
      </c>
      <c r="C1892" s="42" t="s">
        <v>897</v>
      </c>
      <c r="D1892" s="42"/>
      <c r="E1892" s="42"/>
      <c r="F1892" s="31"/>
      <c r="G1892" s="42"/>
      <c r="H1892" s="187">
        <f>H1893+H1898+H1903+H1908</f>
        <v>116246</v>
      </c>
    </row>
    <row r="1893" spans="1:10" s="28" customFormat="1" x14ac:dyDescent="0.25">
      <c r="A1893" s="29">
        <v>1</v>
      </c>
      <c r="B1893" s="35" t="s">
        <v>482</v>
      </c>
      <c r="C1893" s="12" t="s">
        <v>897</v>
      </c>
      <c r="D1893" s="12" t="s">
        <v>566</v>
      </c>
      <c r="E1893" s="10"/>
      <c r="F1893" s="10"/>
      <c r="G1893" s="10"/>
      <c r="H1893" s="53">
        <f>H1894</f>
        <v>116048</v>
      </c>
    </row>
    <row r="1894" spans="1:10" s="28" customFormat="1" ht="33" customHeight="1" x14ac:dyDescent="0.25">
      <c r="A1894" s="29">
        <v>106</v>
      </c>
      <c r="B1894" s="26" t="s">
        <v>1042</v>
      </c>
      <c r="C1894" s="12" t="s">
        <v>897</v>
      </c>
      <c r="D1894" s="12" t="s">
        <v>566</v>
      </c>
      <c r="E1894" s="12" t="s">
        <v>1746</v>
      </c>
      <c r="F1894" s="10"/>
      <c r="G1894" s="10"/>
      <c r="H1894" s="53">
        <f>H1895</f>
        <v>116048</v>
      </c>
    </row>
    <row r="1895" spans="1:10" s="28" customFormat="1" ht="47.25" x14ac:dyDescent="0.25">
      <c r="A1895" s="27">
        <v>106002</v>
      </c>
      <c r="B1895" s="26" t="s">
        <v>1657</v>
      </c>
      <c r="C1895" s="12" t="s">
        <v>897</v>
      </c>
      <c r="D1895" s="12" t="s">
        <v>566</v>
      </c>
      <c r="E1895" s="12" t="s">
        <v>1746</v>
      </c>
      <c r="F1895" s="12" t="s">
        <v>200</v>
      </c>
      <c r="G1895" s="12"/>
      <c r="H1895" s="53">
        <f>H1896</f>
        <v>116048</v>
      </c>
    </row>
    <row r="1896" spans="1:10" s="28" customFormat="1" x14ac:dyDescent="0.25">
      <c r="A1896" s="27">
        <v>10600204</v>
      </c>
      <c r="B1896" s="26" t="s">
        <v>638</v>
      </c>
      <c r="C1896" s="12" t="s">
        <v>897</v>
      </c>
      <c r="D1896" s="12" t="s">
        <v>566</v>
      </c>
      <c r="E1896" s="12" t="s">
        <v>1746</v>
      </c>
      <c r="F1896" s="12" t="s">
        <v>797</v>
      </c>
      <c r="G1896" s="12"/>
      <c r="H1896" s="53">
        <f>H1897</f>
        <v>116048</v>
      </c>
    </row>
    <row r="1897" spans="1:10" s="3" customFormat="1" x14ac:dyDescent="0.25">
      <c r="A1897" s="27">
        <v>10600204012</v>
      </c>
      <c r="B1897" s="65" t="s">
        <v>1012</v>
      </c>
      <c r="C1897" s="12" t="s">
        <v>897</v>
      </c>
      <c r="D1897" s="12" t="s">
        <v>566</v>
      </c>
      <c r="E1897" s="12" t="s">
        <v>1746</v>
      </c>
      <c r="F1897" s="12" t="s">
        <v>797</v>
      </c>
      <c r="G1897" s="12" t="s">
        <v>1224</v>
      </c>
      <c r="H1897" s="53">
        <v>116048</v>
      </c>
    </row>
    <row r="1898" spans="1:10" s="28" customFormat="1" ht="21" customHeight="1" x14ac:dyDescent="0.25">
      <c r="A1898" s="27">
        <v>2</v>
      </c>
      <c r="B1898" s="35" t="s">
        <v>271</v>
      </c>
      <c r="C1898" s="12" t="s">
        <v>897</v>
      </c>
      <c r="D1898" s="12" t="s">
        <v>567</v>
      </c>
      <c r="E1898" s="31"/>
      <c r="F1898" s="31"/>
      <c r="G1898" s="31"/>
      <c r="H1898" s="53">
        <f>H1899</f>
        <v>114</v>
      </c>
    </row>
    <row r="1899" spans="1:10" s="28" customFormat="1" x14ac:dyDescent="0.25">
      <c r="A1899" s="27">
        <v>204</v>
      </c>
      <c r="B1899" s="26" t="s">
        <v>1054</v>
      </c>
      <c r="C1899" s="12" t="s">
        <v>897</v>
      </c>
      <c r="D1899" s="12" t="s">
        <v>567</v>
      </c>
      <c r="E1899" s="12" t="s">
        <v>1181</v>
      </c>
      <c r="F1899" s="31"/>
      <c r="G1899" s="31"/>
      <c r="H1899" s="53">
        <f>H1900</f>
        <v>114</v>
      </c>
    </row>
    <row r="1900" spans="1:10" s="28" customFormat="1" ht="31.5" x14ac:dyDescent="0.25">
      <c r="A1900" s="27">
        <v>204209</v>
      </c>
      <c r="B1900" s="26" t="s">
        <v>141</v>
      </c>
      <c r="C1900" s="12" t="s">
        <v>897</v>
      </c>
      <c r="D1900" s="12" t="s">
        <v>567</v>
      </c>
      <c r="E1900" s="12" t="s">
        <v>1181</v>
      </c>
      <c r="F1900" s="10" t="s">
        <v>270</v>
      </c>
      <c r="G1900" s="31"/>
      <c r="H1900" s="53">
        <f>H1901</f>
        <v>114</v>
      </c>
    </row>
    <row r="1901" spans="1:10" s="28" customFormat="1" ht="31.5" x14ac:dyDescent="0.25">
      <c r="A1901" s="27">
        <v>20420901</v>
      </c>
      <c r="B1901" s="26" t="s">
        <v>1408</v>
      </c>
      <c r="C1901" s="12" t="s">
        <v>897</v>
      </c>
      <c r="D1901" s="12" t="s">
        <v>567</v>
      </c>
      <c r="E1901" s="12" t="s">
        <v>1181</v>
      </c>
      <c r="F1901" s="10" t="s">
        <v>956</v>
      </c>
      <c r="G1901" s="31"/>
      <c r="H1901" s="53">
        <f>H1902</f>
        <v>114</v>
      </c>
    </row>
    <row r="1902" spans="1:10" s="28" customFormat="1" x14ac:dyDescent="0.25">
      <c r="A1902" s="27">
        <v>20420901012</v>
      </c>
      <c r="B1902" s="65" t="s">
        <v>1012</v>
      </c>
      <c r="C1902" s="12" t="s">
        <v>897</v>
      </c>
      <c r="D1902" s="12" t="s">
        <v>567</v>
      </c>
      <c r="E1902" s="12" t="s">
        <v>1181</v>
      </c>
      <c r="F1902" s="10" t="s">
        <v>956</v>
      </c>
      <c r="G1902" s="12" t="s">
        <v>1224</v>
      </c>
      <c r="H1902" s="53">
        <v>114</v>
      </c>
    </row>
    <row r="1903" spans="1:10" s="28" customFormat="1" ht="21" customHeight="1" x14ac:dyDescent="0.25">
      <c r="A1903" s="27">
        <v>3</v>
      </c>
      <c r="B1903" s="35" t="s">
        <v>1049</v>
      </c>
      <c r="C1903" s="12" t="s">
        <v>897</v>
      </c>
      <c r="D1903" s="12" t="s">
        <v>193</v>
      </c>
      <c r="E1903" s="12"/>
      <c r="F1903" s="10"/>
      <c r="G1903" s="12"/>
      <c r="H1903" s="53">
        <f>H1904</f>
        <v>41</v>
      </c>
    </row>
    <row r="1904" spans="1:10" s="28" customFormat="1" ht="47.25" x14ac:dyDescent="0.25">
      <c r="A1904" s="27">
        <v>309</v>
      </c>
      <c r="B1904" s="26" t="s">
        <v>133</v>
      </c>
      <c r="C1904" s="12" t="s">
        <v>897</v>
      </c>
      <c r="D1904" s="12" t="s">
        <v>193</v>
      </c>
      <c r="E1904" s="12" t="s">
        <v>406</v>
      </c>
      <c r="F1904" s="10"/>
      <c r="G1904" s="12"/>
      <c r="H1904" s="53">
        <f>H1905</f>
        <v>41</v>
      </c>
    </row>
    <row r="1905" spans="1:8" s="28" customFormat="1" x14ac:dyDescent="0.25">
      <c r="A1905" s="27">
        <v>309219</v>
      </c>
      <c r="B1905" s="26" t="s">
        <v>1098</v>
      </c>
      <c r="C1905" s="12" t="s">
        <v>897</v>
      </c>
      <c r="D1905" s="12" t="s">
        <v>193</v>
      </c>
      <c r="E1905" s="12" t="s">
        <v>406</v>
      </c>
      <c r="F1905" s="10" t="s">
        <v>620</v>
      </c>
      <c r="G1905" s="12"/>
      <c r="H1905" s="53">
        <f>H1906</f>
        <v>41</v>
      </c>
    </row>
    <row r="1906" spans="1:8" s="28" customFormat="1" ht="31.5" x14ac:dyDescent="0.25">
      <c r="A1906" s="27">
        <v>30921901</v>
      </c>
      <c r="B1906" s="26" t="s">
        <v>591</v>
      </c>
      <c r="C1906" s="12" t="s">
        <v>897</v>
      </c>
      <c r="D1906" s="12" t="s">
        <v>193</v>
      </c>
      <c r="E1906" s="12" t="s">
        <v>406</v>
      </c>
      <c r="F1906" s="10" t="s">
        <v>269</v>
      </c>
      <c r="G1906" s="12"/>
      <c r="H1906" s="53">
        <f>H1907</f>
        <v>41</v>
      </c>
    </row>
    <row r="1907" spans="1:8" s="28" customFormat="1" x14ac:dyDescent="0.25">
      <c r="A1907" s="27">
        <v>30921901012</v>
      </c>
      <c r="B1907" s="65" t="s">
        <v>1012</v>
      </c>
      <c r="C1907" s="12" t="s">
        <v>897</v>
      </c>
      <c r="D1907" s="12" t="s">
        <v>193</v>
      </c>
      <c r="E1907" s="12" t="s">
        <v>406</v>
      </c>
      <c r="F1907" s="10" t="s">
        <v>269</v>
      </c>
      <c r="G1907" s="12" t="s">
        <v>1224</v>
      </c>
      <c r="H1907" s="53">
        <v>41</v>
      </c>
    </row>
    <row r="1908" spans="1:8" s="128" customFormat="1" x14ac:dyDescent="0.25">
      <c r="A1908" s="29">
        <v>7</v>
      </c>
      <c r="B1908" s="35" t="s">
        <v>174</v>
      </c>
      <c r="C1908" s="12" t="s">
        <v>897</v>
      </c>
      <c r="D1908" s="12" t="s">
        <v>205</v>
      </c>
      <c r="E1908" s="10"/>
      <c r="F1908" s="10"/>
      <c r="G1908" s="10"/>
      <c r="H1908" s="53">
        <f>H1909</f>
        <v>43</v>
      </c>
    </row>
    <row r="1909" spans="1:8" s="128" customFormat="1" x14ac:dyDescent="0.25">
      <c r="A1909" s="29">
        <v>707</v>
      </c>
      <c r="B1909" s="26" t="s">
        <v>699</v>
      </c>
      <c r="C1909" s="12" t="s">
        <v>897</v>
      </c>
      <c r="D1909" s="12" t="s">
        <v>205</v>
      </c>
      <c r="E1909" s="12" t="s">
        <v>205</v>
      </c>
      <c r="F1909" s="10"/>
      <c r="G1909" s="10"/>
      <c r="H1909" s="53">
        <f>H1910</f>
        <v>43</v>
      </c>
    </row>
    <row r="1910" spans="1:8" s="28" customFormat="1" ht="21" customHeight="1" x14ac:dyDescent="0.25">
      <c r="A1910" s="27">
        <v>707432</v>
      </c>
      <c r="B1910" s="26" t="s">
        <v>1482</v>
      </c>
      <c r="C1910" s="12" t="s">
        <v>897</v>
      </c>
      <c r="D1910" s="12" t="s">
        <v>205</v>
      </c>
      <c r="E1910" s="12" t="s">
        <v>205</v>
      </c>
      <c r="F1910" s="10" t="s">
        <v>965</v>
      </c>
      <c r="G1910" s="12"/>
      <c r="H1910" s="53">
        <f>H1911</f>
        <v>43</v>
      </c>
    </row>
    <row r="1911" spans="1:8" s="28" customFormat="1" x14ac:dyDescent="0.25">
      <c r="A1911" s="27">
        <v>70743202</v>
      </c>
      <c r="B1911" s="26" t="s">
        <v>541</v>
      </c>
      <c r="C1911" s="12" t="s">
        <v>897</v>
      </c>
      <c r="D1911" s="12" t="s">
        <v>205</v>
      </c>
      <c r="E1911" s="12" t="s">
        <v>205</v>
      </c>
      <c r="F1911" s="10" t="s">
        <v>262</v>
      </c>
      <c r="G1911" s="12"/>
      <c r="H1911" s="53">
        <f>H1912</f>
        <v>43</v>
      </c>
    </row>
    <row r="1912" spans="1:8" s="28" customFormat="1" x14ac:dyDescent="0.25">
      <c r="A1912" s="27">
        <v>70743202001</v>
      </c>
      <c r="B1912" s="26" t="s">
        <v>1435</v>
      </c>
      <c r="C1912" s="12" t="s">
        <v>897</v>
      </c>
      <c r="D1912" s="12" t="s">
        <v>205</v>
      </c>
      <c r="E1912" s="12" t="s">
        <v>205</v>
      </c>
      <c r="F1912" s="10" t="s">
        <v>262</v>
      </c>
      <c r="G1912" s="12" t="s">
        <v>1394</v>
      </c>
      <c r="H1912" s="53">
        <v>43</v>
      </c>
    </row>
    <row r="1913" spans="1:8" s="28" customFormat="1" x14ac:dyDescent="0.25">
      <c r="A1913" s="29"/>
      <c r="B1913" s="26"/>
      <c r="C1913" s="12"/>
      <c r="D1913" s="12"/>
      <c r="E1913" s="12"/>
      <c r="F1913" s="10"/>
      <c r="G1913" s="12"/>
      <c r="H1913" s="53"/>
    </row>
    <row r="1914" spans="1:8" s="3" customFormat="1" ht="31.5" x14ac:dyDescent="0.25">
      <c r="A1914" s="40">
        <v>0</v>
      </c>
      <c r="B1914" s="30" t="s">
        <v>1721</v>
      </c>
      <c r="C1914" s="42" t="s">
        <v>1425</v>
      </c>
      <c r="D1914" s="42"/>
      <c r="E1914" s="42"/>
      <c r="F1914" s="31"/>
      <c r="G1914" s="42"/>
      <c r="H1914" s="187">
        <f>H1915+H1920+H1925+H1956</f>
        <v>566033</v>
      </c>
    </row>
    <row r="1915" spans="1:8" s="28" customFormat="1" x14ac:dyDescent="0.25">
      <c r="A1915" s="29">
        <v>1</v>
      </c>
      <c r="B1915" s="35" t="s">
        <v>482</v>
      </c>
      <c r="C1915" s="12" t="s">
        <v>1425</v>
      </c>
      <c r="D1915" s="12" t="s">
        <v>566</v>
      </c>
      <c r="E1915" s="10"/>
      <c r="F1915" s="10"/>
      <c r="G1915" s="10"/>
      <c r="H1915" s="53">
        <f>H1916</f>
        <v>171189</v>
      </c>
    </row>
    <row r="1916" spans="1:8" s="28" customFormat="1" x14ac:dyDescent="0.25">
      <c r="A1916" s="29">
        <v>114</v>
      </c>
      <c r="B1916" s="26" t="s">
        <v>287</v>
      </c>
      <c r="C1916" s="12" t="s">
        <v>1425</v>
      </c>
      <c r="D1916" s="12" t="s">
        <v>566</v>
      </c>
      <c r="E1916" s="12">
        <v>14</v>
      </c>
      <c r="F1916" s="10"/>
      <c r="G1916" s="10"/>
      <c r="H1916" s="53">
        <f>H1917</f>
        <v>171189</v>
      </c>
    </row>
    <row r="1917" spans="1:8" s="28" customFormat="1" ht="47.25" x14ac:dyDescent="0.25">
      <c r="A1917" s="27">
        <v>114002</v>
      </c>
      <c r="B1917" s="26" t="s">
        <v>1657</v>
      </c>
      <c r="C1917" s="12" t="s">
        <v>1425</v>
      </c>
      <c r="D1917" s="12" t="s">
        <v>566</v>
      </c>
      <c r="E1917" s="12">
        <v>14</v>
      </c>
      <c r="F1917" s="12" t="s">
        <v>200</v>
      </c>
      <c r="G1917" s="12"/>
      <c r="H1917" s="53">
        <f>H1918</f>
        <v>171189</v>
      </c>
    </row>
    <row r="1918" spans="1:8" s="28" customFormat="1" x14ac:dyDescent="0.25">
      <c r="A1918" s="27">
        <v>11400204</v>
      </c>
      <c r="B1918" s="26" t="s">
        <v>638</v>
      </c>
      <c r="C1918" s="12" t="s">
        <v>1425</v>
      </c>
      <c r="D1918" s="12" t="s">
        <v>566</v>
      </c>
      <c r="E1918" s="12">
        <v>14</v>
      </c>
      <c r="F1918" s="12" t="s">
        <v>797</v>
      </c>
      <c r="G1918" s="12"/>
      <c r="H1918" s="53">
        <f>H1919</f>
        <v>171189</v>
      </c>
    </row>
    <row r="1919" spans="1:8" s="3" customFormat="1" x14ac:dyDescent="0.25">
      <c r="A1919" s="27">
        <v>11400204012</v>
      </c>
      <c r="B1919" s="65" t="s">
        <v>1012</v>
      </c>
      <c r="C1919" s="12" t="s">
        <v>1425</v>
      </c>
      <c r="D1919" s="12" t="s">
        <v>566</v>
      </c>
      <c r="E1919" s="12">
        <v>14</v>
      </c>
      <c r="F1919" s="12" t="s">
        <v>797</v>
      </c>
      <c r="G1919" s="12" t="s">
        <v>1224</v>
      </c>
      <c r="H1919" s="53">
        <v>171189</v>
      </c>
    </row>
    <row r="1920" spans="1:8" s="28" customFormat="1" x14ac:dyDescent="0.25">
      <c r="A1920" s="27">
        <v>2</v>
      </c>
      <c r="B1920" s="35" t="s">
        <v>271</v>
      </c>
      <c r="C1920" s="12" t="s">
        <v>1425</v>
      </c>
      <c r="D1920" s="12" t="s">
        <v>567</v>
      </c>
      <c r="E1920" s="31"/>
      <c r="F1920" s="31"/>
      <c r="G1920" s="31"/>
      <c r="H1920" s="53">
        <f>H1921</f>
        <v>530</v>
      </c>
    </row>
    <row r="1921" spans="1:8" s="28" customFormat="1" x14ac:dyDescent="0.25">
      <c r="A1921" s="27">
        <v>204</v>
      </c>
      <c r="B1921" s="26" t="s">
        <v>1054</v>
      </c>
      <c r="C1921" s="12" t="s">
        <v>1425</v>
      </c>
      <c r="D1921" s="12" t="s">
        <v>567</v>
      </c>
      <c r="E1921" s="12" t="s">
        <v>1181</v>
      </c>
      <c r="F1921" s="31"/>
      <c r="G1921" s="31"/>
      <c r="H1921" s="53">
        <f>H1922</f>
        <v>530</v>
      </c>
    </row>
    <row r="1922" spans="1:8" s="28" customFormat="1" ht="31.5" x14ac:dyDescent="0.25">
      <c r="A1922" s="27">
        <v>204209</v>
      </c>
      <c r="B1922" s="26" t="s">
        <v>141</v>
      </c>
      <c r="C1922" s="12" t="s">
        <v>1425</v>
      </c>
      <c r="D1922" s="12" t="s">
        <v>567</v>
      </c>
      <c r="E1922" s="12" t="s">
        <v>1181</v>
      </c>
      <c r="F1922" s="10" t="s">
        <v>270</v>
      </c>
      <c r="G1922" s="31"/>
      <c r="H1922" s="53">
        <f>H1923</f>
        <v>530</v>
      </c>
    </row>
    <row r="1923" spans="1:8" s="28" customFormat="1" ht="31.5" x14ac:dyDescent="0.25">
      <c r="A1923" s="27">
        <v>20420901</v>
      </c>
      <c r="B1923" s="26" t="s">
        <v>1408</v>
      </c>
      <c r="C1923" s="12" t="s">
        <v>1425</v>
      </c>
      <c r="D1923" s="12" t="s">
        <v>567</v>
      </c>
      <c r="E1923" s="12" t="s">
        <v>1181</v>
      </c>
      <c r="F1923" s="10" t="s">
        <v>956</v>
      </c>
      <c r="G1923" s="31"/>
      <c r="H1923" s="53">
        <f>H1924</f>
        <v>530</v>
      </c>
    </row>
    <row r="1924" spans="1:8" s="28" customFormat="1" x14ac:dyDescent="0.25">
      <c r="A1924" s="27">
        <v>20420901012</v>
      </c>
      <c r="B1924" s="65" t="s">
        <v>1012</v>
      </c>
      <c r="C1924" s="12" t="s">
        <v>1425</v>
      </c>
      <c r="D1924" s="12" t="s">
        <v>567</v>
      </c>
      <c r="E1924" s="12" t="s">
        <v>1181</v>
      </c>
      <c r="F1924" s="10" t="s">
        <v>956</v>
      </c>
      <c r="G1924" s="12" t="s">
        <v>1224</v>
      </c>
      <c r="H1924" s="53">
        <v>530</v>
      </c>
    </row>
    <row r="1925" spans="1:8" s="28" customFormat="1" ht="20.25" customHeight="1" x14ac:dyDescent="0.25">
      <c r="A1925" s="29">
        <v>3</v>
      </c>
      <c r="B1925" s="35" t="s">
        <v>1049</v>
      </c>
      <c r="C1925" s="12" t="s">
        <v>1425</v>
      </c>
      <c r="D1925" s="12" t="s">
        <v>193</v>
      </c>
      <c r="E1925" s="10"/>
      <c r="F1925" s="10"/>
      <c r="G1925" s="12"/>
      <c r="H1925" s="53">
        <f>H1926+H1934+H1942+H1947+H1951</f>
        <v>394237</v>
      </c>
    </row>
    <row r="1926" spans="1:8" s="28" customFormat="1" x14ac:dyDescent="0.25">
      <c r="A1926" s="29">
        <v>302</v>
      </c>
      <c r="B1926" s="26" t="s">
        <v>409</v>
      </c>
      <c r="C1926" s="12" t="s">
        <v>1425</v>
      </c>
      <c r="D1926" s="12" t="s">
        <v>193</v>
      </c>
      <c r="E1926" s="12" t="s">
        <v>567</v>
      </c>
      <c r="F1926" s="10"/>
      <c r="G1926" s="12"/>
      <c r="H1926" s="53">
        <f>H1927</f>
        <v>48354</v>
      </c>
    </row>
    <row r="1927" spans="1:8" s="28" customFormat="1" x14ac:dyDescent="0.25">
      <c r="A1927" s="27">
        <v>302202</v>
      </c>
      <c r="B1927" s="26" t="s">
        <v>1161</v>
      </c>
      <c r="C1927" s="12" t="s">
        <v>1425</v>
      </c>
      <c r="D1927" s="12" t="s">
        <v>193</v>
      </c>
      <c r="E1927" s="12" t="s">
        <v>567</v>
      </c>
      <c r="F1927" s="10" t="s">
        <v>621</v>
      </c>
      <c r="G1927" s="12"/>
      <c r="H1927" s="53">
        <f>H1928+H1931</f>
        <v>48354</v>
      </c>
    </row>
    <row r="1928" spans="1:8" s="28" customFormat="1" x14ac:dyDescent="0.25">
      <c r="A1928" s="27">
        <v>30220258</v>
      </c>
      <c r="B1928" s="26" t="s">
        <v>118</v>
      </c>
      <c r="C1928" s="12" t="s">
        <v>1425</v>
      </c>
      <c r="D1928" s="12" t="s">
        <v>193</v>
      </c>
      <c r="E1928" s="12" t="s">
        <v>567</v>
      </c>
      <c r="F1928" s="10" t="s">
        <v>496</v>
      </c>
      <c r="G1928" s="12"/>
      <c r="H1928" s="53">
        <f>H1929</f>
        <v>48298</v>
      </c>
    </row>
    <row r="1929" spans="1:8" s="28" customFormat="1" ht="47.25" x14ac:dyDescent="0.25">
      <c r="A1929" s="27">
        <v>3022025801</v>
      </c>
      <c r="B1929" s="26" t="s">
        <v>852</v>
      </c>
      <c r="C1929" s="12" t="s">
        <v>1425</v>
      </c>
      <c r="D1929" s="12" t="s">
        <v>193</v>
      </c>
      <c r="E1929" s="12" t="s">
        <v>567</v>
      </c>
      <c r="F1929" s="10" t="s">
        <v>497</v>
      </c>
      <c r="G1929" s="12"/>
      <c r="H1929" s="53">
        <f>H1930</f>
        <v>48298</v>
      </c>
    </row>
    <row r="1930" spans="1:8" s="28" customFormat="1" ht="31.5" x14ac:dyDescent="0.25">
      <c r="A1930" s="27">
        <v>3022025801014</v>
      </c>
      <c r="B1930" s="26" t="s">
        <v>1301</v>
      </c>
      <c r="C1930" s="12" t="s">
        <v>1425</v>
      </c>
      <c r="D1930" s="12" t="s">
        <v>193</v>
      </c>
      <c r="E1930" s="12" t="s">
        <v>567</v>
      </c>
      <c r="F1930" s="10" t="s">
        <v>497</v>
      </c>
      <c r="G1930" s="12" t="s">
        <v>379</v>
      </c>
      <c r="H1930" s="53">
        <v>48298</v>
      </c>
    </row>
    <row r="1931" spans="1:8" s="28" customFormat="1" ht="31.5" x14ac:dyDescent="0.25">
      <c r="A1931" s="27">
        <v>30220267</v>
      </c>
      <c r="B1931" s="26" t="s">
        <v>1358</v>
      </c>
      <c r="C1931" s="12" t="s">
        <v>1425</v>
      </c>
      <c r="D1931" s="12" t="s">
        <v>193</v>
      </c>
      <c r="E1931" s="12" t="s">
        <v>567</v>
      </c>
      <c r="F1931" s="10" t="s">
        <v>1154</v>
      </c>
      <c r="G1931" s="12"/>
      <c r="H1931" s="53">
        <f>H1932</f>
        <v>56</v>
      </c>
    </row>
    <row r="1932" spans="1:8" s="28" customFormat="1" ht="47.25" x14ac:dyDescent="0.25">
      <c r="A1932" s="27">
        <v>3022026701</v>
      </c>
      <c r="B1932" s="26" t="s">
        <v>1663</v>
      </c>
      <c r="C1932" s="12" t="s">
        <v>1425</v>
      </c>
      <c r="D1932" s="12" t="s">
        <v>193</v>
      </c>
      <c r="E1932" s="12" t="s">
        <v>567</v>
      </c>
      <c r="F1932" s="10" t="s">
        <v>1357</v>
      </c>
      <c r="G1932" s="12"/>
      <c r="H1932" s="53">
        <f>H1933</f>
        <v>56</v>
      </c>
    </row>
    <row r="1933" spans="1:8" s="28" customFormat="1" ht="31.5" x14ac:dyDescent="0.25">
      <c r="A1933" s="27">
        <v>3022026701014</v>
      </c>
      <c r="B1933" s="26" t="s">
        <v>1301</v>
      </c>
      <c r="C1933" s="12" t="s">
        <v>1425</v>
      </c>
      <c r="D1933" s="12" t="s">
        <v>193</v>
      </c>
      <c r="E1933" s="12" t="s">
        <v>567</v>
      </c>
      <c r="F1933" s="10" t="s">
        <v>1357</v>
      </c>
      <c r="G1933" s="12" t="s">
        <v>379</v>
      </c>
      <c r="H1933" s="53">
        <v>56</v>
      </c>
    </row>
    <row r="1934" spans="1:8" s="147" customFormat="1" x14ac:dyDescent="0.25">
      <c r="A1934" s="160">
        <v>305</v>
      </c>
      <c r="B1934" s="38" t="s">
        <v>1726</v>
      </c>
      <c r="C1934" s="25" t="s">
        <v>1425</v>
      </c>
      <c r="D1934" s="25" t="s">
        <v>193</v>
      </c>
      <c r="E1934" s="25" t="s">
        <v>175</v>
      </c>
      <c r="F1934" s="11"/>
      <c r="G1934" s="25"/>
      <c r="H1934" s="53">
        <f>H1935</f>
        <v>177958</v>
      </c>
    </row>
    <row r="1935" spans="1:8" s="147" customFormat="1" x14ac:dyDescent="0.25">
      <c r="A1935" s="188">
        <v>305202</v>
      </c>
      <c r="B1935" s="38" t="s">
        <v>1161</v>
      </c>
      <c r="C1935" s="25" t="s">
        <v>1425</v>
      </c>
      <c r="D1935" s="25" t="s">
        <v>193</v>
      </c>
      <c r="E1935" s="25" t="s">
        <v>175</v>
      </c>
      <c r="F1935" s="11" t="s">
        <v>621</v>
      </c>
      <c r="G1935" s="25"/>
      <c r="H1935" s="53">
        <f>H1936+H1939</f>
        <v>177958</v>
      </c>
    </row>
    <row r="1936" spans="1:8" s="147" customFormat="1" x14ac:dyDescent="0.25">
      <c r="A1936" s="188">
        <v>30520258</v>
      </c>
      <c r="B1936" s="38" t="s">
        <v>118</v>
      </c>
      <c r="C1936" s="25" t="s">
        <v>1425</v>
      </c>
      <c r="D1936" s="25" t="s">
        <v>193</v>
      </c>
      <c r="E1936" s="25" t="s">
        <v>175</v>
      </c>
      <c r="F1936" s="11" t="s">
        <v>496</v>
      </c>
      <c r="G1936" s="25"/>
      <c r="H1936" s="53">
        <f>H1937</f>
        <v>147086</v>
      </c>
    </row>
    <row r="1937" spans="1:8" s="147" customFormat="1" ht="47.25" x14ac:dyDescent="0.25">
      <c r="A1937" s="188">
        <v>3052025801</v>
      </c>
      <c r="B1937" s="38" t="s">
        <v>852</v>
      </c>
      <c r="C1937" s="25" t="s">
        <v>1425</v>
      </c>
      <c r="D1937" s="25" t="s">
        <v>193</v>
      </c>
      <c r="E1937" s="25" t="s">
        <v>175</v>
      </c>
      <c r="F1937" s="11" t="s">
        <v>497</v>
      </c>
      <c r="G1937" s="25"/>
      <c r="H1937" s="53">
        <f>H1938</f>
        <v>147086</v>
      </c>
    </row>
    <row r="1938" spans="1:8" s="147" customFormat="1" ht="31.5" x14ac:dyDescent="0.25">
      <c r="A1938" s="188">
        <v>3052025801014</v>
      </c>
      <c r="B1938" s="38" t="s">
        <v>1301</v>
      </c>
      <c r="C1938" s="25" t="s">
        <v>1425</v>
      </c>
      <c r="D1938" s="25" t="s">
        <v>193</v>
      </c>
      <c r="E1938" s="25" t="s">
        <v>175</v>
      </c>
      <c r="F1938" s="11" t="s">
        <v>497</v>
      </c>
      <c r="G1938" s="25" t="s">
        <v>379</v>
      </c>
      <c r="H1938" s="53">
        <v>147086</v>
      </c>
    </row>
    <row r="1939" spans="1:8" s="147" customFormat="1" ht="31.5" x14ac:dyDescent="0.25">
      <c r="A1939" s="188">
        <v>30520267</v>
      </c>
      <c r="B1939" s="38" t="s">
        <v>1358</v>
      </c>
      <c r="C1939" s="25" t="s">
        <v>1425</v>
      </c>
      <c r="D1939" s="25" t="s">
        <v>193</v>
      </c>
      <c r="E1939" s="25" t="s">
        <v>175</v>
      </c>
      <c r="F1939" s="11" t="s">
        <v>1154</v>
      </c>
      <c r="G1939" s="25"/>
      <c r="H1939" s="53">
        <f>H1940</f>
        <v>30872</v>
      </c>
    </row>
    <row r="1940" spans="1:8" s="147" customFormat="1" ht="47.25" x14ac:dyDescent="0.25">
      <c r="A1940" s="188">
        <v>3052026701</v>
      </c>
      <c r="B1940" s="38" t="s">
        <v>1663</v>
      </c>
      <c r="C1940" s="25" t="s">
        <v>1425</v>
      </c>
      <c r="D1940" s="25" t="s">
        <v>193</v>
      </c>
      <c r="E1940" s="25" t="s">
        <v>175</v>
      </c>
      <c r="F1940" s="11" t="s">
        <v>1357</v>
      </c>
      <c r="G1940" s="25"/>
      <c r="H1940" s="53">
        <f>H1941</f>
        <v>30872</v>
      </c>
    </row>
    <row r="1941" spans="1:8" s="147" customFormat="1" ht="31.5" x14ac:dyDescent="0.25">
      <c r="A1941" s="188">
        <v>3052026701014</v>
      </c>
      <c r="B1941" s="38" t="s">
        <v>1301</v>
      </c>
      <c r="C1941" s="25" t="s">
        <v>1425</v>
      </c>
      <c r="D1941" s="25" t="s">
        <v>193</v>
      </c>
      <c r="E1941" s="25" t="s">
        <v>175</v>
      </c>
      <c r="F1941" s="11" t="s">
        <v>1357</v>
      </c>
      <c r="G1941" s="25" t="s">
        <v>379</v>
      </c>
      <c r="H1941" s="53">
        <v>30872</v>
      </c>
    </row>
    <row r="1942" spans="1:8" s="147" customFormat="1" ht="31.5" x14ac:dyDescent="0.25">
      <c r="A1942" s="160">
        <v>308</v>
      </c>
      <c r="B1942" s="38" t="s">
        <v>1440</v>
      </c>
      <c r="C1942" s="25" t="s">
        <v>1425</v>
      </c>
      <c r="D1942" s="25" t="s">
        <v>193</v>
      </c>
      <c r="E1942" s="25" t="s">
        <v>290</v>
      </c>
      <c r="F1942" s="11"/>
      <c r="G1942" s="25"/>
      <c r="H1942" s="53">
        <f>H1943</f>
        <v>67662</v>
      </c>
    </row>
    <row r="1943" spans="1:8" s="147" customFormat="1" x14ac:dyDescent="0.25">
      <c r="A1943" s="188">
        <v>308202</v>
      </c>
      <c r="B1943" s="38" t="s">
        <v>1161</v>
      </c>
      <c r="C1943" s="25" t="s">
        <v>1425</v>
      </c>
      <c r="D1943" s="25" t="s">
        <v>193</v>
      </c>
      <c r="E1943" s="25" t="s">
        <v>290</v>
      </c>
      <c r="F1943" s="11" t="s">
        <v>621</v>
      </c>
      <c r="G1943" s="25"/>
      <c r="H1943" s="53">
        <f>H1944</f>
        <v>67662</v>
      </c>
    </row>
    <row r="1944" spans="1:8" s="147" customFormat="1" x14ac:dyDescent="0.25">
      <c r="A1944" s="188">
        <v>30820258</v>
      </c>
      <c r="B1944" s="38" t="s">
        <v>118</v>
      </c>
      <c r="C1944" s="25" t="s">
        <v>1425</v>
      </c>
      <c r="D1944" s="25" t="s">
        <v>193</v>
      </c>
      <c r="E1944" s="25" t="s">
        <v>290</v>
      </c>
      <c r="F1944" s="11" t="s">
        <v>496</v>
      </c>
      <c r="G1944" s="25"/>
      <c r="H1944" s="53">
        <f>H1945</f>
        <v>67662</v>
      </c>
    </row>
    <row r="1945" spans="1:8" s="147" customFormat="1" ht="47.25" x14ac:dyDescent="0.25">
      <c r="A1945" s="188">
        <v>3082025801</v>
      </c>
      <c r="B1945" s="38" t="s">
        <v>852</v>
      </c>
      <c r="C1945" s="25" t="s">
        <v>1425</v>
      </c>
      <c r="D1945" s="25" t="s">
        <v>193</v>
      </c>
      <c r="E1945" s="25" t="s">
        <v>290</v>
      </c>
      <c r="F1945" s="11" t="s">
        <v>497</v>
      </c>
      <c r="G1945" s="25"/>
      <c r="H1945" s="53">
        <f>H1946</f>
        <v>67662</v>
      </c>
    </row>
    <row r="1946" spans="1:8" s="147" customFormat="1" ht="31.5" x14ac:dyDescent="0.25">
      <c r="A1946" s="188">
        <v>3082025801014</v>
      </c>
      <c r="B1946" s="38" t="s">
        <v>1301</v>
      </c>
      <c r="C1946" s="25" t="s">
        <v>1425</v>
      </c>
      <c r="D1946" s="25" t="s">
        <v>193</v>
      </c>
      <c r="E1946" s="25" t="s">
        <v>290</v>
      </c>
      <c r="F1946" s="11" t="s">
        <v>497</v>
      </c>
      <c r="G1946" s="25" t="s">
        <v>379</v>
      </c>
      <c r="H1946" s="53">
        <v>67662</v>
      </c>
    </row>
    <row r="1947" spans="1:8" s="28" customFormat="1" ht="47.25" x14ac:dyDescent="0.25">
      <c r="A1947" s="29">
        <v>309</v>
      </c>
      <c r="B1947" s="26" t="s">
        <v>133</v>
      </c>
      <c r="C1947" s="12" t="s">
        <v>1425</v>
      </c>
      <c r="D1947" s="12" t="s">
        <v>193</v>
      </c>
      <c r="E1947" s="12" t="s">
        <v>406</v>
      </c>
      <c r="F1947" s="10"/>
      <c r="G1947" s="10"/>
      <c r="H1947" s="53">
        <f>H1948</f>
        <v>263</v>
      </c>
    </row>
    <row r="1948" spans="1:8" s="28" customFormat="1" x14ac:dyDescent="0.25">
      <c r="A1948" s="27">
        <v>309219</v>
      </c>
      <c r="B1948" s="26" t="s">
        <v>1098</v>
      </c>
      <c r="C1948" s="12" t="s">
        <v>1425</v>
      </c>
      <c r="D1948" s="12" t="s">
        <v>193</v>
      </c>
      <c r="E1948" s="12" t="s">
        <v>406</v>
      </c>
      <c r="F1948" s="10" t="s">
        <v>620</v>
      </c>
      <c r="G1948" s="12"/>
      <c r="H1948" s="53">
        <f>H1949</f>
        <v>263</v>
      </c>
    </row>
    <row r="1949" spans="1:8" s="28" customFormat="1" ht="31.5" x14ac:dyDescent="0.25">
      <c r="A1949" s="27">
        <v>30921901</v>
      </c>
      <c r="B1949" s="26" t="s">
        <v>591</v>
      </c>
      <c r="C1949" s="12" t="s">
        <v>1425</v>
      </c>
      <c r="D1949" s="12" t="s">
        <v>193</v>
      </c>
      <c r="E1949" s="12" t="s">
        <v>406</v>
      </c>
      <c r="F1949" s="10" t="s">
        <v>269</v>
      </c>
      <c r="G1949" s="12"/>
      <c r="H1949" s="53">
        <f>H1950</f>
        <v>263</v>
      </c>
    </row>
    <row r="1950" spans="1:8" s="28" customFormat="1" x14ac:dyDescent="0.25">
      <c r="A1950" s="27">
        <v>30921901012</v>
      </c>
      <c r="B1950" s="26" t="s">
        <v>1012</v>
      </c>
      <c r="C1950" s="12" t="s">
        <v>1425</v>
      </c>
      <c r="D1950" s="12" t="s">
        <v>193</v>
      </c>
      <c r="E1950" s="12" t="s">
        <v>406</v>
      </c>
      <c r="F1950" s="10" t="s">
        <v>269</v>
      </c>
      <c r="G1950" s="25" t="s">
        <v>1224</v>
      </c>
      <c r="H1950" s="53">
        <v>263</v>
      </c>
    </row>
    <row r="1951" spans="1:8" s="28" customFormat="1" x14ac:dyDescent="0.25">
      <c r="A1951" s="29">
        <v>310</v>
      </c>
      <c r="B1951" s="26" t="s">
        <v>489</v>
      </c>
      <c r="C1951" s="12" t="s">
        <v>1425</v>
      </c>
      <c r="D1951" s="12" t="s">
        <v>193</v>
      </c>
      <c r="E1951" s="12">
        <v>10</v>
      </c>
      <c r="F1951" s="10"/>
      <c r="G1951" s="12"/>
      <c r="H1951" s="53">
        <f>H1952</f>
        <v>100000</v>
      </c>
    </row>
    <row r="1952" spans="1:8" s="165" customFormat="1" ht="20.25" customHeight="1" x14ac:dyDescent="0.25">
      <c r="A1952" s="188">
        <v>310202</v>
      </c>
      <c r="B1952" s="193" t="s">
        <v>1161</v>
      </c>
      <c r="C1952" s="25" t="s">
        <v>1425</v>
      </c>
      <c r="D1952" s="25" t="s">
        <v>193</v>
      </c>
      <c r="E1952" s="25">
        <v>10</v>
      </c>
      <c r="F1952" s="11" t="s">
        <v>621</v>
      </c>
      <c r="G1952" s="25"/>
      <c r="H1952" s="230">
        <f>H1953</f>
        <v>100000</v>
      </c>
    </row>
    <row r="1953" spans="1:8" s="165" customFormat="1" x14ac:dyDescent="0.25">
      <c r="A1953" s="188">
        <v>31020258</v>
      </c>
      <c r="B1953" s="193" t="s">
        <v>118</v>
      </c>
      <c r="C1953" s="25" t="s">
        <v>1425</v>
      </c>
      <c r="D1953" s="25" t="s">
        <v>193</v>
      </c>
      <c r="E1953" s="25">
        <v>10</v>
      </c>
      <c r="F1953" s="11" t="s">
        <v>496</v>
      </c>
      <c r="G1953" s="25"/>
      <c r="H1953" s="230">
        <f>H1954</f>
        <v>100000</v>
      </c>
    </row>
    <row r="1954" spans="1:8" s="165" customFormat="1" ht="47.25" x14ac:dyDescent="0.25">
      <c r="A1954" s="188">
        <v>3102025801</v>
      </c>
      <c r="B1954" s="193" t="s">
        <v>852</v>
      </c>
      <c r="C1954" s="25" t="s">
        <v>1425</v>
      </c>
      <c r="D1954" s="25" t="s">
        <v>193</v>
      </c>
      <c r="E1954" s="25">
        <v>10</v>
      </c>
      <c r="F1954" s="11" t="s">
        <v>497</v>
      </c>
      <c r="G1954" s="25"/>
      <c r="H1954" s="230">
        <f>H1955</f>
        <v>100000</v>
      </c>
    </row>
    <row r="1955" spans="1:8" s="165" customFormat="1" ht="34.5" customHeight="1" x14ac:dyDescent="0.25">
      <c r="A1955" s="188">
        <v>3102025801014</v>
      </c>
      <c r="B1955" s="193" t="s">
        <v>1301</v>
      </c>
      <c r="C1955" s="25" t="s">
        <v>1425</v>
      </c>
      <c r="D1955" s="25" t="s">
        <v>193</v>
      </c>
      <c r="E1955" s="25">
        <v>10</v>
      </c>
      <c r="F1955" s="11" t="s">
        <v>497</v>
      </c>
      <c r="G1955" s="25" t="s">
        <v>379</v>
      </c>
      <c r="H1955" s="230">
        <v>100000</v>
      </c>
    </row>
    <row r="1956" spans="1:8" s="128" customFormat="1" x14ac:dyDescent="0.25">
      <c r="A1956" s="29">
        <v>7</v>
      </c>
      <c r="B1956" s="35" t="s">
        <v>174</v>
      </c>
      <c r="C1956" s="12" t="s">
        <v>1425</v>
      </c>
      <c r="D1956" s="12" t="s">
        <v>205</v>
      </c>
      <c r="E1956" s="10"/>
      <c r="F1956" s="10"/>
      <c r="G1956" s="10"/>
      <c r="H1956" s="53">
        <f>H1957</f>
        <v>77</v>
      </c>
    </row>
    <row r="1957" spans="1:8" s="128" customFormat="1" x14ac:dyDescent="0.25">
      <c r="A1957" s="29">
        <v>707</v>
      </c>
      <c r="B1957" s="26" t="s">
        <v>699</v>
      </c>
      <c r="C1957" s="12" t="s">
        <v>1425</v>
      </c>
      <c r="D1957" s="12" t="s">
        <v>205</v>
      </c>
      <c r="E1957" s="12" t="s">
        <v>205</v>
      </c>
      <c r="F1957" s="10"/>
      <c r="G1957" s="10"/>
      <c r="H1957" s="53">
        <f>H1958</f>
        <v>77</v>
      </c>
    </row>
    <row r="1958" spans="1:8" s="28" customFormat="1" ht="21" customHeight="1" x14ac:dyDescent="0.25">
      <c r="A1958" s="27">
        <v>707432</v>
      </c>
      <c r="B1958" s="26" t="s">
        <v>1482</v>
      </c>
      <c r="C1958" s="12" t="s">
        <v>1425</v>
      </c>
      <c r="D1958" s="12" t="s">
        <v>205</v>
      </c>
      <c r="E1958" s="12" t="s">
        <v>205</v>
      </c>
      <c r="F1958" s="10" t="s">
        <v>965</v>
      </c>
      <c r="G1958" s="12"/>
      <c r="H1958" s="53">
        <f>H1959</f>
        <v>77</v>
      </c>
    </row>
    <row r="1959" spans="1:8" s="28" customFormat="1" x14ac:dyDescent="0.25">
      <c r="A1959" s="27">
        <v>70743202</v>
      </c>
      <c r="B1959" s="26" t="s">
        <v>541</v>
      </c>
      <c r="C1959" s="12" t="s">
        <v>1425</v>
      </c>
      <c r="D1959" s="12" t="s">
        <v>205</v>
      </c>
      <c r="E1959" s="12" t="s">
        <v>205</v>
      </c>
      <c r="F1959" s="10" t="s">
        <v>262</v>
      </c>
      <c r="G1959" s="12"/>
      <c r="H1959" s="53">
        <f>H1960</f>
        <v>77</v>
      </c>
    </row>
    <row r="1960" spans="1:8" s="28" customFormat="1" x14ac:dyDescent="0.25">
      <c r="A1960" s="27">
        <v>70743202001</v>
      </c>
      <c r="B1960" s="26" t="s">
        <v>1435</v>
      </c>
      <c r="C1960" s="12" t="s">
        <v>1425</v>
      </c>
      <c r="D1960" s="12" t="s">
        <v>205</v>
      </c>
      <c r="E1960" s="12" t="s">
        <v>205</v>
      </c>
      <c r="F1960" s="10" t="s">
        <v>262</v>
      </c>
      <c r="G1960" s="12" t="s">
        <v>1394</v>
      </c>
      <c r="H1960" s="53">
        <v>77</v>
      </c>
    </row>
    <row r="1961" spans="1:8" s="28" customFormat="1" x14ac:dyDescent="0.25">
      <c r="A1961" s="29"/>
      <c r="B1961" s="26"/>
      <c r="C1961" s="12"/>
      <c r="D1961" s="12"/>
      <c r="E1961" s="12"/>
      <c r="F1961" s="12"/>
      <c r="G1961" s="12"/>
      <c r="H1961" s="53"/>
    </row>
    <row r="1962" spans="1:8" s="3" customFormat="1" ht="31.5" x14ac:dyDescent="0.25">
      <c r="A1962" s="40">
        <v>0</v>
      </c>
      <c r="B1962" s="41" t="s">
        <v>1498</v>
      </c>
      <c r="C1962" s="42" t="s">
        <v>899</v>
      </c>
      <c r="D1962" s="31"/>
      <c r="E1962" s="31"/>
      <c r="F1962" s="31"/>
      <c r="G1962" s="31"/>
      <c r="H1962" s="187">
        <f>H1963+H1968+H1973+H1977</f>
        <v>288644</v>
      </c>
    </row>
    <row r="1963" spans="1:8" s="28" customFormat="1" x14ac:dyDescent="0.25">
      <c r="A1963" s="27">
        <v>2</v>
      </c>
      <c r="B1963" s="35" t="s">
        <v>271</v>
      </c>
      <c r="C1963" s="12" t="s">
        <v>899</v>
      </c>
      <c r="D1963" s="12" t="s">
        <v>567</v>
      </c>
      <c r="E1963" s="31"/>
      <c r="F1963" s="31"/>
      <c r="G1963" s="31"/>
      <c r="H1963" s="53">
        <f>H1964</f>
        <v>100</v>
      </c>
    </row>
    <row r="1964" spans="1:8" s="28" customFormat="1" x14ac:dyDescent="0.25">
      <c r="A1964" s="27">
        <v>204</v>
      </c>
      <c r="B1964" s="26" t="s">
        <v>1054</v>
      </c>
      <c r="C1964" s="12" t="s">
        <v>899</v>
      </c>
      <c r="D1964" s="12" t="s">
        <v>567</v>
      </c>
      <c r="E1964" s="12" t="s">
        <v>1181</v>
      </c>
      <c r="F1964" s="31"/>
      <c r="G1964" s="31"/>
      <c r="H1964" s="53">
        <f>H1965</f>
        <v>100</v>
      </c>
    </row>
    <row r="1965" spans="1:8" s="28" customFormat="1" ht="31.5" x14ac:dyDescent="0.25">
      <c r="A1965" s="27">
        <v>204209</v>
      </c>
      <c r="B1965" s="26" t="s">
        <v>141</v>
      </c>
      <c r="C1965" s="12" t="s">
        <v>899</v>
      </c>
      <c r="D1965" s="12" t="s">
        <v>567</v>
      </c>
      <c r="E1965" s="12" t="s">
        <v>1181</v>
      </c>
      <c r="F1965" s="10" t="s">
        <v>270</v>
      </c>
      <c r="G1965" s="31"/>
      <c r="H1965" s="53">
        <f>H1966</f>
        <v>100</v>
      </c>
    </row>
    <row r="1966" spans="1:8" s="28" customFormat="1" ht="31.5" x14ac:dyDescent="0.25">
      <c r="A1966" s="27">
        <v>20420901</v>
      </c>
      <c r="B1966" s="26" t="s">
        <v>1408</v>
      </c>
      <c r="C1966" s="12" t="s">
        <v>899</v>
      </c>
      <c r="D1966" s="12" t="s">
        <v>567</v>
      </c>
      <c r="E1966" s="12" t="s">
        <v>1181</v>
      </c>
      <c r="F1966" s="10" t="s">
        <v>956</v>
      </c>
      <c r="G1966" s="31"/>
      <c r="H1966" s="53">
        <f>H1967</f>
        <v>100</v>
      </c>
    </row>
    <row r="1967" spans="1:8" s="28" customFormat="1" x14ac:dyDescent="0.25">
      <c r="A1967" s="27">
        <v>20420901012</v>
      </c>
      <c r="B1967" s="65" t="s">
        <v>1012</v>
      </c>
      <c r="C1967" s="12" t="s">
        <v>899</v>
      </c>
      <c r="D1967" s="12" t="s">
        <v>567</v>
      </c>
      <c r="E1967" s="12" t="s">
        <v>1181</v>
      </c>
      <c r="F1967" s="10" t="s">
        <v>956</v>
      </c>
      <c r="G1967" s="12" t="s">
        <v>1224</v>
      </c>
      <c r="H1967" s="53">
        <v>100</v>
      </c>
    </row>
    <row r="1968" spans="1:8" s="28" customFormat="1" ht="22.5" customHeight="1" x14ac:dyDescent="0.25">
      <c r="A1968" s="27">
        <v>3</v>
      </c>
      <c r="B1968" s="35" t="s">
        <v>1049</v>
      </c>
      <c r="C1968" s="12" t="s">
        <v>899</v>
      </c>
      <c r="D1968" s="12" t="s">
        <v>193</v>
      </c>
      <c r="E1968" s="12"/>
      <c r="F1968" s="10"/>
      <c r="G1968" s="12"/>
      <c r="H1968" s="53">
        <f>H1969</f>
        <v>325</v>
      </c>
    </row>
    <row r="1969" spans="1:8" s="28" customFormat="1" ht="47.25" x14ac:dyDescent="0.25">
      <c r="A1969" s="27">
        <v>309</v>
      </c>
      <c r="B1969" s="26" t="s">
        <v>133</v>
      </c>
      <c r="C1969" s="12" t="s">
        <v>899</v>
      </c>
      <c r="D1969" s="12" t="s">
        <v>193</v>
      </c>
      <c r="E1969" s="12" t="s">
        <v>406</v>
      </c>
      <c r="F1969" s="10"/>
      <c r="G1969" s="12"/>
      <c r="H1969" s="53">
        <f>H1970</f>
        <v>325</v>
      </c>
    </row>
    <row r="1970" spans="1:8" s="28" customFormat="1" x14ac:dyDescent="0.25">
      <c r="A1970" s="27">
        <v>309219</v>
      </c>
      <c r="B1970" s="26" t="s">
        <v>1098</v>
      </c>
      <c r="C1970" s="12" t="s">
        <v>899</v>
      </c>
      <c r="D1970" s="12" t="s">
        <v>193</v>
      </c>
      <c r="E1970" s="12" t="s">
        <v>406</v>
      </c>
      <c r="F1970" s="10" t="s">
        <v>620</v>
      </c>
      <c r="G1970" s="12"/>
      <c r="H1970" s="53">
        <f>H1971</f>
        <v>325</v>
      </c>
    </row>
    <row r="1971" spans="1:8" s="28" customFormat="1" ht="31.5" x14ac:dyDescent="0.25">
      <c r="A1971" s="27">
        <v>30921901</v>
      </c>
      <c r="B1971" s="26" t="s">
        <v>591</v>
      </c>
      <c r="C1971" s="12" t="s">
        <v>899</v>
      </c>
      <c r="D1971" s="12" t="s">
        <v>193</v>
      </c>
      <c r="E1971" s="12" t="s">
        <v>406</v>
      </c>
      <c r="F1971" s="10" t="s">
        <v>269</v>
      </c>
      <c r="G1971" s="12"/>
      <c r="H1971" s="53">
        <f>H1972</f>
        <v>325</v>
      </c>
    </row>
    <row r="1972" spans="1:8" s="28" customFormat="1" x14ac:dyDescent="0.25">
      <c r="A1972" s="27">
        <v>30921901012</v>
      </c>
      <c r="B1972" s="65" t="s">
        <v>1012</v>
      </c>
      <c r="C1972" s="12" t="s">
        <v>899</v>
      </c>
      <c r="D1972" s="12" t="s">
        <v>193</v>
      </c>
      <c r="E1972" s="12" t="s">
        <v>406</v>
      </c>
      <c r="F1972" s="10" t="s">
        <v>269</v>
      </c>
      <c r="G1972" s="12" t="s">
        <v>1224</v>
      </c>
      <c r="H1972" s="53">
        <v>325</v>
      </c>
    </row>
    <row r="1973" spans="1:8" s="28" customFormat="1" x14ac:dyDescent="0.25">
      <c r="A1973" s="27">
        <v>4</v>
      </c>
      <c r="B1973" s="35" t="s">
        <v>993</v>
      </c>
      <c r="C1973" s="12" t="s">
        <v>899</v>
      </c>
      <c r="D1973" s="12" t="s">
        <v>1181</v>
      </c>
      <c r="E1973" s="12"/>
      <c r="F1973" s="10"/>
      <c r="G1973" s="12"/>
      <c r="H1973" s="53">
        <f>H1974</f>
        <v>190340</v>
      </c>
    </row>
    <row r="1974" spans="1:8" s="28" customFormat="1" x14ac:dyDescent="0.25">
      <c r="A1974" s="29">
        <v>412</v>
      </c>
      <c r="B1974" s="26" t="s">
        <v>1253</v>
      </c>
      <c r="C1974" s="12" t="s">
        <v>899</v>
      </c>
      <c r="D1974" s="12" t="s">
        <v>1181</v>
      </c>
      <c r="E1974" s="12">
        <v>12</v>
      </c>
      <c r="F1974" s="10"/>
      <c r="G1974" s="12"/>
      <c r="H1974" s="53">
        <f>H1975</f>
        <v>190340</v>
      </c>
    </row>
    <row r="1975" spans="1:8" s="28" customFormat="1" ht="31.5" x14ac:dyDescent="0.25">
      <c r="A1975" s="27">
        <v>412338</v>
      </c>
      <c r="B1975" s="190" t="s">
        <v>696</v>
      </c>
      <c r="C1975" s="12" t="s">
        <v>899</v>
      </c>
      <c r="D1975" s="12" t="s">
        <v>1181</v>
      </c>
      <c r="E1975" s="12">
        <v>12</v>
      </c>
      <c r="F1975" s="12" t="s">
        <v>239</v>
      </c>
      <c r="G1975" s="10"/>
      <c r="H1975" s="53">
        <f>H1976</f>
        <v>190340</v>
      </c>
    </row>
    <row r="1976" spans="1:8" s="28" customFormat="1" x14ac:dyDescent="0.25">
      <c r="A1976" s="27">
        <v>412338012</v>
      </c>
      <c r="B1976" s="65" t="s">
        <v>1012</v>
      </c>
      <c r="C1976" s="12" t="s">
        <v>899</v>
      </c>
      <c r="D1976" s="6" t="s">
        <v>1181</v>
      </c>
      <c r="E1976" s="12">
        <v>12</v>
      </c>
      <c r="F1976" s="12" t="s">
        <v>239</v>
      </c>
      <c r="G1976" s="12" t="s">
        <v>1224</v>
      </c>
      <c r="H1976" s="53">
        <v>190340</v>
      </c>
    </row>
    <row r="1977" spans="1:8" s="28" customFormat="1" x14ac:dyDescent="0.25">
      <c r="A1977" s="27">
        <v>5</v>
      </c>
      <c r="B1977" s="35" t="s">
        <v>173</v>
      </c>
      <c r="C1977" s="12" t="s">
        <v>899</v>
      </c>
      <c r="D1977" s="12" t="s">
        <v>175</v>
      </c>
      <c r="E1977" s="10"/>
      <c r="F1977" s="12"/>
      <c r="G1977" s="12"/>
      <c r="H1977" s="53">
        <f>H1978</f>
        <v>97879</v>
      </c>
    </row>
    <row r="1978" spans="1:8" s="28" customFormat="1" x14ac:dyDescent="0.25">
      <c r="A1978" s="27">
        <v>505</v>
      </c>
      <c r="B1978" s="15" t="s">
        <v>551</v>
      </c>
      <c r="C1978" s="12" t="s">
        <v>899</v>
      </c>
      <c r="D1978" s="12" t="s">
        <v>175</v>
      </c>
      <c r="E1978" s="12" t="s">
        <v>175</v>
      </c>
      <c r="F1978" s="12"/>
      <c r="G1978" s="12"/>
      <c r="H1978" s="53">
        <f>H1979</f>
        <v>97879</v>
      </c>
    </row>
    <row r="1979" spans="1:8" s="28" customFormat="1" ht="47.25" x14ac:dyDescent="0.25">
      <c r="A1979" s="27">
        <v>505002</v>
      </c>
      <c r="B1979" s="26" t="s">
        <v>1657</v>
      </c>
      <c r="C1979" s="12" t="s">
        <v>899</v>
      </c>
      <c r="D1979" s="12" t="s">
        <v>175</v>
      </c>
      <c r="E1979" s="12" t="s">
        <v>175</v>
      </c>
      <c r="F1979" s="12" t="s">
        <v>200</v>
      </c>
      <c r="G1979" s="12"/>
      <c r="H1979" s="53">
        <f>H1980</f>
        <v>97879</v>
      </c>
    </row>
    <row r="1980" spans="1:8" s="28" customFormat="1" x14ac:dyDescent="0.25">
      <c r="A1980" s="27">
        <v>50500204</v>
      </c>
      <c r="B1980" s="26" t="s">
        <v>638</v>
      </c>
      <c r="C1980" s="12" t="s">
        <v>899</v>
      </c>
      <c r="D1980" s="12" t="s">
        <v>175</v>
      </c>
      <c r="E1980" s="12" t="s">
        <v>175</v>
      </c>
      <c r="F1980" s="12" t="s">
        <v>797</v>
      </c>
      <c r="G1980" s="12"/>
      <c r="H1980" s="53">
        <f>SUM(H1981:H1982)</f>
        <v>97879</v>
      </c>
    </row>
    <row r="1981" spans="1:8" s="3" customFormat="1" x14ac:dyDescent="0.25">
      <c r="A1981" s="27">
        <v>50500204012</v>
      </c>
      <c r="B1981" s="65" t="s">
        <v>1012</v>
      </c>
      <c r="C1981" s="12" t="s">
        <v>899</v>
      </c>
      <c r="D1981" s="12" t="s">
        <v>175</v>
      </c>
      <c r="E1981" s="12" t="s">
        <v>175</v>
      </c>
      <c r="F1981" s="12" t="s">
        <v>797</v>
      </c>
      <c r="G1981" s="12" t="s">
        <v>1224</v>
      </c>
      <c r="H1981" s="53">
        <v>97379</v>
      </c>
    </row>
    <row r="1982" spans="1:8" s="28" customFormat="1" ht="63" x14ac:dyDescent="0.25">
      <c r="A1982" s="27">
        <v>50500204902</v>
      </c>
      <c r="B1982" s="26" t="s">
        <v>1100</v>
      </c>
      <c r="C1982" s="12" t="s">
        <v>899</v>
      </c>
      <c r="D1982" s="12" t="s">
        <v>175</v>
      </c>
      <c r="E1982" s="12" t="s">
        <v>175</v>
      </c>
      <c r="F1982" s="12" t="s">
        <v>797</v>
      </c>
      <c r="G1982" s="12">
        <v>902</v>
      </c>
      <c r="H1982" s="53">
        <v>500</v>
      </c>
    </row>
    <row r="1983" spans="1:8" s="28" customFormat="1" x14ac:dyDescent="0.25">
      <c r="A1983" s="29"/>
      <c r="B1983" s="26"/>
      <c r="C1983" s="12"/>
      <c r="D1983" s="10"/>
      <c r="E1983" s="10"/>
      <c r="F1983" s="10"/>
      <c r="G1983" s="10"/>
      <c r="H1983" s="53"/>
    </row>
    <row r="1984" spans="1:8" s="3" customFormat="1" ht="31.5" x14ac:dyDescent="0.25">
      <c r="A1984" s="40">
        <v>0</v>
      </c>
      <c r="B1984" s="41" t="s">
        <v>510</v>
      </c>
      <c r="C1984" s="42" t="s">
        <v>368</v>
      </c>
      <c r="D1984" s="31"/>
      <c r="E1984" s="31"/>
      <c r="F1984" s="31"/>
      <c r="G1984" s="31"/>
      <c r="H1984" s="187">
        <f>H1985+H1990</f>
        <v>225063</v>
      </c>
    </row>
    <row r="1985" spans="1:8" s="28" customFormat="1" x14ac:dyDescent="0.25">
      <c r="A1985" s="27">
        <v>4</v>
      </c>
      <c r="B1985" s="35" t="s">
        <v>993</v>
      </c>
      <c r="C1985" s="12" t="s">
        <v>368</v>
      </c>
      <c r="D1985" s="6" t="s">
        <v>1181</v>
      </c>
      <c r="E1985" s="12"/>
      <c r="F1985" s="10"/>
      <c r="G1985" s="12"/>
      <c r="H1985" s="53">
        <f>H1986</f>
        <v>224791</v>
      </c>
    </row>
    <row r="1986" spans="1:8" s="28" customFormat="1" x14ac:dyDescent="0.25">
      <c r="A1986" s="27">
        <v>401</v>
      </c>
      <c r="B1986" s="26" t="s">
        <v>378</v>
      </c>
      <c r="C1986" s="12" t="s">
        <v>368</v>
      </c>
      <c r="D1986" s="6" t="s">
        <v>1181</v>
      </c>
      <c r="E1986" s="6" t="s">
        <v>566</v>
      </c>
      <c r="F1986" s="19"/>
      <c r="G1986" s="19"/>
      <c r="H1986" s="53">
        <f>H1987</f>
        <v>224791</v>
      </c>
    </row>
    <row r="1987" spans="1:8" s="28" customFormat="1" ht="47.25" x14ac:dyDescent="0.25">
      <c r="A1987" s="27">
        <v>401002</v>
      </c>
      <c r="B1987" s="26" t="s">
        <v>1657</v>
      </c>
      <c r="C1987" s="12" t="s">
        <v>368</v>
      </c>
      <c r="D1987" s="12" t="s">
        <v>1181</v>
      </c>
      <c r="E1987" s="12" t="s">
        <v>566</v>
      </c>
      <c r="F1987" s="12" t="s">
        <v>200</v>
      </c>
      <c r="G1987" s="12"/>
      <c r="H1987" s="53">
        <f>H1988</f>
        <v>224791</v>
      </c>
    </row>
    <row r="1988" spans="1:8" s="28" customFormat="1" x14ac:dyDescent="0.25">
      <c r="A1988" s="27">
        <v>40100204</v>
      </c>
      <c r="B1988" s="26" t="s">
        <v>638</v>
      </c>
      <c r="C1988" s="12" t="s">
        <v>368</v>
      </c>
      <c r="D1988" s="12" t="s">
        <v>1181</v>
      </c>
      <c r="E1988" s="12" t="s">
        <v>566</v>
      </c>
      <c r="F1988" s="12" t="s">
        <v>797</v>
      </c>
      <c r="G1988" s="12"/>
      <c r="H1988" s="53">
        <f>H1989</f>
        <v>224791</v>
      </c>
    </row>
    <row r="1989" spans="1:8" s="3" customFormat="1" x14ac:dyDescent="0.25">
      <c r="A1989" s="27">
        <v>40100204012</v>
      </c>
      <c r="B1989" s="65" t="s">
        <v>1012</v>
      </c>
      <c r="C1989" s="12" t="s">
        <v>368</v>
      </c>
      <c r="D1989" s="12" t="s">
        <v>1181</v>
      </c>
      <c r="E1989" s="12" t="s">
        <v>566</v>
      </c>
      <c r="F1989" s="12" t="s">
        <v>797</v>
      </c>
      <c r="G1989" s="12" t="s">
        <v>1224</v>
      </c>
      <c r="H1989" s="53">
        <v>224791</v>
      </c>
    </row>
    <row r="1990" spans="1:8" s="128" customFormat="1" x14ac:dyDescent="0.25">
      <c r="A1990" s="29">
        <v>7</v>
      </c>
      <c r="B1990" s="35" t="s">
        <v>174</v>
      </c>
      <c r="C1990" s="12" t="s">
        <v>368</v>
      </c>
      <c r="D1990" s="12" t="s">
        <v>205</v>
      </c>
      <c r="E1990" s="10"/>
      <c r="F1990" s="10"/>
      <c r="G1990" s="10"/>
      <c r="H1990" s="53">
        <f>H1991</f>
        <v>272</v>
      </c>
    </row>
    <row r="1991" spans="1:8" s="128" customFormat="1" x14ac:dyDescent="0.25">
      <c r="A1991" s="29">
        <v>707</v>
      </c>
      <c r="B1991" s="26" t="s">
        <v>699</v>
      </c>
      <c r="C1991" s="12" t="s">
        <v>368</v>
      </c>
      <c r="D1991" s="12" t="s">
        <v>205</v>
      </c>
      <c r="E1991" s="12" t="s">
        <v>205</v>
      </c>
      <c r="F1991" s="10"/>
      <c r="G1991" s="10"/>
      <c r="H1991" s="53">
        <f>H1992</f>
        <v>272</v>
      </c>
    </row>
    <row r="1992" spans="1:8" s="28" customFormat="1" ht="21" customHeight="1" x14ac:dyDescent="0.25">
      <c r="A1992" s="27">
        <v>707432</v>
      </c>
      <c r="B1992" s="26" t="s">
        <v>1482</v>
      </c>
      <c r="C1992" s="12" t="s">
        <v>368</v>
      </c>
      <c r="D1992" s="12" t="s">
        <v>205</v>
      </c>
      <c r="E1992" s="12" t="s">
        <v>205</v>
      </c>
      <c r="F1992" s="10" t="s">
        <v>965</v>
      </c>
      <c r="G1992" s="12"/>
      <c r="H1992" s="53">
        <f>H1993</f>
        <v>272</v>
      </c>
    </row>
    <row r="1993" spans="1:8" s="28" customFormat="1" x14ac:dyDescent="0.25">
      <c r="A1993" s="27">
        <v>70743202</v>
      </c>
      <c r="B1993" s="26" t="s">
        <v>541</v>
      </c>
      <c r="C1993" s="12" t="s">
        <v>368</v>
      </c>
      <c r="D1993" s="12" t="s">
        <v>205</v>
      </c>
      <c r="E1993" s="12" t="s">
        <v>205</v>
      </c>
      <c r="F1993" s="10" t="s">
        <v>262</v>
      </c>
      <c r="G1993" s="12"/>
      <c r="H1993" s="53">
        <f>H1994</f>
        <v>272</v>
      </c>
    </row>
    <row r="1994" spans="1:8" s="28" customFormat="1" x14ac:dyDescent="0.25">
      <c r="A1994" s="27">
        <v>70743202001</v>
      </c>
      <c r="B1994" s="26" t="s">
        <v>1435</v>
      </c>
      <c r="C1994" s="12" t="s">
        <v>368</v>
      </c>
      <c r="D1994" s="12" t="s">
        <v>205</v>
      </c>
      <c r="E1994" s="12" t="s">
        <v>205</v>
      </c>
      <c r="F1994" s="10" t="s">
        <v>262</v>
      </c>
      <c r="G1994" s="12" t="s">
        <v>1394</v>
      </c>
      <c r="H1994" s="53">
        <v>272</v>
      </c>
    </row>
    <row r="1995" spans="1:8" s="28" customFormat="1" x14ac:dyDescent="0.25">
      <c r="A1995" s="29"/>
      <c r="B1995" s="26"/>
      <c r="C1995" s="12"/>
      <c r="D1995" s="12"/>
      <c r="E1995" s="12"/>
      <c r="F1995" s="12"/>
      <c r="G1995" s="12"/>
      <c r="H1995" s="53"/>
    </row>
    <row r="1996" spans="1:8" s="3" customFormat="1" ht="31.5" x14ac:dyDescent="0.25">
      <c r="A1996" s="40">
        <v>0</v>
      </c>
      <c r="B1996" s="41" t="s">
        <v>936</v>
      </c>
      <c r="C1996" s="42" t="s">
        <v>171</v>
      </c>
      <c r="D1996" s="42"/>
      <c r="E1996" s="31"/>
      <c r="F1996" s="31"/>
      <c r="G1996" s="31"/>
      <c r="H1996" s="187">
        <f>H1997+H2006+H2011+H2016</f>
        <v>492295</v>
      </c>
    </row>
    <row r="1997" spans="1:8" s="28" customFormat="1" x14ac:dyDescent="0.25">
      <c r="A1997" s="29">
        <v>1</v>
      </c>
      <c r="B1997" s="35" t="s">
        <v>482</v>
      </c>
      <c r="C1997" s="12" t="s">
        <v>171</v>
      </c>
      <c r="D1997" s="12" t="s">
        <v>566</v>
      </c>
      <c r="E1997" s="10"/>
      <c r="F1997" s="10"/>
      <c r="G1997" s="10"/>
      <c r="H1997" s="53">
        <f>H1998</f>
        <v>491211</v>
      </c>
    </row>
    <row r="1998" spans="1:8" s="28" customFormat="1" x14ac:dyDescent="0.25">
      <c r="A1998" s="29">
        <v>114</v>
      </c>
      <c r="B1998" s="26" t="s">
        <v>287</v>
      </c>
      <c r="C1998" s="12" t="s">
        <v>171</v>
      </c>
      <c r="D1998" s="12" t="s">
        <v>566</v>
      </c>
      <c r="E1998" s="12">
        <v>14</v>
      </c>
      <c r="F1998" s="10"/>
      <c r="G1998" s="10"/>
      <c r="H1998" s="53">
        <f>H1999+H2002</f>
        <v>491211</v>
      </c>
    </row>
    <row r="1999" spans="1:8" s="28" customFormat="1" x14ac:dyDescent="0.25">
      <c r="A1999" s="27">
        <v>114001</v>
      </c>
      <c r="B1999" s="26" t="s">
        <v>637</v>
      </c>
      <c r="C1999" s="12" t="s">
        <v>171</v>
      </c>
      <c r="D1999" s="12" t="s">
        <v>566</v>
      </c>
      <c r="E1999" s="12">
        <v>14</v>
      </c>
      <c r="F1999" s="12" t="s">
        <v>1096</v>
      </c>
      <c r="G1999" s="12"/>
      <c r="H1999" s="53">
        <f>H2000</f>
        <v>180190</v>
      </c>
    </row>
    <row r="2000" spans="1:8" s="28" customFormat="1" x14ac:dyDescent="0.25">
      <c r="A2000" s="27">
        <v>11400138</v>
      </c>
      <c r="B2000" s="26" t="s">
        <v>785</v>
      </c>
      <c r="C2000" s="12" t="s">
        <v>171</v>
      </c>
      <c r="D2000" s="12" t="s">
        <v>566</v>
      </c>
      <c r="E2000" s="12">
        <v>14</v>
      </c>
      <c r="F2000" s="12" t="s">
        <v>1024</v>
      </c>
      <c r="G2000" s="12"/>
      <c r="H2000" s="53">
        <f>SUM(H2001:H2001)</f>
        <v>180190</v>
      </c>
    </row>
    <row r="2001" spans="1:8" s="3" customFormat="1" x14ac:dyDescent="0.25">
      <c r="A2001" s="27">
        <v>11400138012</v>
      </c>
      <c r="B2001" s="65" t="s">
        <v>1012</v>
      </c>
      <c r="C2001" s="12" t="s">
        <v>171</v>
      </c>
      <c r="D2001" s="12" t="s">
        <v>566</v>
      </c>
      <c r="E2001" s="12">
        <v>14</v>
      </c>
      <c r="F2001" s="12" t="s">
        <v>1024</v>
      </c>
      <c r="G2001" s="12" t="s">
        <v>1224</v>
      </c>
      <c r="H2001" s="53">
        <v>180190</v>
      </c>
    </row>
    <row r="2002" spans="1:8" s="28" customFormat="1" ht="47.25" x14ac:dyDescent="0.25">
      <c r="A2002" s="27">
        <v>114002</v>
      </c>
      <c r="B2002" s="26" t="s">
        <v>1657</v>
      </c>
      <c r="C2002" s="12" t="s">
        <v>171</v>
      </c>
      <c r="D2002" s="12" t="s">
        <v>566</v>
      </c>
      <c r="E2002" s="12">
        <v>14</v>
      </c>
      <c r="F2002" s="12" t="s">
        <v>200</v>
      </c>
      <c r="G2002" s="12"/>
      <c r="H2002" s="53">
        <f>H2003</f>
        <v>311021</v>
      </c>
    </row>
    <row r="2003" spans="1:8" s="28" customFormat="1" x14ac:dyDescent="0.25">
      <c r="A2003" s="27">
        <v>11400204</v>
      </c>
      <c r="B2003" s="26" t="s">
        <v>638</v>
      </c>
      <c r="C2003" s="12" t="s">
        <v>171</v>
      </c>
      <c r="D2003" s="12" t="s">
        <v>566</v>
      </c>
      <c r="E2003" s="12">
        <v>14</v>
      </c>
      <c r="F2003" s="12" t="s">
        <v>797</v>
      </c>
      <c r="G2003" s="12"/>
      <c r="H2003" s="53">
        <f>SUM(H2004:H2005)</f>
        <v>311021</v>
      </c>
    </row>
    <row r="2004" spans="1:8" s="3" customFormat="1" x14ac:dyDescent="0.25">
      <c r="A2004" s="27">
        <v>11400204012</v>
      </c>
      <c r="B2004" s="65" t="s">
        <v>1012</v>
      </c>
      <c r="C2004" s="12" t="s">
        <v>171</v>
      </c>
      <c r="D2004" s="12" t="s">
        <v>566</v>
      </c>
      <c r="E2004" s="12">
        <v>14</v>
      </c>
      <c r="F2004" s="12" t="s">
        <v>797</v>
      </c>
      <c r="G2004" s="12" t="s">
        <v>1224</v>
      </c>
      <c r="H2004" s="53">
        <v>294171</v>
      </c>
    </row>
    <row r="2005" spans="1:8" s="28" customFormat="1" ht="63" x14ac:dyDescent="0.25">
      <c r="A2005" s="27">
        <v>11400204902</v>
      </c>
      <c r="B2005" s="26" t="s">
        <v>1100</v>
      </c>
      <c r="C2005" s="12" t="s">
        <v>171</v>
      </c>
      <c r="D2005" s="12" t="s">
        <v>566</v>
      </c>
      <c r="E2005" s="12">
        <v>14</v>
      </c>
      <c r="F2005" s="12" t="s">
        <v>797</v>
      </c>
      <c r="G2005" s="12">
        <v>902</v>
      </c>
      <c r="H2005" s="53">
        <v>16850</v>
      </c>
    </row>
    <row r="2006" spans="1:8" s="28" customFormat="1" x14ac:dyDescent="0.25">
      <c r="A2006" s="27">
        <v>2</v>
      </c>
      <c r="B2006" s="35" t="s">
        <v>271</v>
      </c>
      <c r="C2006" s="12" t="s">
        <v>171</v>
      </c>
      <c r="D2006" s="12" t="s">
        <v>567</v>
      </c>
      <c r="E2006" s="31"/>
      <c r="F2006" s="31"/>
      <c r="G2006" s="31"/>
      <c r="H2006" s="53">
        <f>H2007</f>
        <v>120</v>
      </c>
    </row>
    <row r="2007" spans="1:8" s="28" customFormat="1" x14ac:dyDescent="0.25">
      <c r="A2007" s="27">
        <v>204</v>
      </c>
      <c r="B2007" s="26" t="s">
        <v>1054</v>
      </c>
      <c r="C2007" s="12" t="s">
        <v>171</v>
      </c>
      <c r="D2007" s="12" t="s">
        <v>567</v>
      </c>
      <c r="E2007" s="12" t="s">
        <v>1181</v>
      </c>
      <c r="F2007" s="31"/>
      <c r="G2007" s="31"/>
      <c r="H2007" s="53">
        <f>H2008</f>
        <v>120</v>
      </c>
    </row>
    <row r="2008" spans="1:8" s="28" customFormat="1" ht="31.5" x14ac:dyDescent="0.25">
      <c r="A2008" s="27">
        <v>204209</v>
      </c>
      <c r="B2008" s="26" t="s">
        <v>141</v>
      </c>
      <c r="C2008" s="12" t="s">
        <v>171</v>
      </c>
      <c r="D2008" s="12" t="s">
        <v>567</v>
      </c>
      <c r="E2008" s="12" t="s">
        <v>1181</v>
      </c>
      <c r="F2008" s="10" t="s">
        <v>270</v>
      </c>
      <c r="G2008" s="31"/>
      <c r="H2008" s="53">
        <f>H2009</f>
        <v>120</v>
      </c>
    </row>
    <row r="2009" spans="1:8" s="28" customFormat="1" ht="31.5" x14ac:dyDescent="0.25">
      <c r="A2009" s="27">
        <v>20420901</v>
      </c>
      <c r="B2009" s="26" t="s">
        <v>1408</v>
      </c>
      <c r="C2009" s="12" t="s">
        <v>171</v>
      </c>
      <c r="D2009" s="12" t="s">
        <v>567</v>
      </c>
      <c r="E2009" s="12" t="s">
        <v>1181</v>
      </c>
      <c r="F2009" s="10" t="s">
        <v>956</v>
      </c>
      <c r="G2009" s="31"/>
      <c r="H2009" s="53">
        <f>H2010</f>
        <v>120</v>
      </c>
    </row>
    <row r="2010" spans="1:8" s="28" customFormat="1" x14ac:dyDescent="0.25">
      <c r="A2010" s="27">
        <v>20420901012</v>
      </c>
      <c r="B2010" s="65" t="s">
        <v>1012</v>
      </c>
      <c r="C2010" s="12" t="s">
        <v>171</v>
      </c>
      <c r="D2010" s="12" t="s">
        <v>567</v>
      </c>
      <c r="E2010" s="12" t="s">
        <v>1181</v>
      </c>
      <c r="F2010" s="10" t="s">
        <v>956</v>
      </c>
      <c r="G2010" s="12" t="s">
        <v>1224</v>
      </c>
      <c r="H2010" s="53">
        <v>120</v>
      </c>
    </row>
    <row r="2011" spans="1:8" s="28" customFormat="1" ht="20.25" customHeight="1" x14ac:dyDescent="0.25">
      <c r="A2011" s="27">
        <v>3</v>
      </c>
      <c r="B2011" s="35" t="s">
        <v>1049</v>
      </c>
      <c r="C2011" s="12" t="s">
        <v>171</v>
      </c>
      <c r="D2011" s="12" t="s">
        <v>193</v>
      </c>
      <c r="E2011" s="12"/>
      <c r="F2011" s="10"/>
      <c r="G2011" s="12"/>
      <c r="H2011" s="53">
        <f>H2012</f>
        <v>720</v>
      </c>
    </row>
    <row r="2012" spans="1:8" s="28" customFormat="1" ht="47.25" x14ac:dyDescent="0.25">
      <c r="A2012" s="27">
        <v>309</v>
      </c>
      <c r="B2012" s="26" t="s">
        <v>133</v>
      </c>
      <c r="C2012" s="12" t="s">
        <v>171</v>
      </c>
      <c r="D2012" s="12" t="s">
        <v>193</v>
      </c>
      <c r="E2012" s="12" t="s">
        <v>406</v>
      </c>
      <c r="F2012" s="10"/>
      <c r="G2012" s="12"/>
      <c r="H2012" s="53">
        <f>H2013</f>
        <v>720</v>
      </c>
    </row>
    <row r="2013" spans="1:8" s="28" customFormat="1" x14ac:dyDescent="0.25">
      <c r="A2013" s="27">
        <v>309219</v>
      </c>
      <c r="B2013" s="26" t="s">
        <v>1098</v>
      </c>
      <c r="C2013" s="12" t="s">
        <v>171</v>
      </c>
      <c r="D2013" s="12" t="s">
        <v>193</v>
      </c>
      <c r="E2013" s="12" t="s">
        <v>406</v>
      </c>
      <c r="F2013" s="10" t="s">
        <v>620</v>
      </c>
      <c r="G2013" s="12"/>
      <c r="H2013" s="53">
        <f>H2014</f>
        <v>720</v>
      </c>
    </row>
    <row r="2014" spans="1:8" s="28" customFormat="1" ht="31.5" x14ac:dyDescent="0.25">
      <c r="A2014" s="27">
        <v>30921901</v>
      </c>
      <c r="B2014" s="26" t="s">
        <v>591</v>
      </c>
      <c r="C2014" s="12" t="s">
        <v>171</v>
      </c>
      <c r="D2014" s="12" t="s">
        <v>193</v>
      </c>
      <c r="E2014" s="12" t="s">
        <v>406</v>
      </c>
      <c r="F2014" s="10" t="s">
        <v>269</v>
      </c>
      <c r="G2014" s="12"/>
      <c r="H2014" s="53">
        <f>H2015</f>
        <v>720</v>
      </c>
    </row>
    <row r="2015" spans="1:8" s="28" customFormat="1" ht="30" customHeight="1" x14ac:dyDescent="0.25">
      <c r="A2015" s="27">
        <v>30921901012</v>
      </c>
      <c r="B2015" s="65" t="s">
        <v>1012</v>
      </c>
      <c r="C2015" s="12" t="s">
        <v>171</v>
      </c>
      <c r="D2015" s="12" t="s">
        <v>193</v>
      </c>
      <c r="E2015" s="12" t="s">
        <v>406</v>
      </c>
      <c r="F2015" s="10" t="s">
        <v>269</v>
      </c>
      <c r="G2015" s="12" t="s">
        <v>1224</v>
      </c>
      <c r="H2015" s="53">
        <v>720</v>
      </c>
    </row>
    <row r="2016" spans="1:8" s="28" customFormat="1" x14ac:dyDescent="0.25">
      <c r="A2016" s="29">
        <v>7</v>
      </c>
      <c r="B2016" s="35" t="s">
        <v>174</v>
      </c>
      <c r="C2016" s="12" t="s">
        <v>171</v>
      </c>
      <c r="D2016" s="12" t="s">
        <v>205</v>
      </c>
      <c r="E2016" s="10"/>
      <c r="F2016" s="10"/>
      <c r="G2016" s="10"/>
      <c r="H2016" s="53">
        <f>H2017</f>
        <v>244</v>
      </c>
    </row>
    <row r="2017" spans="1:9" s="28" customFormat="1" x14ac:dyDescent="0.25">
      <c r="A2017" s="29">
        <v>707</v>
      </c>
      <c r="B2017" s="26" t="s">
        <v>699</v>
      </c>
      <c r="C2017" s="12" t="s">
        <v>171</v>
      </c>
      <c r="D2017" s="12" t="s">
        <v>205</v>
      </c>
      <c r="E2017" s="12" t="s">
        <v>205</v>
      </c>
      <c r="F2017" s="10"/>
      <c r="G2017" s="10"/>
      <c r="H2017" s="53">
        <f>H2018</f>
        <v>244</v>
      </c>
    </row>
    <row r="2018" spans="1:9" s="28" customFormat="1" ht="21" customHeight="1" x14ac:dyDescent="0.25">
      <c r="A2018" s="27">
        <v>707432</v>
      </c>
      <c r="B2018" s="26" t="s">
        <v>1482</v>
      </c>
      <c r="C2018" s="12" t="s">
        <v>171</v>
      </c>
      <c r="D2018" s="12" t="s">
        <v>205</v>
      </c>
      <c r="E2018" s="12" t="s">
        <v>205</v>
      </c>
      <c r="F2018" s="10" t="s">
        <v>965</v>
      </c>
      <c r="G2018" s="12"/>
      <c r="H2018" s="53">
        <f>H2019</f>
        <v>244</v>
      </c>
    </row>
    <row r="2019" spans="1:9" s="28" customFormat="1" x14ac:dyDescent="0.25">
      <c r="A2019" s="27">
        <v>70743202</v>
      </c>
      <c r="B2019" s="26" t="s">
        <v>541</v>
      </c>
      <c r="C2019" s="12" t="s">
        <v>171</v>
      </c>
      <c r="D2019" s="12" t="s">
        <v>205</v>
      </c>
      <c r="E2019" s="12" t="s">
        <v>205</v>
      </c>
      <c r="F2019" s="10" t="s">
        <v>262</v>
      </c>
      <c r="G2019" s="12"/>
      <c r="H2019" s="53">
        <f>H2020</f>
        <v>244</v>
      </c>
    </row>
    <row r="2020" spans="1:9" s="28" customFormat="1" x14ac:dyDescent="0.25">
      <c r="A2020" s="27">
        <v>70743202001</v>
      </c>
      <c r="B2020" s="26" t="s">
        <v>1435</v>
      </c>
      <c r="C2020" s="12" t="s">
        <v>171</v>
      </c>
      <c r="D2020" s="12" t="s">
        <v>205</v>
      </c>
      <c r="E2020" s="12" t="s">
        <v>205</v>
      </c>
      <c r="F2020" s="10" t="s">
        <v>262</v>
      </c>
      <c r="G2020" s="12" t="s">
        <v>1394</v>
      </c>
      <c r="H2020" s="53">
        <v>244</v>
      </c>
    </row>
    <row r="2021" spans="1:9" s="28" customFormat="1" x14ac:dyDescent="0.25">
      <c r="A2021" s="29"/>
      <c r="B2021" s="26"/>
      <c r="C2021" s="12"/>
      <c r="D2021" s="10"/>
      <c r="E2021" s="10"/>
      <c r="F2021" s="10"/>
      <c r="G2021" s="10"/>
      <c r="H2021" s="53"/>
    </row>
    <row r="2022" spans="1:9" s="3" customFormat="1" ht="31.5" x14ac:dyDescent="0.25">
      <c r="A2022" s="40">
        <v>0</v>
      </c>
      <c r="B2022" s="41" t="s">
        <v>1055</v>
      </c>
      <c r="C2022" s="42" t="s">
        <v>1056</v>
      </c>
      <c r="D2022" s="31"/>
      <c r="E2022" s="31"/>
      <c r="F2022" s="31"/>
      <c r="G2022" s="31"/>
      <c r="H2022" s="187">
        <f>H2023+H2032+H2037+H2042</f>
        <v>75805</v>
      </c>
      <c r="I2022" s="66"/>
    </row>
    <row r="2023" spans="1:9" s="28" customFormat="1" x14ac:dyDescent="0.25">
      <c r="A2023" s="29">
        <v>1</v>
      </c>
      <c r="B2023" s="35" t="s">
        <v>482</v>
      </c>
      <c r="C2023" s="12" t="s">
        <v>1056</v>
      </c>
      <c r="D2023" s="12" t="s">
        <v>566</v>
      </c>
      <c r="E2023" s="10"/>
      <c r="F2023" s="10"/>
      <c r="G2023" s="10"/>
      <c r="H2023" s="53">
        <f>H2024</f>
        <v>70044</v>
      </c>
    </row>
    <row r="2024" spans="1:9" s="28" customFormat="1" x14ac:dyDescent="0.25">
      <c r="A2024" s="29">
        <v>114</v>
      </c>
      <c r="B2024" s="26" t="s">
        <v>287</v>
      </c>
      <c r="C2024" s="12" t="s">
        <v>1056</v>
      </c>
      <c r="D2024" s="12" t="s">
        <v>566</v>
      </c>
      <c r="E2024" s="12">
        <v>14</v>
      </c>
      <c r="F2024" s="10"/>
      <c r="G2024" s="10"/>
      <c r="H2024" s="53">
        <f>H2025+H2028</f>
        <v>70044</v>
      </c>
    </row>
    <row r="2025" spans="1:9" s="28" customFormat="1" x14ac:dyDescent="0.25">
      <c r="A2025" s="27">
        <v>114001</v>
      </c>
      <c r="B2025" s="26" t="s">
        <v>637</v>
      </c>
      <c r="C2025" s="12" t="s">
        <v>1056</v>
      </c>
      <c r="D2025" s="12" t="s">
        <v>566</v>
      </c>
      <c r="E2025" s="12">
        <v>14</v>
      </c>
      <c r="F2025" s="10" t="s">
        <v>1096</v>
      </c>
      <c r="G2025" s="12"/>
      <c r="H2025" s="53">
        <f>H2026</f>
        <v>9269</v>
      </c>
    </row>
    <row r="2026" spans="1:9" s="147" customFormat="1" ht="21" customHeight="1" x14ac:dyDescent="0.25">
      <c r="A2026" s="188">
        <v>11400166</v>
      </c>
      <c r="B2026" s="38" t="s">
        <v>1690</v>
      </c>
      <c r="C2026" s="12" t="s">
        <v>1056</v>
      </c>
      <c r="D2026" s="25" t="s">
        <v>566</v>
      </c>
      <c r="E2026" s="25">
        <v>14</v>
      </c>
      <c r="F2026" s="25" t="s">
        <v>331</v>
      </c>
      <c r="G2026" s="189"/>
      <c r="H2026" s="53">
        <f>H2027</f>
        <v>9269</v>
      </c>
    </row>
    <row r="2027" spans="1:9" s="147" customFormat="1" x14ac:dyDescent="0.25">
      <c r="A2027" s="188">
        <v>11400166013</v>
      </c>
      <c r="B2027" s="38" t="s">
        <v>1335</v>
      </c>
      <c r="C2027" s="12" t="s">
        <v>1056</v>
      </c>
      <c r="D2027" s="25" t="s">
        <v>566</v>
      </c>
      <c r="E2027" s="25">
        <v>14</v>
      </c>
      <c r="F2027" s="25" t="s">
        <v>331</v>
      </c>
      <c r="G2027" s="25" t="s">
        <v>972</v>
      </c>
      <c r="H2027" s="53">
        <v>9269</v>
      </c>
    </row>
    <row r="2028" spans="1:9" s="28" customFormat="1" ht="47.25" x14ac:dyDescent="0.25">
      <c r="A2028" s="27">
        <v>114002</v>
      </c>
      <c r="B2028" s="26" t="s">
        <v>1657</v>
      </c>
      <c r="C2028" s="12" t="s">
        <v>1056</v>
      </c>
      <c r="D2028" s="12" t="s">
        <v>566</v>
      </c>
      <c r="E2028" s="12">
        <v>14</v>
      </c>
      <c r="F2028" s="12" t="s">
        <v>200</v>
      </c>
      <c r="G2028" s="12"/>
      <c r="H2028" s="53">
        <f>H2029</f>
        <v>60775</v>
      </c>
    </row>
    <row r="2029" spans="1:9" s="28" customFormat="1" x14ac:dyDescent="0.25">
      <c r="A2029" s="27">
        <v>11400204</v>
      </c>
      <c r="B2029" s="26" t="s">
        <v>638</v>
      </c>
      <c r="C2029" s="12" t="s">
        <v>1056</v>
      </c>
      <c r="D2029" s="12" t="s">
        <v>566</v>
      </c>
      <c r="E2029" s="12">
        <v>14</v>
      </c>
      <c r="F2029" s="12" t="s">
        <v>797</v>
      </c>
      <c r="G2029" s="12"/>
      <c r="H2029" s="53">
        <f>SUM(H2030:H2031)</f>
        <v>60775</v>
      </c>
    </row>
    <row r="2030" spans="1:9" s="3" customFormat="1" x14ac:dyDescent="0.25">
      <c r="A2030" s="27">
        <v>11400204012</v>
      </c>
      <c r="B2030" s="65" t="s">
        <v>1012</v>
      </c>
      <c r="C2030" s="12" t="s">
        <v>1056</v>
      </c>
      <c r="D2030" s="12" t="s">
        <v>566</v>
      </c>
      <c r="E2030" s="12">
        <v>14</v>
      </c>
      <c r="F2030" s="12" t="s">
        <v>797</v>
      </c>
      <c r="G2030" s="12" t="s">
        <v>1224</v>
      </c>
      <c r="H2030" s="53">
        <v>59938</v>
      </c>
    </row>
    <row r="2031" spans="1:9" s="28" customFormat="1" ht="63" x14ac:dyDescent="0.25">
      <c r="A2031" s="27">
        <v>11400204902</v>
      </c>
      <c r="B2031" s="26" t="s">
        <v>1100</v>
      </c>
      <c r="C2031" s="12" t="s">
        <v>1056</v>
      </c>
      <c r="D2031" s="12" t="s">
        <v>566</v>
      </c>
      <c r="E2031" s="12">
        <v>14</v>
      </c>
      <c r="F2031" s="12" t="s">
        <v>797</v>
      </c>
      <c r="G2031" s="12">
        <v>902</v>
      </c>
      <c r="H2031" s="53">
        <v>837</v>
      </c>
    </row>
    <row r="2032" spans="1:9" s="28" customFormat="1" x14ac:dyDescent="0.25">
      <c r="A2032" s="27">
        <v>2</v>
      </c>
      <c r="B2032" s="35" t="s">
        <v>271</v>
      </c>
      <c r="C2032" s="12" t="s">
        <v>1056</v>
      </c>
      <c r="D2032" s="12" t="s">
        <v>567</v>
      </c>
      <c r="E2032" s="31"/>
      <c r="F2032" s="31"/>
      <c r="G2032" s="31"/>
      <c r="H2032" s="53">
        <f>H2033</f>
        <v>90</v>
      </c>
    </row>
    <row r="2033" spans="1:8" s="28" customFormat="1" x14ac:dyDescent="0.25">
      <c r="A2033" s="27">
        <v>204</v>
      </c>
      <c r="B2033" s="26" t="s">
        <v>1054</v>
      </c>
      <c r="C2033" s="12" t="s">
        <v>1056</v>
      </c>
      <c r="D2033" s="12" t="s">
        <v>567</v>
      </c>
      <c r="E2033" s="12" t="s">
        <v>1181</v>
      </c>
      <c r="F2033" s="31"/>
      <c r="G2033" s="31"/>
      <c r="H2033" s="53">
        <f>H2034</f>
        <v>90</v>
      </c>
    </row>
    <row r="2034" spans="1:8" s="28" customFormat="1" ht="31.5" x14ac:dyDescent="0.25">
      <c r="A2034" s="27">
        <v>204209</v>
      </c>
      <c r="B2034" s="26" t="s">
        <v>141</v>
      </c>
      <c r="C2034" s="12" t="s">
        <v>1056</v>
      </c>
      <c r="D2034" s="12" t="s">
        <v>567</v>
      </c>
      <c r="E2034" s="12" t="s">
        <v>1181</v>
      </c>
      <c r="F2034" s="10" t="s">
        <v>270</v>
      </c>
      <c r="G2034" s="31"/>
      <c r="H2034" s="53">
        <f>H2035</f>
        <v>90</v>
      </c>
    </row>
    <row r="2035" spans="1:8" s="28" customFormat="1" ht="31.5" x14ac:dyDescent="0.25">
      <c r="A2035" s="27">
        <v>20420901</v>
      </c>
      <c r="B2035" s="26" t="s">
        <v>1408</v>
      </c>
      <c r="C2035" s="12" t="s">
        <v>1056</v>
      </c>
      <c r="D2035" s="12" t="s">
        <v>567</v>
      </c>
      <c r="E2035" s="12" t="s">
        <v>1181</v>
      </c>
      <c r="F2035" s="10" t="s">
        <v>956</v>
      </c>
      <c r="G2035" s="31"/>
      <c r="H2035" s="53">
        <f>H2036</f>
        <v>90</v>
      </c>
    </row>
    <row r="2036" spans="1:8" s="28" customFormat="1" x14ac:dyDescent="0.25">
      <c r="A2036" s="27">
        <v>20420901012</v>
      </c>
      <c r="B2036" s="65" t="s">
        <v>1012</v>
      </c>
      <c r="C2036" s="12" t="s">
        <v>1056</v>
      </c>
      <c r="D2036" s="12" t="s">
        <v>567</v>
      </c>
      <c r="E2036" s="12" t="s">
        <v>1181</v>
      </c>
      <c r="F2036" s="10" t="s">
        <v>956</v>
      </c>
      <c r="G2036" s="12" t="s">
        <v>1224</v>
      </c>
      <c r="H2036" s="53">
        <v>90</v>
      </c>
    </row>
    <row r="2037" spans="1:8" s="28" customFormat="1" ht="20.25" customHeight="1" x14ac:dyDescent="0.25">
      <c r="A2037" s="27">
        <v>3</v>
      </c>
      <c r="B2037" s="35" t="s">
        <v>1049</v>
      </c>
      <c r="C2037" s="12" t="s">
        <v>1056</v>
      </c>
      <c r="D2037" s="12" t="s">
        <v>193</v>
      </c>
      <c r="E2037" s="12"/>
      <c r="F2037" s="10"/>
      <c r="G2037" s="12"/>
      <c r="H2037" s="53">
        <f>H2038</f>
        <v>111</v>
      </c>
    </row>
    <row r="2038" spans="1:8" s="28" customFormat="1" ht="47.25" x14ac:dyDescent="0.25">
      <c r="A2038" s="27">
        <v>309</v>
      </c>
      <c r="B2038" s="26" t="s">
        <v>133</v>
      </c>
      <c r="C2038" s="12" t="s">
        <v>1056</v>
      </c>
      <c r="D2038" s="12" t="s">
        <v>193</v>
      </c>
      <c r="E2038" s="12" t="s">
        <v>406</v>
      </c>
      <c r="F2038" s="10"/>
      <c r="G2038" s="12"/>
      <c r="H2038" s="53">
        <f>H2039</f>
        <v>111</v>
      </c>
    </row>
    <row r="2039" spans="1:8" s="28" customFormat="1" x14ac:dyDescent="0.25">
      <c r="A2039" s="27">
        <v>309219</v>
      </c>
      <c r="B2039" s="26" t="s">
        <v>1098</v>
      </c>
      <c r="C2039" s="12" t="s">
        <v>1056</v>
      </c>
      <c r="D2039" s="12" t="s">
        <v>193</v>
      </c>
      <c r="E2039" s="12" t="s">
        <v>406</v>
      </c>
      <c r="F2039" s="10" t="s">
        <v>620</v>
      </c>
      <c r="G2039" s="12"/>
      <c r="H2039" s="53">
        <f>H2040</f>
        <v>111</v>
      </c>
    </row>
    <row r="2040" spans="1:8" s="28" customFormat="1" ht="31.5" x14ac:dyDescent="0.25">
      <c r="A2040" s="27">
        <v>30921901</v>
      </c>
      <c r="B2040" s="26" t="s">
        <v>591</v>
      </c>
      <c r="C2040" s="12" t="s">
        <v>1056</v>
      </c>
      <c r="D2040" s="12" t="s">
        <v>193</v>
      </c>
      <c r="E2040" s="12" t="s">
        <v>406</v>
      </c>
      <c r="F2040" s="10" t="s">
        <v>269</v>
      </c>
      <c r="G2040" s="12"/>
      <c r="H2040" s="53">
        <f>H2041</f>
        <v>111</v>
      </c>
    </row>
    <row r="2041" spans="1:8" s="28" customFormat="1" x14ac:dyDescent="0.25">
      <c r="A2041" s="27">
        <v>30921901012</v>
      </c>
      <c r="B2041" s="65" t="s">
        <v>1012</v>
      </c>
      <c r="C2041" s="12" t="s">
        <v>1056</v>
      </c>
      <c r="D2041" s="12" t="s">
        <v>193</v>
      </c>
      <c r="E2041" s="12" t="s">
        <v>406</v>
      </c>
      <c r="F2041" s="10" t="s">
        <v>269</v>
      </c>
      <c r="G2041" s="12" t="s">
        <v>1224</v>
      </c>
      <c r="H2041" s="53">
        <v>111</v>
      </c>
    </row>
    <row r="2042" spans="1:8" s="28" customFormat="1" x14ac:dyDescent="0.25">
      <c r="A2042" s="29">
        <v>7</v>
      </c>
      <c r="B2042" s="35" t="s">
        <v>174</v>
      </c>
      <c r="C2042" s="12" t="s">
        <v>1056</v>
      </c>
      <c r="D2042" s="12" t="s">
        <v>205</v>
      </c>
      <c r="E2042" s="10"/>
      <c r="F2042" s="10"/>
      <c r="G2042" s="10"/>
      <c r="H2042" s="53">
        <f>H2043+H2047</f>
        <v>5560</v>
      </c>
    </row>
    <row r="2043" spans="1:8" s="28" customFormat="1" ht="31.5" x14ac:dyDescent="0.25">
      <c r="A2043" s="29">
        <v>705</v>
      </c>
      <c r="B2043" s="26" t="s">
        <v>244</v>
      </c>
      <c r="C2043" s="12" t="s">
        <v>1056</v>
      </c>
      <c r="D2043" s="12" t="s">
        <v>205</v>
      </c>
      <c r="E2043" s="12" t="s">
        <v>175</v>
      </c>
      <c r="F2043" s="10"/>
      <c r="G2043" s="10"/>
      <c r="H2043" s="53">
        <f>H2044</f>
        <v>5500</v>
      </c>
    </row>
    <row r="2044" spans="1:8" s="28" customFormat="1" x14ac:dyDescent="0.25">
      <c r="A2044" s="27">
        <v>705429</v>
      </c>
      <c r="B2044" s="26" t="s">
        <v>204</v>
      </c>
      <c r="C2044" s="12" t="s">
        <v>1056</v>
      </c>
      <c r="D2044" s="12" t="s">
        <v>205</v>
      </c>
      <c r="E2044" s="12" t="s">
        <v>175</v>
      </c>
      <c r="F2044" s="10" t="s">
        <v>398</v>
      </c>
      <c r="G2044" s="10"/>
      <c r="H2044" s="53">
        <f>H2045</f>
        <v>5500</v>
      </c>
    </row>
    <row r="2045" spans="1:8" s="28" customFormat="1" x14ac:dyDescent="0.25">
      <c r="A2045" s="27">
        <v>70542978</v>
      </c>
      <c r="B2045" s="26" t="s">
        <v>550</v>
      </c>
      <c r="C2045" s="12" t="s">
        <v>1056</v>
      </c>
      <c r="D2045" s="12" t="s">
        <v>205</v>
      </c>
      <c r="E2045" s="12" t="s">
        <v>175</v>
      </c>
      <c r="F2045" s="10" t="s">
        <v>1206</v>
      </c>
      <c r="G2045" s="12"/>
      <c r="H2045" s="53">
        <f>H2046</f>
        <v>5500</v>
      </c>
    </row>
    <row r="2046" spans="1:8" s="28" customFormat="1" x14ac:dyDescent="0.25">
      <c r="A2046" s="27">
        <v>70542978001</v>
      </c>
      <c r="B2046" s="26" t="s">
        <v>1435</v>
      </c>
      <c r="C2046" s="12" t="s">
        <v>1056</v>
      </c>
      <c r="D2046" s="12" t="s">
        <v>205</v>
      </c>
      <c r="E2046" s="12" t="s">
        <v>175</v>
      </c>
      <c r="F2046" s="10" t="s">
        <v>1206</v>
      </c>
      <c r="G2046" s="12" t="s">
        <v>1394</v>
      </c>
      <c r="H2046" s="53">
        <v>5500</v>
      </c>
    </row>
    <row r="2047" spans="1:8" s="128" customFormat="1" x14ac:dyDescent="0.25">
      <c r="A2047" s="29">
        <v>707</v>
      </c>
      <c r="B2047" s="26" t="s">
        <v>699</v>
      </c>
      <c r="C2047" s="12" t="s">
        <v>1056</v>
      </c>
      <c r="D2047" s="12" t="s">
        <v>205</v>
      </c>
      <c r="E2047" s="12" t="s">
        <v>205</v>
      </c>
      <c r="F2047" s="10"/>
      <c r="G2047" s="10"/>
      <c r="H2047" s="53">
        <f>H2048</f>
        <v>60</v>
      </c>
    </row>
    <row r="2048" spans="1:8" s="128" customFormat="1" ht="21" customHeight="1" x14ac:dyDescent="0.25">
      <c r="A2048" s="27">
        <v>707432</v>
      </c>
      <c r="B2048" s="26" t="s">
        <v>1482</v>
      </c>
      <c r="C2048" s="12" t="s">
        <v>1056</v>
      </c>
      <c r="D2048" s="12" t="s">
        <v>205</v>
      </c>
      <c r="E2048" s="12" t="s">
        <v>205</v>
      </c>
      <c r="F2048" s="10" t="s">
        <v>965</v>
      </c>
      <c r="G2048" s="12"/>
      <c r="H2048" s="53">
        <f>H2049</f>
        <v>60</v>
      </c>
    </row>
    <row r="2049" spans="1:8" s="128" customFormat="1" x14ac:dyDescent="0.25">
      <c r="A2049" s="27">
        <v>70743202</v>
      </c>
      <c r="B2049" s="26" t="s">
        <v>541</v>
      </c>
      <c r="C2049" s="12" t="s">
        <v>1056</v>
      </c>
      <c r="D2049" s="12" t="s">
        <v>205</v>
      </c>
      <c r="E2049" s="12" t="s">
        <v>205</v>
      </c>
      <c r="F2049" s="10" t="s">
        <v>262</v>
      </c>
      <c r="G2049" s="12"/>
      <c r="H2049" s="53">
        <f>H2050</f>
        <v>60</v>
      </c>
    </row>
    <row r="2050" spans="1:8" s="128" customFormat="1" x14ac:dyDescent="0.25">
      <c r="A2050" s="27">
        <v>70743202001</v>
      </c>
      <c r="B2050" s="26" t="s">
        <v>1435</v>
      </c>
      <c r="C2050" s="12" t="s">
        <v>1056</v>
      </c>
      <c r="D2050" s="12" t="s">
        <v>205</v>
      </c>
      <c r="E2050" s="12" t="s">
        <v>205</v>
      </c>
      <c r="F2050" s="10" t="s">
        <v>262</v>
      </c>
      <c r="G2050" s="12" t="s">
        <v>1394</v>
      </c>
      <c r="H2050" s="53">
        <v>60</v>
      </c>
    </row>
    <row r="2051" spans="1:8" s="28" customFormat="1" x14ac:dyDescent="0.25">
      <c r="A2051" s="29"/>
      <c r="B2051" s="26"/>
      <c r="C2051" s="12"/>
      <c r="D2051" s="12"/>
      <c r="E2051" s="12"/>
      <c r="F2051" s="12"/>
      <c r="G2051" s="12"/>
      <c r="H2051" s="53"/>
    </row>
    <row r="2052" spans="1:8" s="3" customFormat="1" ht="31.5" x14ac:dyDescent="0.25">
      <c r="A2052" s="40">
        <v>0</v>
      </c>
      <c r="B2052" s="30" t="s">
        <v>397</v>
      </c>
      <c r="C2052" s="42" t="s">
        <v>172</v>
      </c>
      <c r="D2052" s="42"/>
      <c r="E2052" s="42"/>
      <c r="F2052" s="42"/>
      <c r="G2052" s="42"/>
      <c r="H2052" s="187">
        <f>H2053+H2058+H2063</f>
        <v>205616</v>
      </c>
    </row>
    <row r="2053" spans="1:8" s="3" customFormat="1" x14ac:dyDescent="0.25">
      <c r="A2053" s="27">
        <v>2</v>
      </c>
      <c r="B2053" s="35" t="s">
        <v>271</v>
      </c>
      <c r="C2053" s="12" t="s">
        <v>172</v>
      </c>
      <c r="D2053" s="12" t="s">
        <v>567</v>
      </c>
      <c r="E2053" s="31"/>
      <c r="F2053" s="31"/>
      <c r="G2053" s="31"/>
      <c r="H2053" s="53">
        <f>H2054</f>
        <v>377</v>
      </c>
    </row>
    <row r="2054" spans="1:8" s="3" customFormat="1" x14ac:dyDescent="0.25">
      <c r="A2054" s="27">
        <v>204</v>
      </c>
      <c r="B2054" s="26" t="s">
        <v>1054</v>
      </c>
      <c r="C2054" s="12" t="s">
        <v>172</v>
      </c>
      <c r="D2054" s="12" t="s">
        <v>567</v>
      </c>
      <c r="E2054" s="12" t="s">
        <v>1181</v>
      </c>
      <c r="F2054" s="31"/>
      <c r="G2054" s="31"/>
      <c r="H2054" s="53">
        <f>H2055</f>
        <v>377</v>
      </c>
    </row>
    <row r="2055" spans="1:8" s="3" customFormat="1" ht="31.5" x14ac:dyDescent="0.25">
      <c r="A2055" s="27">
        <v>204209</v>
      </c>
      <c r="B2055" s="26" t="s">
        <v>141</v>
      </c>
      <c r="C2055" s="12" t="s">
        <v>172</v>
      </c>
      <c r="D2055" s="12" t="s">
        <v>567</v>
      </c>
      <c r="E2055" s="12" t="s">
        <v>1181</v>
      </c>
      <c r="F2055" s="10" t="s">
        <v>270</v>
      </c>
      <c r="G2055" s="31"/>
      <c r="H2055" s="53">
        <f>H2056</f>
        <v>377</v>
      </c>
    </row>
    <row r="2056" spans="1:8" s="3" customFormat="1" ht="31.5" x14ac:dyDescent="0.25">
      <c r="A2056" s="27">
        <v>20420901</v>
      </c>
      <c r="B2056" s="26" t="s">
        <v>1408</v>
      </c>
      <c r="C2056" s="12" t="s">
        <v>172</v>
      </c>
      <c r="D2056" s="12" t="s">
        <v>567</v>
      </c>
      <c r="E2056" s="12" t="s">
        <v>1181</v>
      </c>
      <c r="F2056" s="10" t="s">
        <v>956</v>
      </c>
      <c r="G2056" s="31"/>
      <c r="H2056" s="53">
        <f>H2057</f>
        <v>377</v>
      </c>
    </row>
    <row r="2057" spans="1:8" s="3" customFormat="1" x14ac:dyDescent="0.25">
      <c r="A2057" s="27">
        <v>20420901012</v>
      </c>
      <c r="B2057" s="65" t="s">
        <v>1012</v>
      </c>
      <c r="C2057" s="12" t="s">
        <v>172</v>
      </c>
      <c r="D2057" s="12" t="s">
        <v>567</v>
      </c>
      <c r="E2057" s="12" t="s">
        <v>1181</v>
      </c>
      <c r="F2057" s="10" t="s">
        <v>956</v>
      </c>
      <c r="G2057" s="12" t="s">
        <v>1224</v>
      </c>
      <c r="H2057" s="53">
        <v>377</v>
      </c>
    </row>
    <row r="2058" spans="1:8" s="28" customFormat="1" ht="20.25" customHeight="1" x14ac:dyDescent="0.25">
      <c r="A2058" s="27">
        <v>3</v>
      </c>
      <c r="B2058" s="35" t="s">
        <v>1049</v>
      </c>
      <c r="C2058" s="12" t="s">
        <v>172</v>
      </c>
      <c r="D2058" s="12" t="s">
        <v>193</v>
      </c>
      <c r="E2058" s="12"/>
      <c r="F2058" s="10"/>
      <c r="G2058" s="12"/>
      <c r="H2058" s="53">
        <f>H2059</f>
        <v>583</v>
      </c>
    </row>
    <row r="2059" spans="1:8" s="28" customFormat="1" ht="47.25" x14ac:dyDescent="0.25">
      <c r="A2059" s="27">
        <v>309</v>
      </c>
      <c r="B2059" s="26" t="s">
        <v>133</v>
      </c>
      <c r="C2059" s="12" t="s">
        <v>172</v>
      </c>
      <c r="D2059" s="12" t="s">
        <v>193</v>
      </c>
      <c r="E2059" s="12" t="s">
        <v>406</v>
      </c>
      <c r="F2059" s="10"/>
      <c r="G2059" s="12"/>
      <c r="H2059" s="53">
        <f>H2060</f>
        <v>583</v>
      </c>
    </row>
    <row r="2060" spans="1:8" s="28" customFormat="1" x14ac:dyDescent="0.25">
      <c r="A2060" s="27">
        <v>309219</v>
      </c>
      <c r="B2060" s="26" t="s">
        <v>1098</v>
      </c>
      <c r="C2060" s="12" t="s">
        <v>172</v>
      </c>
      <c r="D2060" s="12" t="s">
        <v>193</v>
      </c>
      <c r="E2060" s="12" t="s">
        <v>406</v>
      </c>
      <c r="F2060" s="10" t="s">
        <v>620</v>
      </c>
      <c r="G2060" s="12"/>
      <c r="H2060" s="53">
        <f>H2061</f>
        <v>583</v>
      </c>
    </row>
    <row r="2061" spans="1:8" s="28" customFormat="1" ht="31.5" x14ac:dyDescent="0.25">
      <c r="A2061" s="27">
        <v>30921901</v>
      </c>
      <c r="B2061" s="26" t="s">
        <v>591</v>
      </c>
      <c r="C2061" s="12" t="s">
        <v>172</v>
      </c>
      <c r="D2061" s="12" t="s">
        <v>193</v>
      </c>
      <c r="E2061" s="12" t="s">
        <v>406</v>
      </c>
      <c r="F2061" s="10" t="s">
        <v>269</v>
      </c>
      <c r="G2061" s="12"/>
      <c r="H2061" s="53">
        <f>H2062</f>
        <v>583</v>
      </c>
    </row>
    <row r="2062" spans="1:8" s="28" customFormat="1" x14ac:dyDescent="0.25">
      <c r="A2062" s="27">
        <v>30921901012</v>
      </c>
      <c r="B2062" s="65" t="s">
        <v>1012</v>
      </c>
      <c r="C2062" s="12" t="s">
        <v>172</v>
      </c>
      <c r="D2062" s="12" t="s">
        <v>193</v>
      </c>
      <c r="E2062" s="12" t="s">
        <v>406</v>
      </c>
      <c r="F2062" s="10" t="s">
        <v>269</v>
      </c>
      <c r="G2062" s="12" t="s">
        <v>1224</v>
      </c>
      <c r="H2062" s="53">
        <v>583</v>
      </c>
    </row>
    <row r="2063" spans="1:8" s="28" customFormat="1" x14ac:dyDescent="0.25">
      <c r="A2063" s="29">
        <v>4</v>
      </c>
      <c r="B2063" s="35" t="s">
        <v>993</v>
      </c>
      <c r="C2063" s="12" t="s">
        <v>172</v>
      </c>
      <c r="D2063" s="12" t="s">
        <v>1181</v>
      </c>
      <c r="E2063" s="10"/>
      <c r="F2063" s="10"/>
      <c r="G2063" s="10"/>
      <c r="H2063" s="53">
        <f>H2064</f>
        <v>204656</v>
      </c>
    </row>
    <row r="2064" spans="1:8" s="28" customFormat="1" x14ac:dyDescent="0.25">
      <c r="A2064" s="29">
        <v>412</v>
      </c>
      <c r="B2064" s="26" t="s">
        <v>1253</v>
      </c>
      <c r="C2064" s="12" t="s">
        <v>172</v>
      </c>
      <c r="D2064" s="12" t="s">
        <v>1181</v>
      </c>
      <c r="E2064" s="12">
        <v>12</v>
      </c>
      <c r="F2064" s="10"/>
      <c r="G2064" s="10"/>
      <c r="H2064" s="53">
        <f>H2065</f>
        <v>204656</v>
      </c>
    </row>
    <row r="2065" spans="1:9" s="28" customFormat="1" ht="47.25" x14ac:dyDescent="0.25">
      <c r="A2065" s="27">
        <v>412002</v>
      </c>
      <c r="B2065" s="26" t="s">
        <v>1657</v>
      </c>
      <c r="C2065" s="12" t="s">
        <v>172</v>
      </c>
      <c r="D2065" s="12" t="s">
        <v>1181</v>
      </c>
      <c r="E2065" s="12">
        <v>12</v>
      </c>
      <c r="F2065" s="12" t="s">
        <v>200</v>
      </c>
      <c r="G2065" s="12"/>
      <c r="H2065" s="53">
        <f>H2066</f>
        <v>204656</v>
      </c>
    </row>
    <row r="2066" spans="1:9" s="28" customFormat="1" x14ac:dyDescent="0.25">
      <c r="A2066" s="27">
        <v>41200204</v>
      </c>
      <c r="B2066" s="26" t="s">
        <v>638</v>
      </c>
      <c r="C2066" s="12" t="s">
        <v>172</v>
      </c>
      <c r="D2066" s="12" t="s">
        <v>1181</v>
      </c>
      <c r="E2066" s="12">
        <v>12</v>
      </c>
      <c r="F2066" s="12" t="s">
        <v>797</v>
      </c>
      <c r="G2066" s="12"/>
      <c r="H2066" s="53">
        <f>SUM(H2067:H2068)</f>
        <v>204656</v>
      </c>
    </row>
    <row r="2067" spans="1:9" s="3" customFormat="1" x14ac:dyDescent="0.25">
      <c r="A2067" s="27">
        <v>41200204012</v>
      </c>
      <c r="B2067" s="65" t="s">
        <v>1012</v>
      </c>
      <c r="C2067" s="12" t="s">
        <v>172</v>
      </c>
      <c r="D2067" s="12" t="s">
        <v>1181</v>
      </c>
      <c r="E2067" s="12">
        <v>12</v>
      </c>
      <c r="F2067" s="12" t="s">
        <v>797</v>
      </c>
      <c r="G2067" s="12" t="s">
        <v>1224</v>
      </c>
      <c r="H2067" s="230">
        <f>161900+42500</f>
        <v>204400</v>
      </c>
    </row>
    <row r="2068" spans="1:9" s="28" customFormat="1" ht="63" x14ac:dyDescent="0.25">
      <c r="A2068" s="27">
        <v>41200204902</v>
      </c>
      <c r="B2068" s="26" t="s">
        <v>1100</v>
      </c>
      <c r="C2068" s="12" t="s">
        <v>172</v>
      </c>
      <c r="D2068" s="12" t="s">
        <v>1181</v>
      </c>
      <c r="E2068" s="12">
        <v>12</v>
      </c>
      <c r="F2068" s="12" t="s">
        <v>797</v>
      </c>
      <c r="G2068" s="12">
        <v>902</v>
      </c>
      <c r="H2068" s="53">
        <v>256</v>
      </c>
    </row>
    <row r="2069" spans="1:9" s="28" customFormat="1" x14ac:dyDescent="0.25">
      <c r="A2069" s="29"/>
      <c r="B2069" s="37"/>
      <c r="C2069" s="12"/>
      <c r="D2069" s="12"/>
      <c r="E2069" s="12"/>
      <c r="F2069" s="12"/>
      <c r="G2069" s="12"/>
      <c r="H2069" s="53"/>
    </row>
    <row r="2070" spans="1:9" s="3" customFormat="1" ht="31.5" x14ac:dyDescent="0.25">
      <c r="A2070" s="40">
        <v>0</v>
      </c>
      <c r="B2070" s="41" t="s">
        <v>357</v>
      </c>
      <c r="C2070" s="42" t="s">
        <v>358</v>
      </c>
      <c r="D2070" s="31"/>
      <c r="E2070" s="31"/>
      <c r="F2070" s="31"/>
      <c r="G2070" s="31"/>
      <c r="H2070" s="187">
        <f>H2071+H2103</f>
        <v>929248</v>
      </c>
      <c r="I2070" s="66"/>
    </row>
    <row r="2071" spans="1:9" s="28" customFormat="1" x14ac:dyDescent="0.25">
      <c r="A2071" s="29">
        <v>4</v>
      </c>
      <c r="B2071" s="35" t="s">
        <v>993</v>
      </c>
      <c r="C2071" s="12" t="s">
        <v>358</v>
      </c>
      <c r="D2071" s="12" t="s">
        <v>1181</v>
      </c>
      <c r="E2071" s="10"/>
      <c r="F2071" s="10"/>
      <c r="G2071" s="10"/>
      <c r="H2071" s="53">
        <f>H2072</f>
        <v>534421</v>
      </c>
    </row>
    <row r="2072" spans="1:9" s="28" customFormat="1" x14ac:dyDescent="0.25">
      <c r="A2072" s="29">
        <v>401</v>
      </c>
      <c r="B2072" s="26" t="s">
        <v>378</v>
      </c>
      <c r="C2072" s="12" t="s">
        <v>358</v>
      </c>
      <c r="D2072" s="6" t="s">
        <v>1181</v>
      </c>
      <c r="E2072" s="6" t="s">
        <v>566</v>
      </c>
      <c r="F2072" s="10"/>
      <c r="G2072" s="10"/>
      <c r="H2072" s="53">
        <f>H2073+H2076</f>
        <v>534421</v>
      </c>
    </row>
    <row r="2073" spans="1:9" s="28" customFormat="1" ht="47.25" x14ac:dyDescent="0.25">
      <c r="A2073" s="27">
        <v>401002</v>
      </c>
      <c r="B2073" s="26" t="s">
        <v>1657</v>
      </c>
      <c r="C2073" s="12" t="s">
        <v>358</v>
      </c>
      <c r="D2073" s="6" t="s">
        <v>1181</v>
      </c>
      <c r="E2073" s="6" t="s">
        <v>566</v>
      </c>
      <c r="F2073" s="12" t="s">
        <v>200</v>
      </c>
      <c r="G2073" s="12"/>
      <c r="H2073" s="53">
        <f>H2074</f>
        <v>51621</v>
      </c>
    </row>
    <row r="2074" spans="1:9" s="28" customFormat="1" x14ac:dyDescent="0.25">
      <c r="A2074" s="27">
        <v>40100204</v>
      </c>
      <c r="B2074" s="26" t="s">
        <v>638</v>
      </c>
      <c r="C2074" s="12" t="s">
        <v>358</v>
      </c>
      <c r="D2074" s="6" t="s">
        <v>1181</v>
      </c>
      <c r="E2074" s="6" t="s">
        <v>566</v>
      </c>
      <c r="F2074" s="12" t="s">
        <v>797</v>
      </c>
      <c r="G2074" s="12"/>
      <c r="H2074" s="53">
        <f>SUM(H2075:H2075)</f>
        <v>51621</v>
      </c>
    </row>
    <row r="2075" spans="1:9" s="3" customFormat="1" x14ac:dyDescent="0.25">
      <c r="A2075" s="27">
        <v>40100204012</v>
      </c>
      <c r="B2075" s="65" t="s">
        <v>1012</v>
      </c>
      <c r="C2075" s="12" t="s">
        <v>358</v>
      </c>
      <c r="D2075" s="6" t="s">
        <v>1181</v>
      </c>
      <c r="E2075" s="6" t="s">
        <v>566</v>
      </c>
      <c r="F2075" s="12" t="s">
        <v>797</v>
      </c>
      <c r="G2075" s="12" t="s">
        <v>1224</v>
      </c>
      <c r="H2075" s="53">
        <v>51621</v>
      </c>
    </row>
    <row r="2076" spans="1:9" s="28" customFormat="1" ht="18.75" customHeight="1" x14ac:dyDescent="0.25">
      <c r="A2076" s="27">
        <v>401510</v>
      </c>
      <c r="B2076" s="65" t="s">
        <v>1524</v>
      </c>
      <c r="C2076" s="12" t="s">
        <v>358</v>
      </c>
      <c r="D2076" s="6" t="s">
        <v>1181</v>
      </c>
      <c r="E2076" s="6" t="s">
        <v>566</v>
      </c>
      <c r="F2076" s="19" t="s">
        <v>1436</v>
      </c>
      <c r="G2076" s="19"/>
      <c r="H2076" s="53">
        <f>H2077+H2100</f>
        <v>482800</v>
      </c>
    </row>
    <row r="2077" spans="1:9" s="28" customFormat="1" ht="47.25" x14ac:dyDescent="0.25">
      <c r="A2077" s="27">
        <v>40151002</v>
      </c>
      <c r="B2077" s="65" t="s">
        <v>853</v>
      </c>
      <c r="C2077" s="12" t="s">
        <v>358</v>
      </c>
      <c r="D2077" s="6" t="s">
        <v>1181</v>
      </c>
      <c r="E2077" s="6" t="s">
        <v>566</v>
      </c>
      <c r="F2077" s="19" t="s">
        <v>1525</v>
      </c>
      <c r="G2077" s="19"/>
      <c r="H2077" s="53">
        <f>H2078+H2080+H2082+H2084+H2086+H2088+H2090+H2092+H2094+H2096+H2098</f>
        <v>134867</v>
      </c>
    </row>
    <row r="2078" spans="1:9" s="28" customFormat="1" ht="17.25" customHeight="1" x14ac:dyDescent="0.25">
      <c r="A2078" s="27">
        <v>4015100201</v>
      </c>
      <c r="B2078" s="26" t="s">
        <v>855</v>
      </c>
      <c r="C2078" s="12" t="s">
        <v>358</v>
      </c>
      <c r="D2078" s="6" t="s">
        <v>1181</v>
      </c>
      <c r="E2078" s="6" t="s">
        <v>566</v>
      </c>
      <c r="F2078" s="19" t="s">
        <v>1152</v>
      </c>
      <c r="G2078" s="12"/>
      <c r="H2078" s="53">
        <f>H2079</f>
        <v>40000</v>
      </c>
      <c r="I2078" s="53"/>
    </row>
    <row r="2079" spans="1:9" s="28" customFormat="1" ht="17.25" customHeight="1" x14ac:dyDescent="0.25">
      <c r="A2079" s="27">
        <v>4015100201009</v>
      </c>
      <c r="B2079" s="26" t="s">
        <v>1565</v>
      </c>
      <c r="C2079" s="12" t="s">
        <v>358</v>
      </c>
      <c r="D2079" s="6" t="s">
        <v>1181</v>
      </c>
      <c r="E2079" s="6" t="s">
        <v>566</v>
      </c>
      <c r="F2079" s="19" t="s">
        <v>1152</v>
      </c>
      <c r="G2079" s="12" t="s">
        <v>569</v>
      </c>
      <c r="H2079" s="53">
        <v>40000</v>
      </c>
      <c r="I2079" s="53"/>
    </row>
    <row r="2080" spans="1:9" s="28" customFormat="1" ht="17.25" customHeight="1" x14ac:dyDescent="0.25">
      <c r="A2080" s="27">
        <v>4015100202</v>
      </c>
      <c r="B2080" s="26" t="s">
        <v>856</v>
      </c>
      <c r="C2080" s="12" t="s">
        <v>358</v>
      </c>
      <c r="D2080" s="6" t="s">
        <v>1181</v>
      </c>
      <c r="E2080" s="6" t="s">
        <v>566</v>
      </c>
      <c r="F2080" s="19" t="s">
        <v>572</v>
      </c>
      <c r="G2080" s="12"/>
      <c r="H2080" s="53">
        <f>H2081</f>
        <v>3000</v>
      </c>
      <c r="I2080" s="53"/>
    </row>
    <row r="2081" spans="1:9" s="28" customFormat="1" ht="17.25" customHeight="1" x14ac:dyDescent="0.25">
      <c r="A2081" s="27">
        <v>4015100202009</v>
      </c>
      <c r="B2081" s="26" t="s">
        <v>1565</v>
      </c>
      <c r="C2081" s="12" t="s">
        <v>358</v>
      </c>
      <c r="D2081" s="6" t="s">
        <v>1181</v>
      </c>
      <c r="E2081" s="6" t="s">
        <v>566</v>
      </c>
      <c r="F2081" s="19" t="s">
        <v>572</v>
      </c>
      <c r="G2081" s="12" t="s">
        <v>569</v>
      </c>
      <c r="H2081" s="53">
        <v>3000</v>
      </c>
      <c r="I2081" s="53"/>
    </row>
    <row r="2082" spans="1:9" s="28" customFormat="1" ht="17.25" customHeight="1" x14ac:dyDescent="0.25">
      <c r="A2082" s="27">
        <v>4015100203</v>
      </c>
      <c r="B2082" s="26" t="s">
        <v>580</v>
      </c>
      <c r="C2082" s="12" t="s">
        <v>358</v>
      </c>
      <c r="D2082" s="6" t="s">
        <v>1181</v>
      </c>
      <c r="E2082" s="6" t="s">
        <v>566</v>
      </c>
      <c r="F2082" s="19" t="s">
        <v>573</v>
      </c>
      <c r="G2082" s="12"/>
      <c r="H2082" s="53">
        <f>H2083</f>
        <v>4500</v>
      </c>
      <c r="I2082" s="53"/>
    </row>
    <row r="2083" spans="1:9" s="28" customFormat="1" ht="17.25" customHeight="1" x14ac:dyDescent="0.25">
      <c r="A2083" s="27">
        <v>4015100203009</v>
      </c>
      <c r="B2083" s="26" t="s">
        <v>1565</v>
      </c>
      <c r="C2083" s="12" t="s">
        <v>358</v>
      </c>
      <c r="D2083" s="6" t="s">
        <v>1181</v>
      </c>
      <c r="E2083" s="6" t="s">
        <v>566</v>
      </c>
      <c r="F2083" s="19" t="s">
        <v>573</v>
      </c>
      <c r="G2083" s="12" t="s">
        <v>569</v>
      </c>
      <c r="H2083" s="53">
        <v>4500</v>
      </c>
      <c r="I2083" s="53"/>
    </row>
    <row r="2084" spans="1:9" s="28" customFormat="1" ht="31.5" x14ac:dyDescent="0.25">
      <c r="A2084" s="27">
        <v>4015100204</v>
      </c>
      <c r="B2084" s="26" t="s">
        <v>1431</v>
      </c>
      <c r="C2084" s="12" t="s">
        <v>358</v>
      </c>
      <c r="D2084" s="6" t="s">
        <v>1181</v>
      </c>
      <c r="E2084" s="6" t="s">
        <v>566</v>
      </c>
      <c r="F2084" s="19" t="s">
        <v>235</v>
      </c>
      <c r="G2084" s="12"/>
      <c r="H2084" s="53">
        <f>H2085</f>
        <v>2543</v>
      </c>
      <c r="I2084" s="53"/>
    </row>
    <row r="2085" spans="1:9" s="28" customFormat="1" ht="17.25" customHeight="1" x14ac:dyDescent="0.25">
      <c r="A2085" s="27">
        <v>4015100204009</v>
      </c>
      <c r="B2085" s="26" t="s">
        <v>1565</v>
      </c>
      <c r="C2085" s="12" t="s">
        <v>358</v>
      </c>
      <c r="D2085" s="6" t="s">
        <v>1181</v>
      </c>
      <c r="E2085" s="6" t="s">
        <v>566</v>
      </c>
      <c r="F2085" s="19" t="s">
        <v>235</v>
      </c>
      <c r="G2085" s="12" t="s">
        <v>569</v>
      </c>
      <c r="H2085" s="53">
        <v>2543</v>
      </c>
      <c r="I2085" s="53"/>
    </row>
    <row r="2086" spans="1:9" s="28" customFormat="1" ht="17.25" customHeight="1" x14ac:dyDescent="0.25">
      <c r="A2086" s="27">
        <v>4015100205</v>
      </c>
      <c r="B2086" s="26" t="s">
        <v>1282</v>
      </c>
      <c r="C2086" s="12" t="s">
        <v>358</v>
      </c>
      <c r="D2086" s="6" t="s">
        <v>1181</v>
      </c>
      <c r="E2086" s="6" t="s">
        <v>566</v>
      </c>
      <c r="F2086" s="19" t="s">
        <v>1248</v>
      </c>
      <c r="G2086" s="12"/>
      <c r="H2086" s="53">
        <f>H2087</f>
        <v>8115</v>
      </c>
      <c r="I2086" s="53"/>
    </row>
    <row r="2087" spans="1:9" s="28" customFormat="1" ht="17.25" customHeight="1" x14ac:dyDescent="0.25">
      <c r="A2087" s="27">
        <v>4015100205009</v>
      </c>
      <c r="B2087" s="26" t="s">
        <v>1565</v>
      </c>
      <c r="C2087" s="12" t="s">
        <v>358</v>
      </c>
      <c r="D2087" s="6" t="s">
        <v>1181</v>
      </c>
      <c r="E2087" s="6" t="s">
        <v>566</v>
      </c>
      <c r="F2087" s="19" t="s">
        <v>1248</v>
      </c>
      <c r="G2087" s="12" t="s">
        <v>569</v>
      </c>
      <c r="H2087" s="53">
        <v>8115</v>
      </c>
      <c r="I2087" s="53"/>
    </row>
    <row r="2088" spans="1:9" s="28" customFormat="1" ht="31.5" x14ac:dyDescent="0.25">
      <c r="A2088" s="27">
        <v>4015100206</v>
      </c>
      <c r="B2088" s="26" t="s">
        <v>1276</v>
      </c>
      <c r="C2088" s="12" t="s">
        <v>358</v>
      </c>
      <c r="D2088" s="6" t="s">
        <v>1181</v>
      </c>
      <c r="E2088" s="6" t="s">
        <v>566</v>
      </c>
      <c r="F2088" s="19" t="s">
        <v>1249</v>
      </c>
      <c r="G2088" s="12"/>
      <c r="H2088" s="53">
        <f>H2089</f>
        <v>3371</v>
      </c>
      <c r="I2088" s="53"/>
    </row>
    <row r="2089" spans="1:9" s="28" customFormat="1" ht="17.25" customHeight="1" x14ac:dyDescent="0.25">
      <c r="A2089" s="27">
        <v>4015100206009</v>
      </c>
      <c r="B2089" s="26" t="s">
        <v>1565</v>
      </c>
      <c r="C2089" s="12" t="s">
        <v>358</v>
      </c>
      <c r="D2089" s="6" t="s">
        <v>1181</v>
      </c>
      <c r="E2089" s="6" t="s">
        <v>566</v>
      </c>
      <c r="F2089" s="19" t="s">
        <v>1249</v>
      </c>
      <c r="G2089" s="12" t="s">
        <v>569</v>
      </c>
      <c r="H2089" s="53">
        <v>3371</v>
      </c>
      <c r="I2089" s="53"/>
    </row>
    <row r="2090" spans="1:9" s="28" customFormat="1" ht="17.25" customHeight="1" x14ac:dyDescent="0.25">
      <c r="A2090" s="27">
        <v>4015100207</v>
      </c>
      <c r="B2090" s="26" t="s">
        <v>1053</v>
      </c>
      <c r="C2090" s="12" t="s">
        <v>358</v>
      </c>
      <c r="D2090" s="6" t="s">
        <v>1181</v>
      </c>
      <c r="E2090" s="6" t="s">
        <v>566</v>
      </c>
      <c r="F2090" s="19" t="s">
        <v>1250</v>
      </c>
      <c r="G2090" s="12"/>
      <c r="H2090" s="53">
        <f>H2091</f>
        <v>3000</v>
      </c>
      <c r="I2090" s="53"/>
    </row>
    <row r="2091" spans="1:9" s="28" customFormat="1" ht="17.25" customHeight="1" x14ac:dyDescent="0.25">
      <c r="A2091" s="27">
        <v>4015100207009</v>
      </c>
      <c r="B2091" s="26" t="s">
        <v>1565</v>
      </c>
      <c r="C2091" s="12" t="s">
        <v>358</v>
      </c>
      <c r="D2091" s="6" t="s">
        <v>1181</v>
      </c>
      <c r="E2091" s="6" t="s">
        <v>566</v>
      </c>
      <c r="F2091" s="19" t="s">
        <v>1250</v>
      </c>
      <c r="G2091" s="12" t="s">
        <v>569</v>
      </c>
      <c r="H2091" s="53">
        <v>3000</v>
      </c>
      <c r="I2091" s="53"/>
    </row>
    <row r="2092" spans="1:9" s="28" customFormat="1" ht="17.25" customHeight="1" x14ac:dyDescent="0.25">
      <c r="A2092" s="27">
        <v>4015100208</v>
      </c>
      <c r="B2092" s="26" t="s">
        <v>743</v>
      </c>
      <c r="C2092" s="12" t="s">
        <v>358</v>
      </c>
      <c r="D2092" s="6" t="s">
        <v>1181</v>
      </c>
      <c r="E2092" s="6" t="s">
        <v>566</v>
      </c>
      <c r="F2092" s="19" t="s">
        <v>1251</v>
      </c>
      <c r="G2092" s="12"/>
      <c r="H2092" s="53">
        <f>H2093</f>
        <v>2500</v>
      </c>
      <c r="I2092" s="53"/>
    </row>
    <row r="2093" spans="1:9" s="28" customFormat="1" ht="17.25" customHeight="1" x14ac:dyDescent="0.25">
      <c r="A2093" s="27">
        <v>4015100208009</v>
      </c>
      <c r="B2093" s="26" t="s">
        <v>1565</v>
      </c>
      <c r="C2093" s="12" t="s">
        <v>358</v>
      </c>
      <c r="D2093" s="6" t="s">
        <v>1181</v>
      </c>
      <c r="E2093" s="6" t="s">
        <v>566</v>
      </c>
      <c r="F2093" s="19" t="s">
        <v>1251</v>
      </c>
      <c r="G2093" s="12" t="s">
        <v>569</v>
      </c>
      <c r="H2093" s="53">
        <v>2500</v>
      </c>
      <c r="I2093" s="53"/>
    </row>
    <row r="2094" spans="1:9" s="28" customFormat="1" ht="31.5" x14ac:dyDescent="0.25">
      <c r="A2094" s="27">
        <v>4015100209</v>
      </c>
      <c r="B2094" s="26" t="s">
        <v>129</v>
      </c>
      <c r="C2094" s="12" t="s">
        <v>358</v>
      </c>
      <c r="D2094" s="6" t="s">
        <v>1181</v>
      </c>
      <c r="E2094" s="6" t="s">
        <v>566</v>
      </c>
      <c r="F2094" s="19" t="s">
        <v>1252</v>
      </c>
      <c r="G2094" s="12"/>
      <c r="H2094" s="53">
        <f>H2095</f>
        <v>33145</v>
      </c>
      <c r="I2094" s="53"/>
    </row>
    <row r="2095" spans="1:9" s="28" customFormat="1" ht="17.25" customHeight="1" x14ac:dyDescent="0.25">
      <c r="A2095" s="27">
        <v>4015100209009</v>
      </c>
      <c r="B2095" s="26" t="s">
        <v>1565</v>
      </c>
      <c r="C2095" s="12" t="s">
        <v>358</v>
      </c>
      <c r="D2095" s="6" t="s">
        <v>1181</v>
      </c>
      <c r="E2095" s="6" t="s">
        <v>566</v>
      </c>
      <c r="F2095" s="19" t="s">
        <v>1252</v>
      </c>
      <c r="G2095" s="12" t="s">
        <v>569</v>
      </c>
      <c r="H2095" s="53">
        <v>33145</v>
      </c>
      <c r="I2095" s="53"/>
    </row>
    <row r="2096" spans="1:9" s="28" customFormat="1" ht="63" x14ac:dyDescent="0.25">
      <c r="A2096" s="27">
        <v>4015100210</v>
      </c>
      <c r="B2096" s="26" t="s">
        <v>181</v>
      </c>
      <c r="C2096" s="12" t="s">
        <v>358</v>
      </c>
      <c r="D2096" s="6" t="s">
        <v>1181</v>
      </c>
      <c r="E2096" s="6" t="s">
        <v>566</v>
      </c>
      <c r="F2096" s="19" t="s">
        <v>886</v>
      </c>
      <c r="G2096" s="12"/>
      <c r="H2096" s="53">
        <f>H2097</f>
        <v>999</v>
      </c>
      <c r="I2096" s="53"/>
    </row>
    <row r="2097" spans="1:9" s="28" customFormat="1" ht="17.25" customHeight="1" x14ac:dyDescent="0.25">
      <c r="A2097" s="27">
        <v>4015100210009</v>
      </c>
      <c r="B2097" s="26" t="s">
        <v>1565</v>
      </c>
      <c r="C2097" s="12" t="s">
        <v>358</v>
      </c>
      <c r="D2097" s="6" t="s">
        <v>1181</v>
      </c>
      <c r="E2097" s="6" t="s">
        <v>566</v>
      </c>
      <c r="F2097" s="19" t="s">
        <v>886</v>
      </c>
      <c r="G2097" s="12" t="s">
        <v>569</v>
      </c>
      <c r="H2097" s="53">
        <v>999</v>
      </c>
      <c r="I2097" s="53"/>
    </row>
    <row r="2098" spans="1:9" s="28" customFormat="1" ht="31.5" x14ac:dyDescent="0.25">
      <c r="A2098" s="27">
        <v>4015100215</v>
      </c>
      <c r="B2098" s="26" t="s">
        <v>1155</v>
      </c>
      <c r="C2098" s="12" t="s">
        <v>358</v>
      </c>
      <c r="D2098" s="6" t="s">
        <v>1181</v>
      </c>
      <c r="E2098" s="6" t="s">
        <v>566</v>
      </c>
      <c r="F2098" s="19" t="s">
        <v>909</v>
      </c>
      <c r="G2098" s="12"/>
      <c r="H2098" s="53">
        <f>H2099</f>
        <v>33694</v>
      </c>
      <c r="I2098" s="53"/>
    </row>
    <row r="2099" spans="1:9" s="28" customFormat="1" ht="17.25" customHeight="1" x14ac:dyDescent="0.25">
      <c r="A2099" s="27">
        <v>4015100215009</v>
      </c>
      <c r="B2099" s="26" t="s">
        <v>1565</v>
      </c>
      <c r="C2099" s="12" t="s">
        <v>358</v>
      </c>
      <c r="D2099" s="6" t="s">
        <v>1181</v>
      </c>
      <c r="E2099" s="6" t="s">
        <v>566</v>
      </c>
      <c r="F2099" s="19" t="s">
        <v>909</v>
      </c>
      <c r="G2099" s="12" t="s">
        <v>569</v>
      </c>
      <c r="H2099" s="53">
        <v>33694</v>
      </c>
      <c r="I2099" s="53"/>
    </row>
    <row r="2100" spans="1:9" s="28" customFormat="1" x14ac:dyDescent="0.25">
      <c r="A2100" s="27">
        <v>40151099</v>
      </c>
      <c r="B2100" s="65" t="s">
        <v>624</v>
      </c>
      <c r="C2100" s="12" t="s">
        <v>358</v>
      </c>
      <c r="D2100" s="6" t="s">
        <v>1181</v>
      </c>
      <c r="E2100" s="6" t="s">
        <v>566</v>
      </c>
      <c r="F2100" s="19" t="s">
        <v>1658</v>
      </c>
      <c r="G2100" s="12"/>
      <c r="H2100" s="53">
        <f>H2101+H2102</f>
        <v>347933</v>
      </c>
      <c r="I2100" s="53"/>
    </row>
    <row r="2101" spans="1:9" s="28" customFormat="1" x14ac:dyDescent="0.25">
      <c r="A2101" s="27">
        <v>40151099001</v>
      </c>
      <c r="B2101" s="26" t="s">
        <v>1435</v>
      </c>
      <c r="C2101" s="12" t="s">
        <v>358</v>
      </c>
      <c r="D2101" s="6" t="s">
        <v>1181</v>
      </c>
      <c r="E2101" s="6" t="s">
        <v>566</v>
      </c>
      <c r="F2101" s="19" t="s">
        <v>1658</v>
      </c>
      <c r="G2101" s="12" t="s">
        <v>1394</v>
      </c>
      <c r="H2101" s="53">
        <v>55539</v>
      </c>
      <c r="I2101" s="53"/>
    </row>
    <row r="2102" spans="1:9" s="28" customFormat="1" ht="17.25" customHeight="1" x14ac:dyDescent="0.25">
      <c r="A2102" s="27">
        <v>40151099009</v>
      </c>
      <c r="B2102" s="26" t="s">
        <v>1565</v>
      </c>
      <c r="C2102" s="12" t="s">
        <v>358</v>
      </c>
      <c r="D2102" s="6" t="s">
        <v>1181</v>
      </c>
      <c r="E2102" s="6" t="s">
        <v>566</v>
      </c>
      <c r="F2102" s="19" t="s">
        <v>1658</v>
      </c>
      <c r="G2102" s="12" t="s">
        <v>569</v>
      </c>
      <c r="H2102" s="53">
        <v>292394</v>
      </c>
      <c r="I2102" s="53"/>
    </row>
    <row r="2103" spans="1:9" s="28" customFormat="1" x14ac:dyDescent="0.25">
      <c r="A2103" s="29">
        <v>10</v>
      </c>
      <c r="B2103" s="35" t="s">
        <v>1745</v>
      </c>
      <c r="C2103" s="12" t="s">
        <v>358</v>
      </c>
      <c r="D2103" s="12">
        <v>10</v>
      </c>
      <c r="E2103" s="10"/>
      <c r="F2103" s="10"/>
      <c r="G2103" s="10"/>
      <c r="H2103" s="53">
        <f>H2104</f>
        <v>394827</v>
      </c>
    </row>
    <row r="2104" spans="1:9" s="28" customFormat="1" x14ac:dyDescent="0.25">
      <c r="A2104" s="29">
        <v>1003</v>
      </c>
      <c r="B2104" s="26" t="s">
        <v>1322</v>
      </c>
      <c r="C2104" s="12" t="s">
        <v>358</v>
      </c>
      <c r="D2104" s="6">
        <v>10</v>
      </c>
      <c r="E2104" s="6" t="s">
        <v>193</v>
      </c>
      <c r="F2104" s="10"/>
      <c r="G2104" s="10"/>
      <c r="H2104" s="53">
        <f>H2105</f>
        <v>394827</v>
      </c>
    </row>
    <row r="2105" spans="1:9" s="28" customFormat="1" x14ac:dyDescent="0.25">
      <c r="A2105" s="29">
        <v>1003510</v>
      </c>
      <c r="B2105" s="65" t="s">
        <v>1524</v>
      </c>
      <c r="C2105" s="12" t="s">
        <v>358</v>
      </c>
      <c r="D2105" s="6">
        <v>10</v>
      </c>
      <c r="E2105" s="6" t="s">
        <v>193</v>
      </c>
      <c r="F2105" s="19" t="s">
        <v>1436</v>
      </c>
      <c r="G2105" s="10"/>
      <c r="H2105" s="53">
        <f>H2106</f>
        <v>394827</v>
      </c>
    </row>
    <row r="2106" spans="1:9" s="28" customFormat="1" ht="47.25" x14ac:dyDescent="0.25">
      <c r="A2106" s="27">
        <v>100351002</v>
      </c>
      <c r="B2106" s="65" t="s">
        <v>853</v>
      </c>
      <c r="C2106" s="12" t="s">
        <v>358</v>
      </c>
      <c r="D2106" s="6">
        <v>10</v>
      </c>
      <c r="E2106" s="6" t="s">
        <v>193</v>
      </c>
      <c r="F2106" s="19" t="s">
        <v>1525</v>
      </c>
      <c r="G2106" s="10"/>
      <c r="H2106" s="53">
        <f>H2107</f>
        <v>394827</v>
      </c>
    </row>
    <row r="2107" spans="1:9" s="28" customFormat="1" x14ac:dyDescent="0.25">
      <c r="A2107" s="27">
        <v>100351002009</v>
      </c>
      <c r="B2107" s="26" t="s">
        <v>1565</v>
      </c>
      <c r="C2107" s="12" t="s">
        <v>358</v>
      </c>
      <c r="D2107" s="6">
        <v>10</v>
      </c>
      <c r="E2107" s="6" t="s">
        <v>193</v>
      </c>
      <c r="F2107" s="19" t="s">
        <v>1525</v>
      </c>
      <c r="G2107" s="12" t="s">
        <v>569</v>
      </c>
      <c r="H2107" s="53">
        <v>394827</v>
      </c>
    </row>
    <row r="2108" spans="1:9" s="28" customFormat="1" x14ac:dyDescent="0.25">
      <c r="A2108" s="29"/>
      <c r="B2108" s="26"/>
      <c r="C2108" s="12"/>
      <c r="D2108" s="12"/>
      <c r="E2108" s="12"/>
      <c r="F2108" s="12"/>
      <c r="G2108" s="12"/>
      <c r="H2108" s="53"/>
    </row>
    <row r="2109" spans="1:9" s="3" customFormat="1" ht="31.5" x14ac:dyDescent="0.25">
      <c r="A2109" s="40">
        <v>0</v>
      </c>
      <c r="B2109" s="30" t="s">
        <v>1302</v>
      </c>
      <c r="C2109" s="42" t="s">
        <v>1057</v>
      </c>
      <c r="D2109" s="42"/>
      <c r="E2109" s="42"/>
      <c r="F2109" s="42"/>
      <c r="G2109" s="42"/>
      <c r="H2109" s="187">
        <f>H2110+H2115</f>
        <v>1164766</v>
      </c>
    </row>
    <row r="2110" spans="1:9" s="28" customFormat="1" x14ac:dyDescent="0.25">
      <c r="A2110" s="29">
        <v>1</v>
      </c>
      <c r="B2110" s="35" t="s">
        <v>482</v>
      </c>
      <c r="C2110" s="12" t="s">
        <v>1057</v>
      </c>
      <c r="D2110" s="12" t="s">
        <v>566</v>
      </c>
      <c r="E2110" s="12"/>
      <c r="F2110" s="12"/>
      <c r="G2110" s="12"/>
      <c r="H2110" s="53">
        <f>H2111</f>
        <v>1163086</v>
      </c>
    </row>
    <row r="2111" spans="1:9" s="28" customFormat="1" x14ac:dyDescent="0.25">
      <c r="A2111" s="29">
        <v>105</v>
      </c>
      <c r="B2111" s="26" t="s">
        <v>1163</v>
      </c>
      <c r="C2111" s="12" t="s">
        <v>1057</v>
      </c>
      <c r="D2111" s="12" t="s">
        <v>566</v>
      </c>
      <c r="E2111" s="12" t="s">
        <v>175</v>
      </c>
      <c r="F2111" s="12"/>
      <c r="G2111" s="12"/>
      <c r="H2111" s="53">
        <f>H2112</f>
        <v>1163086</v>
      </c>
    </row>
    <row r="2112" spans="1:9" s="28" customFormat="1" ht="47.25" x14ac:dyDescent="0.25">
      <c r="A2112" s="27">
        <v>105002</v>
      </c>
      <c r="B2112" s="26" t="s">
        <v>1657</v>
      </c>
      <c r="C2112" s="12" t="s">
        <v>1057</v>
      </c>
      <c r="D2112" s="12" t="s">
        <v>566</v>
      </c>
      <c r="E2112" s="12" t="s">
        <v>175</v>
      </c>
      <c r="F2112" s="12" t="s">
        <v>200</v>
      </c>
      <c r="G2112" s="12"/>
      <c r="H2112" s="53">
        <f>H2113</f>
        <v>1163086</v>
      </c>
    </row>
    <row r="2113" spans="1:8" s="28" customFormat="1" x14ac:dyDescent="0.25">
      <c r="A2113" s="27">
        <v>10500223</v>
      </c>
      <c r="B2113" s="26" t="s">
        <v>1513</v>
      </c>
      <c r="C2113" s="12" t="s">
        <v>1057</v>
      </c>
      <c r="D2113" s="12" t="s">
        <v>566</v>
      </c>
      <c r="E2113" s="12" t="s">
        <v>175</v>
      </c>
      <c r="F2113" s="12" t="s">
        <v>786</v>
      </c>
      <c r="G2113" s="12"/>
      <c r="H2113" s="53">
        <f>SUM(H2114:H2114)</f>
        <v>1163086</v>
      </c>
    </row>
    <row r="2114" spans="1:8" s="3" customFormat="1" x14ac:dyDescent="0.25">
      <c r="A2114" s="27">
        <v>10500223012</v>
      </c>
      <c r="B2114" s="65" t="s">
        <v>1012</v>
      </c>
      <c r="C2114" s="12" t="s">
        <v>1057</v>
      </c>
      <c r="D2114" s="12" t="s">
        <v>566</v>
      </c>
      <c r="E2114" s="12" t="s">
        <v>175</v>
      </c>
      <c r="F2114" s="12" t="s">
        <v>786</v>
      </c>
      <c r="G2114" s="12" t="s">
        <v>1224</v>
      </c>
      <c r="H2114" s="53">
        <v>1163086</v>
      </c>
    </row>
    <row r="2115" spans="1:8" s="28" customFormat="1" x14ac:dyDescent="0.25">
      <c r="A2115" s="29">
        <v>7</v>
      </c>
      <c r="B2115" s="35" t="s">
        <v>174</v>
      </c>
      <c r="C2115" s="12" t="s">
        <v>1057</v>
      </c>
      <c r="D2115" s="12" t="s">
        <v>205</v>
      </c>
      <c r="E2115" s="10"/>
      <c r="F2115" s="10"/>
      <c r="G2115" s="10"/>
      <c r="H2115" s="53">
        <f>H2116</f>
        <v>1680</v>
      </c>
    </row>
    <row r="2116" spans="1:8" s="28" customFormat="1" x14ac:dyDescent="0.25">
      <c r="A2116" s="29">
        <v>707</v>
      </c>
      <c r="B2116" s="26" t="s">
        <v>699</v>
      </c>
      <c r="C2116" s="12" t="s">
        <v>1057</v>
      </c>
      <c r="D2116" s="12" t="s">
        <v>205</v>
      </c>
      <c r="E2116" s="12" t="s">
        <v>205</v>
      </c>
      <c r="F2116" s="10"/>
      <c r="G2116" s="10"/>
      <c r="H2116" s="53">
        <f>H2117</f>
        <v>1680</v>
      </c>
    </row>
    <row r="2117" spans="1:8" s="28" customFormat="1" ht="21" customHeight="1" x14ac:dyDescent="0.25">
      <c r="A2117" s="27">
        <v>707432</v>
      </c>
      <c r="B2117" s="26" t="s">
        <v>1482</v>
      </c>
      <c r="C2117" s="12" t="s">
        <v>1057</v>
      </c>
      <c r="D2117" s="12" t="s">
        <v>205</v>
      </c>
      <c r="E2117" s="12" t="s">
        <v>205</v>
      </c>
      <c r="F2117" s="10" t="s">
        <v>965</v>
      </c>
      <c r="G2117" s="12"/>
      <c r="H2117" s="53">
        <f>H2118</f>
        <v>1680</v>
      </c>
    </row>
    <row r="2118" spans="1:8" s="28" customFormat="1" x14ac:dyDescent="0.25">
      <c r="A2118" s="27">
        <v>70743202</v>
      </c>
      <c r="B2118" s="26" t="s">
        <v>541</v>
      </c>
      <c r="C2118" s="12" t="s">
        <v>1057</v>
      </c>
      <c r="D2118" s="12" t="s">
        <v>205</v>
      </c>
      <c r="E2118" s="12" t="s">
        <v>205</v>
      </c>
      <c r="F2118" s="10" t="s">
        <v>262</v>
      </c>
      <c r="G2118" s="12"/>
      <c r="H2118" s="53">
        <f>H2119</f>
        <v>1680</v>
      </c>
    </row>
    <row r="2119" spans="1:8" s="28" customFormat="1" x14ac:dyDescent="0.25">
      <c r="A2119" s="27">
        <v>70743202001</v>
      </c>
      <c r="B2119" s="26" t="s">
        <v>1435</v>
      </c>
      <c r="C2119" s="12" t="s">
        <v>1057</v>
      </c>
      <c r="D2119" s="12" t="s">
        <v>205</v>
      </c>
      <c r="E2119" s="12" t="s">
        <v>205</v>
      </c>
      <c r="F2119" s="10" t="s">
        <v>262</v>
      </c>
      <c r="G2119" s="12" t="s">
        <v>1394</v>
      </c>
      <c r="H2119" s="53">
        <v>1680</v>
      </c>
    </row>
    <row r="2120" spans="1:8" s="3" customFormat="1" x14ac:dyDescent="0.25">
      <c r="A2120" s="40"/>
      <c r="B2120" s="41"/>
      <c r="C2120" s="42"/>
      <c r="D2120" s="42"/>
      <c r="E2120" s="42"/>
      <c r="F2120" s="42"/>
      <c r="G2120" s="42"/>
      <c r="H2120" s="53"/>
    </row>
    <row r="2121" spans="1:8" s="3" customFormat="1" ht="47.25" x14ac:dyDescent="0.25">
      <c r="A2121" s="40">
        <v>0</v>
      </c>
      <c r="B2121" s="41" t="s">
        <v>963</v>
      </c>
      <c r="C2121" s="42" t="s">
        <v>898</v>
      </c>
      <c r="D2121" s="31"/>
      <c r="E2121" s="31"/>
      <c r="F2121" s="31"/>
      <c r="G2121" s="31"/>
      <c r="H2121" s="187">
        <f>H2122+H2127+H2132</f>
        <v>134473</v>
      </c>
    </row>
    <row r="2122" spans="1:8" s="3" customFormat="1" x14ac:dyDescent="0.25">
      <c r="A2122" s="27">
        <v>2</v>
      </c>
      <c r="B2122" s="35" t="s">
        <v>271</v>
      </c>
      <c r="C2122" s="12" t="s">
        <v>898</v>
      </c>
      <c r="D2122" s="12" t="s">
        <v>567</v>
      </c>
      <c r="E2122" s="31"/>
      <c r="F2122" s="31"/>
      <c r="G2122" s="31"/>
      <c r="H2122" s="53">
        <f>H2123</f>
        <v>30</v>
      </c>
    </row>
    <row r="2123" spans="1:8" s="3" customFormat="1" x14ac:dyDescent="0.25">
      <c r="A2123" s="27">
        <v>204</v>
      </c>
      <c r="B2123" s="26" t="s">
        <v>1054</v>
      </c>
      <c r="C2123" s="12" t="s">
        <v>898</v>
      </c>
      <c r="D2123" s="12" t="s">
        <v>567</v>
      </c>
      <c r="E2123" s="12" t="s">
        <v>1181</v>
      </c>
      <c r="F2123" s="31"/>
      <c r="G2123" s="31"/>
      <c r="H2123" s="53">
        <f>H2124</f>
        <v>30</v>
      </c>
    </row>
    <row r="2124" spans="1:8" s="3" customFormat="1" ht="31.5" x14ac:dyDescent="0.25">
      <c r="A2124" s="27">
        <v>204209</v>
      </c>
      <c r="B2124" s="26" t="s">
        <v>141</v>
      </c>
      <c r="C2124" s="12" t="s">
        <v>898</v>
      </c>
      <c r="D2124" s="12" t="s">
        <v>567</v>
      </c>
      <c r="E2124" s="12" t="s">
        <v>1181</v>
      </c>
      <c r="F2124" s="10" t="s">
        <v>270</v>
      </c>
      <c r="G2124" s="31"/>
      <c r="H2124" s="53">
        <f>H2125</f>
        <v>30</v>
      </c>
    </row>
    <row r="2125" spans="1:8" s="3" customFormat="1" ht="31.5" x14ac:dyDescent="0.25">
      <c r="A2125" s="27">
        <v>20420901</v>
      </c>
      <c r="B2125" s="26" t="s">
        <v>1408</v>
      </c>
      <c r="C2125" s="12" t="s">
        <v>898</v>
      </c>
      <c r="D2125" s="12" t="s">
        <v>567</v>
      </c>
      <c r="E2125" s="12" t="s">
        <v>1181</v>
      </c>
      <c r="F2125" s="10" t="s">
        <v>956</v>
      </c>
      <c r="G2125" s="31"/>
      <c r="H2125" s="53">
        <f>H2126</f>
        <v>30</v>
      </c>
    </row>
    <row r="2126" spans="1:8" s="3" customFormat="1" x14ac:dyDescent="0.25">
      <c r="A2126" s="27">
        <v>20420901012</v>
      </c>
      <c r="B2126" s="65" t="s">
        <v>1012</v>
      </c>
      <c r="C2126" s="12" t="s">
        <v>898</v>
      </c>
      <c r="D2126" s="12" t="s">
        <v>567</v>
      </c>
      <c r="E2126" s="12" t="s">
        <v>1181</v>
      </c>
      <c r="F2126" s="10" t="s">
        <v>956</v>
      </c>
      <c r="G2126" s="12" t="s">
        <v>1224</v>
      </c>
      <c r="H2126" s="53">
        <v>30</v>
      </c>
    </row>
    <row r="2127" spans="1:8" s="28" customFormat="1" ht="19.5" customHeight="1" x14ac:dyDescent="0.25">
      <c r="A2127" s="27">
        <v>3</v>
      </c>
      <c r="B2127" s="35" t="s">
        <v>1049</v>
      </c>
      <c r="C2127" s="12" t="s">
        <v>898</v>
      </c>
      <c r="D2127" s="12" t="s">
        <v>193</v>
      </c>
      <c r="E2127" s="12"/>
      <c r="F2127" s="10"/>
      <c r="G2127" s="12"/>
      <c r="H2127" s="53">
        <f>H2128</f>
        <v>10</v>
      </c>
    </row>
    <row r="2128" spans="1:8" s="28" customFormat="1" ht="47.25" x14ac:dyDescent="0.25">
      <c r="A2128" s="27">
        <v>309</v>
      </c>
      <c r="B2128" s="26" t="s">
        <v>133</v>
      </c>
      <c r="C2128" s="12" t="s">
        <v>898</v>
      </c>
      <c r="D2128" s="12" t="s">
        <v>193</v>
      </c>
      <c r="E2128" s="12" t="s">
        <v>406</v>
      </c>
      <c r="F2128" s="10"/>
      <c r="G2128" s="12"/>
      <c r="H2128" s="53">
        <f>H2129</f>
        <v>10</v>
      </c>
    </row>
    <row r="2129" spans="1:8" s="28" customFormat="1" x14ac:dyDescent="0.25">
      <c r="A2129" s="27">
        <v>309219</v>
      </c>
      <c r="B2129" s="26" t="s">
        <v>1098</v>
      </c>
      <c r="C2129" s="12" t="s">
        <v>898</v>
      </c>
      <c r="D2129" s="12" t="s">
        <v>193</v>
      </c>
      <c r="E2129" s="12" t="s">
        <v>406</v>
      </c>
      <c r="F2129" s="10" t="s">
        <v>620</v>
      </c>
      <c r="G2129" s="12"/>
      <c r="H2129" s="53">
        <f>H2130</f>
        <v>10</v>
      </c>
    </row>
    <row r="2130" spans="1:8" s="28" customFormat="1" ht="31.5" x14ac:dyDescent="0.25">
      <c r="A2130" s="27">
        <v>30921901</v>
      </c>
      <c r="B2130" s="26" t="s">
        <v>591</v>
      </c>
      <c r="C2130" s="12" t="s">
        <v>898</v>
      </c>
      <c r="D2130" s="12" t="s">
        <v>193</v>
      </c>
      <c r="E2130" s="12" t="s">
        <v>406</v>
      </c>
      <c r="F2130" s="10" t="s">
        <v>269</v>
      </c>
      <c r="G2130" s="12"/>
      <c r="H2130" s="53">
        <f>H2131</f>
        <v>10</v>
      </c>
    </row>
    <row r="2131" spans="1:8" s="28" customFormat="1" x14ac:dyDescent="0.25">
      <c r="A2131" s="27">
        <v>30921901012</v>
      </c>
      <c r="B2131" s="65" t="s">
        <v>1012</v>
      </c>
      <c r="C2131" s="12" t="s">
        <v>898</v>
      </c>
      <c r="D2131" s="12" t="s">
        <v>193</v>
      </c>
      <c r="E2131" s="12" t="s">
        <v>406</v>
      </c>
      <c r="F2131" s="10" t="s">
        <v>269</v>
      </c>
      <c r="G2131" s="12" t="s">
        <v>1224</v>
      </c>
      <c r="H2131" s="53">
        <v>10</v>
      </c>
    </row>
    <row r="2132" spans="1:8" s="28" customFormat="1" x14ac:dyDescent="0.25">
      <c r="A2132" s="29">
        <v>4</v>
      </c>
      <c r="B2132" s="35" t="s">
        <v>993</v>
      </c>
      <c r="C2132" s="12" t="s">
        <v>898</v>
      </c>
      <c r="D2132" s="6" t="s">
        <v>1181</v>
      </c>
      <c r="E2132" s="6"/>
      <c r="F2132" s="10"/>
      <c r="G2132" s="10"/>
      <c r="H2132" s="53">
        <f>H2133</f>
        <v>134433</v>
      </c>
    </row>
    <row r="2133" spans="1:8" s="28" customFormat="1" x14ac:dyDescent="0.25">
      <c r="A2133" s="29">
        <v>408</v>
      </c>
      <c r="B2133" s="26" t="s">
        <v>1596</v>
      </c>
      <c r="C2133" s="12" t="s">
        <v>898</v>
      </c>
      <c r="D2133" s="6" t="s">
        <v>1181</v>
      </c>
      <c r="E2133" s="6" t="s">
        <v>290</v>
      </c>
      <c r="F2133" s="10"/>
      <c r="G2133" s="10"/>
      <c r="H2133" s="53">
        <f>H2134</f>
        <v>134433</v>
      </c>
    </row>
    <row r="2134" spans="1:8" s="28" customFormat="1" ht="47.25" x14ac:dyDescent="0.25">
      <c r="A2134" s="27">
        <v>408002</v>
      </c>
      <c r="B2134" s="26" t="s">
        <v>1657</v>
      </c>
      <c r="C2134" s="12" t="s">
        <v>898</v>
      </c>
      <c r="D2134" s="12" t="s">
        <v>1181</v>
      </c>
      <c r="E2134" s="12" t="s">
        <v>290</v>
      </c>
      <c r="F2134" s="12" t="s">
        <v>200</v>
      </c>
      <c r="G2134" s="12"/>
      <c r="H2134" s="53">
        <f>H2135</f>
        <v>134433</v>
      </c>
    </row>
    <row r="2135" spans="1:8" s="28" customFormat="1" x14ac:dyDescent="0.25">
      <c r="A2135" s="27">
        <v>40800204</v>
      </c>
      <c r="B2135" s="26" t="s">
        <v>638</v>
      </c>
      <c r="C2135" s="12" t="s">
        <v>898</v>
      </c>
      <c r="D2135" s="12" t="s">
        <v>1181</v>
      </c>
      <c r="E2135" s="12" t="s">
        <v>290</v>
      </c>
      <c r="F2135" s="12" t="s">
        <v>797</v>
      </c>
      <c r="G2135" s="12"/>
      <c r="H2135" s="53">
        <f>H2136</f>
        <v>134433</v>
      </c>
    </row>
    <row r="2136" spans="1:8" s="3" customFormat="1" x14ac:dyDescent="0.25">
      <c r="A2136" s="27">
        <v>40800204012</v>
      </c>
      <c r="B2136" s="65" t="s">
        <v>1012</v>
      </c>
      <c r="C2136" s="12" t="s">
        <v>898</v>
      </c>
      <c r="D2136" s="12" t="s">
        <v>1181</v>
      </c>
      <c r="E2136" s="12" t="s">
        <v>290</v>
      </c>
      <c r="F2136" s="12" t="s">
        <v>797</v>
      </c>
      <c r="G2136" s="12" t="s">
        <v>1224</v>
      </c>
      <c r="H2136" s="53">
        <v>134433</v>
      </c>
    </row>
    <row r="2137" spans="1:8" s="28" customFormat="1" x14ac:dyDescent="0.25">
      <c r="A2137" s="29"/>
      <c r="B2137" s="30"/>
      <c r="C2137" s="12"/>
      <c r="D2137" s="10"/>
      <c r="E2137" s="10"/>
      <c r="F2137" s="10"/>
      <c r="G2137" s="10"/>
      <c r="H2137" s="53"/>
    </row>
    <row r="2138" spans="1:8" s="3" customFormat="1" x14ac:dyDescent="0.25">
      <c r="A2138" s="40">
        <v>0</v>
      </c>
      <c r="B2138" s="30" t="s">
        <v>851</v>
      </c>
      <c r="C2138" s="42" t="s">
        <v>194</v>
      </c>
      <c r="D2138" s="31"/>
      <c r="E2138" s="31"/>
      <c r="F2138" s="31"/>
      <c r="G2138" s="31"/>
      <c r="H2138" s="187">
        <f>H2139+H2150+H2155+H2160</f>
        <v>322417</v>
      </c>
    </row>
    <row r="2139" spans="1:8" s="28" customFormat="1" x14ac:dyDescent="0.25">
      <c r="A2139" s="29">
        <v>1</v>
      </c>
      <c r="B2139" s="35" t="s">
        <v>482</v>
      </c>
      <c r="C2139" s="12" t="s">
        <v>194</v>
      </c>
      <c r="D2139" s="12" t="s">
        <v>566</v>
      </c>
      <c r="E2139" s="10"/>
      <c r="F2139" s="10"/>
      <c r="G2139" s="10"/>
      <c r="H2139" s="53">
        <f>H2140</f>
        <v>322250</v>
      </c>
    </row>
    <row r="2140" spans="1:8" s="28" customFormat="1" x14ac:dyDescent="0.25">
      <c r="A2140" s="29">
        <v>114</v>
      </c>
      <c r="B2140" s="26" t="s">
        <v>287</v>
      </c>
      <c r="C2140" s="12" t="s">
        <v>194</v>
      </c>
      <c r="D2140" s="12" t="s">
        <v>566</v>
      </c>
      <c r="E2140" s="12">
        <v>14</v>
      </c>
      <c r="F2140" s="10"/>
      <c r="G2140" s="10"/>
      <c r="H2140" s="53">
        <f>H2141+H2144</f>
        <v>322250</v>
      </c>
    </row>
    <row r="2141" spans="1:8" s="28" customFormat="1" x14ac:dyDescent="0.25">
      <c r="A2141" s="27">
        <v>114001</v>
      </c>
      <c r="B2141" s="26" t="s">
        <v>637</v>
      </c>
      <c r="C2141" s="12" t="s">
        <v>194</v>
      </c>
      <c r="D2141" s="12" t="s">
        <v>566</v>
      </c>
      <c r="E2141" s="12">
        <v>14</v>
      </c>
      <c r="F2141" s="10" t="s">
        <v>1096</v>
      </c>
      <c r="G2141" s="12"/>
      <c r="H2141" s="53">
        <f>H2142</f>
        <v>3500</v>
      </c>
    </row>
    <row r="2142" spans="1:8" s="147" customFormat="1" ht="63" x14ac:dyDescent="0.25">
      <c r="A2142" s="188">
        <v>11400167</v>
      </c>
      <c r="B2142" s="38" t="s">
        <v>187</v>
      </c>
      <c r="C2142" s="12" t="s">
        <v>194</v>
      </c>
      <c r="D2142" s="25" t="s">
        <v>566</v>
      </c>
      <c r="E2142" s="25">
        <v>14</v>
      </c>
      <c r="F2142" s="25" t="s">
        <v>787</v>
      </c>
      <c r="G2142" s="189"/>
      <c r="H2142" s="53">
        <f>H2143</f>
        <v>3500</v>
      </c>
    </row>
    <row r="2143" spans="1:8" s="147" customFormat="1" x14ac:dyDescent="0.25">
      <c r="A2143" s="188">
        <v>11400167013</v>
      </c>
      <c r="B2143" s="38" t="s">
        <v>1335</v>
      </c>
      <c r="C2143" s="12" t="s">
        <v>194</v>
      </c>
      <c r="D2143" s="25" t="s">
        <v>566</v>
      </c>
      <c r="E2143" s="25">
        <v>14</v>
      </c>
      <c r="F2143" s="25" t="s">
        <v>787</v>
      </c>
      <c r="G2143" s="25" t="s">
        <v>972</v>
      </c>
      <c r="H2143" s="53">
        <v>3500</v>
      </c>
    </row>
    <row r="2144" spans="1:8" s="28" customFormat="1" ht="47.25" x14ac:dyDescent="0.25">
      <c r="A2144" s="27">
        <v>114002</v>
      </c>
      <c r="B2144" s="26" t="s">
        <v>1657</v>
      </c>
      <c r="C2144" s="12" t="s">
        <v>194</v>
      </c>
      <c r="D2144" s="12" t="s">
        <v>566</v>
      </c>
      <c r="E2144" s="12">
        <v>14</v>
      </c>
      <c r="F2144" s="12" t="s">
        <v>200</v>
      </c>
      <c r="G2144" s="12"/>
      <c r="H2144" s="53">
        <f>H2145+H2148</f>
        <v>318750</v>
      </c>
    </row>
    <row r="2145" spans="1:8" s="28" customFormat="1" x14ac:dyDescent="0.25">
      <c r="A2145" s="27">
        <v>11400204</v>
      </c>
      <c r="B2145" s="26" t="s">
        <v>638</v>
      </c>
      <c r="C2145" s="12" t="s">
        <v>194</v>
      </c>
      <c r="D2145" s="12" t="s">
        <v>566</v>
      </c>
      <c r="E2145" s="12">
        <v>14</v>
      </c>
      <c r="F2145" s="12" t="s">
        <v>797</v>
      </c>
      <c r="G2145" s="12"/>
      <c r="H2145" s="53">
        <f>SUM(H2146:H2147)</f>
        <v>268196</v>
      </c>
    </row>
    <row r="2146" spans="1:8" s="3" customFormat="1" x14ac:dyDescent="0.25">
      <c r="A2146" s="27">
        <v>11400204012</v>
      </c>
      <c r="B2146" s="65" t="s">
        <v>1012</v>
      </c>
      <c r="C2146" s="12" t="s">
        <v>194</v>
      </c>
      <c r="D2146" s="12" t="s">
        <v>566</v>
      </c>
      <c r="E2146" s="12">
        <v>14</v>
      </c>
      <c r="F2146" s="12" t="s">
        <v>797</v>
      </c>
      <c r="G2146" s="12" t="s">
        <v>1224</v>
      </c>
      <c r="H2146" s="53">
        <v>267896</v>
      </c>
    </row>
    <row r="2147" spans="1:8" s="28" customFormat="1" ht="63" x14ac:dyDescent="0.25">
      <c r="A2147" s="27">
        <v>11400204902</v>
      </c>
      <c r="B2147" s="26" t="s">
        <v>1100</v>
      </c>
      <c r="C2147" s="12" t="s">
        <v>194</v>
      </c>
      <c r="D2147" s="12" t="s">
        <v>566</v>
      </c>
      <c r="E2147" s="12">
        <v>14</v>
      </c>
      <c r="F2147" s="12" t="s">
        <v>797</v>
      </c>
      <c r="G2147" s="12">
        <v>902</v>
      </c>
      <c r="H2147" s="53">
        <v>300</v>
      </c>
    </row>
    <row r="2148" spans="1:8" s="28" customFormat="1" x14ac:dyDescent="0.25">
      <c r="A2148" s="27">
        <v>11400299</v>
      </c>
      <c r="B2148" s="26" t="s">
        <v>624</v>
      </c>
      <c r="C2148" s="12" t="s">
        <v>194</v>
      </c>
      <c r="D2148" s="12" t="s">
        <v>566</v>
      </c>
      <c r="E2148" s="12">
        <v>14</v>
      </c>
      <c r="F2148" s="12" t="s">
        <v>617</v>
      </c>
      <c r="G2148" s="12"/>
      <c r="H2148" s="53">
        <f>SUM(H2149:H2149)</f>
        <v>50554</v>
      </c>
    </row>
    <row r="2149" spans="1:8" s="3" customFormat="1" x14ac:dyDescent="0.25">
      <c r="A2149" s="27">
        <v>11400299001</v>
      </c>
      <c r="B2149" s="65" t="s">
        <v>1435</v>
      </c>
      <c r="C2149" s="12" t="s">
        <v>194</v>
      </c>
      <c r="D2149" s="12" t="s">
        <v>566</v>
      </c>
      <c r="E2149" s="12">
        <v>14</v>
      </c>
      <c r="F2149" s="12" t="s">
        <v>617</v>
      </c>
      <c r="G2149" s="12" t="s">
        <v>1394</v>
      </c>
      <c r="H2149" s="53">
        <v>50554</v>
      </c>
    </row>
    <row r="2150" spans="1:8" s="3" customFormat="1" x14ac:dyDescent="0.25">
      <c r="A2150" s="27">
        <v>2</v>
      </c>
      <c r="B2150" s="35" t="s">
        <v>271</v>
      </c>
      <c r="C2150" s="12" t="s">
        <v>194</v>
      </c>
      <c r="D2150" s="12" t="s">
        <v>567</v>
      </c>
      <c r="E2150" s="31"/>
      <c r="F2150" s="31"/>
      <c r="G2150" s="31"/>
      <c r="H2150" s="53">
        <f>H2151</f>
        <v>60</v>
      </c>
    </row>
    <row r="2151" spans="1:8" s="3" customFormat="1" x14ac:dyDescent="0.25">
      <c r="A2151" s="27">
        <v>204</v>
      </c>
      <c r="B2151" s="26" t="s">
        <v>1054</v>
      </c>
      <c r="C2151" s="12" t="s">
        <v>194</v>
      </c>
      <c r="D2151" s="12" t="s">
        <v>567</v>
      </c>
      <c r="E2151" s="12" t="s">
        <v>1181</v>
      </c>
      <c r="F2151" s="31"/>
      <c r="G2151" s="31"/>
      <c r="H2151" s="53">
        <f>H2152</f>
        <v>60</v>
      </c>
    </row>
    <row r="2152" spans="1:8" s="3" customFormat="1" ht="31.5" x14ac:dyDescent="0.25">
      <c r="A2152" s="27">
        <v>204209</v>
      </c>
      <c r="B2152" s="26" t="s">
        <v>141</v>
      </c>
      <c r="C2152" s="12" t="s">
        <v>194</v>
      </c>
      <c r="D2152" s="12" t="s">
        <v>567</v>
      </c>
      <c r="E2152" s="12" t="s">
        <v>1181</v>
      </c>
      <c r="F2152" s="10" t="s">
        <v>270</v>
      </c>
      <c r="G2152" s="31"/>
      <c r="H2152" s="53">
        <f>H2153</f>
        <v>60</v>
      </c>
    </row>
    <row r="2153" spans="1:8" s="3" customFormat="1" ht="31.5" x14ac:dyDescent="0.25">
      <c r="A2153" s="27">
        <v>20420901</v>
      </c>
      <c r="B2153" s="26" t="s">
        <v>1408</v>
      </c>
      <c r="C2153" s="12" t="s">
        <v>194</v>
      </c>
      <c r="D2153" s="12" t="s">
        <v>567</v>
      </c>
      <c r="E2153" s="12" t="s">
        <v>1181</v>
      </c>
      <c r="F2153" s="10" t="s">
        <v>956</v>
      </c>
      <c r="G2153" s="31"/>
      <c r="H2153" s="53">
        <f>H2154</f>
        <v>60</v>
      </c>
    </row>
    <row r="2154" spans="1:8" s="3" customFormat="1" x14ac:dyDescent="0.25">
      <c r="A2154" s="27">
        <v>20420901012</v>
      </c>
      <c r="B2154" s="65" t="s">
        <v>1012</v>
      </c>
      <c r="C2154" s="12" t="s">
        <v>194</v>
      </c>
      <c r="D2154" s="12" t="s">
        <v>567</v>
      </c>
      <c r="E2154" s="12" t="s">
        <v>1181</v>
      </c>
      <c r="F2154" s="10" t="s">
        <v>956</v>
      </c>
      <c r="G2154" s="12" t="s">
        <v>1224</v>
      </c>
      <c r="H2154" s="53">
        <v>60</v>
      </c>
    </row>
    <row r="2155" spans="1:8" s="28" customFormat="1" ht="18.75" customHeight="1" x14ac:dyDescent="0.25">
      <c r="A2155" s="27">
        <v>3</v>
      </c>
      <c r="B2155" s="35" t="s">
        <v>1049</v>
      </c>
      <c r="C2155" s="12" t="s">
        <v>194</v>
      </c>
      <c r="D2155" s="12" t="s">
        <v>193</v>
      </c>
      <c r="E2155" s="12"/>
      <c r="F2155" s="10"/>
      <c r="G2155" s="12"/>
      <c r="H2155" s="53">
        <f>H2156</f>
        <v>90</v>
      </c>
    </row>
    <row r="2156" spans="1:8" s="28" customFormat="1" ht="47.25" x14ac:dyDescent="0.25">
      <c r="A2156" s="27">
        <v>309</v>
      </c>
      <c r="B2156" s="26" t="s">
        <v>133</v>
      </c>
      <c r="C2156" s="12" t="s">
        <v>194</v>
      </c>
      <c r="D2156" s="12" t="s">
        <v>193</v>
      </c>
      <c r="E2156" s="12" t="s">
        <v>406</v>
      </c>
      <c r="F2156" s="10"/>
      <c r="G2156" s="12"/>
      <c r="H2156" s="53">
        <f>H2157</f>
        <v>90</v>
      </c>
    </row>
    <row r="2157" spans="1:8" s="28" customFormat="1" x14ac:dyDescent="0.25">
      <c r="A2157" s="27">
        <v>309219</v>
      </c>
      <c r="B2157" s="26" t="s">
        <v>1098</v>
      </c>
      <c r="C2157" s="12" t="s">
        <v>194</v>
      </c>
      <c r="D2157" s="12" t="s">
        <v>193</v>
      </c>
      <c r="E2157" s="12" t="s">
        <v>406</v>
      </c>
      <c r="F2157" s="10" t="s">
        <v>620</v>
      </c>
      <c r="G2157" s="12"/>
      <c r="H2157" s="53">
        <f>H2158</f>
        <v>90</v>
      </c>
    </row>
    <row r="2158" spans="1:8" s="28" customFormat="1" ht="31.5" x14ac:dyDescent="0.25">
      <c r="A2158" s="27">
        <v>30921901</v>
      </c>
      <c r="B2158" s="26" t="s">
        <v>591</v>
      </c>
      <c r="C2158" s="12" t="s">
        <v>194</v>
      </c>
      <c r="D2158" s="12" t="s">
        <v>193</v>
      </c>
      <c r="E2158" s="12" t="s">
        <v>406</v>
      </c>
      <c r="F2158" s="10" t="s">
        <v>269</v>
      </c>
      <c r="G2158" s="12"/>
      <c r="H2158" s="53">
        <f>H2159</f>
        <v>90</v>
      </c>
    </row>
    <row r="2159" spans="1:8" s="28" customFormat="1" x14ac:dyDescent="0.25">
      <c r="A2159" s="27">
        <v>30921901012</v>
      </c>
      <c r="B2159" s="65" t="s">
        <v>1012</v>
      </c>
      <c r="C2159" s="12" t="s">
        <v>194</v>
      </c>
      <c r="D2159" s="12" t="s">
        <v>193</v>
      </c>
      <c r="E2159" s="12" t="s">
        <v>406</v>
      </c>
      <c r="F2159" s="10" t="s">
        <v>269</v>
      </c>
      <c r="G2159" s="12" t="s">
        <v>1224</v>
      </c>
      <c r="H2159" s="53">
        <v>90</v>
      </c>
    </row>
    <row r="2160" spans="1:8" s="128" customFormat="1" x14ac:dyDescent="0.25">
      <c r="A2160" s="29">
        <v>7</v>
      </c>
      <c r="B2160" s="35" t="s">
        <v>174</v>
      </c>
      <c r="C2160" s="12" t="s">
        <v>194</v>
      </c>
      <c r="D2160" s="12" t="s">
        <v>205</v>
      </c>
      <c r="E2160" s="10"/>
      <c r="F2160" s="10"/>
      <c r="G2160" s="10"/>
      <c r="H2160" s="53">
        <f>H2161</f>
        <v>17</v>
      </c>
    </row>
    <row r="2161" spans="1:8" s="128" customFormat="1" x14ac:dyDescent="0.25">
      <c r="A2161" s="29">
        <v>707</v>
      </c>
      <c r="B2161" s="26" t="s">
        <v>699</v>
      </c>
      <c r="C2161" s="12" t="s">
        <v>194</v>
      </c>
      <c r="D2161" s="12" t="s">
        <v>205</v>
      </c>
      <c r="E2161" s="12" t="s">
        <v>205</v>
      </c>
      <c r="F2161" s="10"/>
      <c r="G2161" s="10"/>
      <c r="H2161" s="53">
        <f>H2162</f>
        <v>17</v>
      </c>
    </row>
    <row r="2162" spans="1:8" s="28" customFormat="1" ht="21" customHeight="1" x14ac:dyDescent="0.25">
      <c r="A2162" s="27">
        <v>707432</v>
      </c>
      <c r="B2162" s="26" t="s">
        <v>1482</v>
      </c>
      <c r="C2162" s="12" t="s">
        <v>194</v>
      </c>
      <c r="D2162" s="12" t="s">
        <v>205</v>
      </c>
      <c r="E2162" s="12" t="s">
        <v>205</v>
      </c>
      <c r="F2162" s="10" t="s">
        <v>965</v>
      </c>
      <c r="G2162" s="12"/>
      <c r="H2162" s="53">
        <f>H2163</f>
        <v>17</v>
      </c>
    </row>
    <row r="2163" spans="1:8" s="28" customFormat="1" x14ac:dyDescent="0.25">
      <c r="A2163" s="27">
        <v>70743202</v>
      </c>
      <c r="B2163" s="26" t="s">
        <v>541</v>
      </c>
      <c r="C2163" s="12" t="s">
        <v>194</v>
      </c>
      <c r="D2163" s="12" t="s">
        <v>205</v>
      </c>
      <c r="E2163" s="12" t="s">
        <v>205</v>
      </c>
      <c r="F2163" s="10" t="s">
        <v>262</v>
      </c>
      <c r="G2163" s="12"/>
      <c r="H2163" s="53">
        <f>H2164</f>
        <v>17</v>
      </c>
    </row>
    <row r="2164" spans="1:8" s="28" customFormat="1" x14ac:dyDescent="0.25">
      <c r="A2164" s="27">
        <v>70743202001</v>
      </c>
      <c r="B2164" s="26" t="s">
        <v>1435</v>
      </c>
      <c r="C2164" s="12" t="s">
        <v>194</v>
      </c>
      <c r="D2164" s="12" t="s">
        <v>205</v>
      </c>
      <c r="E2164" s="12" t="s">
        <v>205</v>
      </c>
      <c r="F2164" s="10" t="s">
        <v>262</v>
      </c>
      <c r="G2164" s="12" t="s">
        <v>1394</v>
      </c>
      <c r="H2164" s="53">
        <v>17</v>
      </c>
    </row>
    <row r="2165" spans="1:8" s="28" customFormat="1" ht="15" customHeight="1" x14ac:dyDescent="0.25">
      <c r="A2165" s="29"/>
      <c r="B2165" s="26"/>
      <c r="C2165" s="12"/>
      <c r="D2165" s="10"/>
      <c r="E2165" s="10"/>
      <c r="F2165" s="10"/>
      <c r="G2165" s="10"/>
      <c r="H2165" s="53"/>
    </row>
    <row r="2166" spans="1:8" s="3" customFormat="1" ht="31.5" x14ac:dyDescent="0.25">
      <c r="A2166" s="40">
        <v>0</v>
      </c>
      <c r="B2166" s="41" t="s">
        <v>651</v>
      </c>
      <c r="C2166" s="42" t="s">
        <v>195</v>
      </c>
      <c r="D2166" s="31"/>
      <c r="E2166" s="31"/>
      <c r="F2166" s="31"/>
      <c r="G2166" s="31"/>
      <c r="H2166" s="187">
        <f>H2167+H2181+H2186+H2191+H2203+H2208</f>
        <v>677649</v>
      </c>
    </row>
    <row r="2167" spans="1:8" s="28" customFormat="1" x14ac:dyDescent="0.25">
      <c r="A2167" s="29">
        <v>1</v>
      </c>
      <c r="B2167" s="35" t="s">
        <v>482</v>
      </c>
      <c r="C2167" s="12" t="s">
        <v>195</v>
      </c>
      <c r="D2167" s="12" t="s">
        <v>566</v>
      </c>
      <c r="E2167" s="10"/>
      <c r="F2167" s="10"/>
      <c r="G2167" s="10"/>
      <c r="H2167" s="53">
        <f>H2168</f>
        <v>76112</v>
      </c>
    </row>
    <row r="2168" spans="1:8" s="28" customFormat="1" x14ac:dyDescent="0.25">
      <c r="A2168" s="29">
        <v>114</v>
      </c>
      <c r="B2168" s="26" t="s">
        <v>287</v>
      </c>
      <c r="C2168" s="12" t="s">
        <v>195</v>
      </c>
      <c r="D2168" s="12" t="s">
        <v>566</v>
      </c>
      <c r="E2168" s="12">
        <v>14</v>
      </c>
      <c r="F2168" s="10"/>
      <c r="G2168" s="10"/>
      <c r="H2168" s="53">
        <f>H2169+H2177</f>
        <v>76112</v>
      </c>
    </row>
    <row r="2169" spans="1:8" s="28" customFormat="1" x14ac:dyDescent="0.25">
      <c r="A2169" s="27">
        <v>114001</v>
      </c>
      <c r="B2169" s="26" t="s">
        <v>637</v>
      </c>
      <c r="C2169" s="12" t="s">
        <v>195</v>
      </c>
      <c r="D2169" s="12" t="s">
        <v>566</v>
      </c>
      <c r="E2169" s="12">
        <v>14</v>
      </c>
      <c r="F2169" s="10" t="s">
        <v>1096</v>
      </c>
      <c r="G2169" s="12"/>
      <c r="H2169" s="53">
        <f>H2170+H2172</f>
        <v>37071</v>
      </c>
    </row>
    <row r="2170" spans="1:8" s="147" customFormat="1" ht="47.25" x14ac:dyDescent="0.25">
      <c r="A2170" s="188">
        <v>11400168</v>
      </c>
      <c r="B2170" s="148" t="s">
        <v>914</v>
      </c>
      <c r="C2170" s="12" t="s">
        <v>195</v>
      </c>
      <c r="D2170" s="25" t="s">
        <v>566</v>
      </c>
      <c r="E2170" s="25">
        <v>14</v>
      </c>
      <c r="F2170" s="25" t="s">
        <v>188</v>
      </c>
      <c r="G2170" s="157"/>
      <c r="H2170" s="53">
        <f>H2171</f>
        <v>20412</v>
      </c>
    </row>
    <row r="2171" spans="1:8" s="147" customFormat="1" x14ac:dyDescent="0.25">
      <c r="A2171" s="188">
        <v>11400168013</v>
      </c>
      <c r="B2171" s="38" t="s">
        <v>1335</v>
      </c>
      <c r="C2171" s="12" t="s">
        <v>195</v>
      </c>
      <c r="D2171" s="25" t="s">
        <v>566</v>
      </c>
      <c r="E2171" s="25">
        <v>14</v>
      </c>
      <c r="F2171" s="25" t="s">
        <v>188</v>
      </c>
      <c r="G2171" s="25" t="s">
        <v>972</v>
      </c>
      <c r="H2171" s="53">
        <v>20412</v>
      </c>
    </row>
    <row r="2172" spans="1:8" s="147" customFormat="1" ht="31.5" x14ac:dyDescent="0.25">
      <c r="A2172" s="188">
        <v>11400169</v>
      </c>
      <c r="B2172" s="38" t="s">
        <v>130</v>
      </c>
      <c r="C2172" s="12" t="s">
        <v>195</v>
      </c>
      <c r="D2172" s="25" t="s">
        <v>566</v>
      </c>
      <c r="E2172" s="25">
        <v>14</v>
      </c>
      <c r="F2172" s="25" t="s">
        <v>189</v>
      </c>
      <c r="G2172" s="189"/>
      <c r="H2172" s="53">
        <f>H2173+H2175</f>
        <v>16659</v>
      </c>
    </row>
    <row r="2173" spans="1:8" s="147" customFormat="1" ht="63" x14ac:dyDescent="0.25">
      <c r="A2173" s="188">
        <v>1140016901</v>
      </c>
      <c r="B2173" s="148" t="s">
        <v>1694</v>
      </c>
      <c r="C2173" s="12" t="s">
        <v>195</v>
      </c>
      <c r="D2173" s="25" t="s">
        <v>566</v>
      </c>
      <c r="E2173" s="25">
        <v>14</v>
      </c>
      <c r="F2173" s="25" t="s">
        <v>190</v>
      </c>
      <c r="G2173" s="189"/>
      <c r="H2173" s="53">
        <f>H2174</f>
        <v>500</v>
      </c>
    </row>
    <row r="2174" spans="1:8" s="147" customFormat="1" x14ac:dyDescent="0.25">
      <c r="A2174" s="188">
        <v>1140016901013</v>
      </c>
      <c r="B2174" s="38" t="s">
        <v>1335</v>
      </c>
      <c r="C2174" s="12" t="s">
        <v>195</v>
      </c>
      <c r="D2174" s="25" t="s">
        <v>566</v>
      </c>
      <c r="E2174" s="25">
        <v>14</v>
      </c>
      <c r="F2174" s="25" t="s">
        <v>190</v>
      </c>
      <c r="G2174" s="25" t="s">
        <v>972</v>
      </c>
      <c r="H2174" s="53">
        <v>500</v>
      </c>
    </row>
    <row r="2175" spans="1:8" s="147" customFormat="1" ht="47.25" x14ac:dyDescent="0.25">
      <c r="A2175" s="188">
        <v>1140016902</v>
      </c>
      <c r="B2175" s="148" t="s">
        <v>1695</v>
      </c>
      <c r="C2175" s="12" t="s">
        <v>195</v>
      </c>
      <c r="D2175" s="25" t="s">
        <v>566</v>
      </c>
      <c r="E2175" s="25">
        <v>14</v>
      </c>
      <c r="F2175" s="25" t="s">
        <v>314</v>
      </c>
      <c r="G2175" s="189"/>
      <c r="H2175" s="53">
        <f>H2176</f>
        <v>16159</v>
      </c>
    </row>
    <row r="2176" spans="1:8" s="147" customFormat="1" x14ac:dyDescent="0.25">
      <c r="A2176" s="188">
        <v>1140016902013</v>
      </c>
      <c r="B2176" s="38" t="s">
        <v>1335</v>
      </c>
      <c r="C2176" s="12" t="s">
        <v>195</v>
      </c>
      <c r="D2176" s="25" t="s">
        <v>566</v>
      </c>
      <c r="E2176" s="25">
        <v>14</v>
      </c>
      <c r="F2176" s="25" t="s">
        <v>314</v>
      </c>
      <c r="G2176" s="25" t="s">
        <v>972</v>
      </c>
      <c r="H2176" s="53">
        <v>16159</v>
      </c>
    </row>
    <row r="2177" spans="1:8" s="28" customFormat="1" ht="47.25" x14ac:dyDescent="0.25">
      <c r="A2177" s="27">
        <v>114002</v>
      </c>
      <c r="B2177" s="26" t="s">
        <v>1657</v>
      </c>
      <c r="C2177" s="12" t="s">
        <v>195</v>
      </c>
      <c r="D2177" s="12" t="s">
        <v>566</v>
      </c>
      <c r="E2177" s="12">
        <v>14</v>
      </c>
      <c r="F2177" s="12" t="s">
        <v>200</v>
      </c>
      <c r="G2177" s="12"/>
      <c r="H2177" s="53">
        <f>H2178</f>
        <v>39041</v>
      </c>
    </row>
    <row r="2178" spans="1:8" s="28" customFormat="1" x14ac:dyDescent="0.25">
      <c r="A2178" s="27">
        <v>11400204</v>
      </c>
      <c r="B2178" s="26" t="s">
        <v>638</v>
      </c>
      <c r="C2178" s="12" t="s">
        <v>195</v>
      </c>
      <c r="D2178" s="12" t="s">
        <v>566</v>
      </c>
      <c r="E2178" s="12">
        <v>14</v>
      </c>
      <c r="F2178" s="12" t="s">
        <v>797</v>
      </c>
      <c r="G2178" s="12"/>
      <c r="H2178" s="53">
        <f>SUM(H2179:H2180)</f>
        <v>39041</v>
      </c>
    </row>
    <row r="2179" spans="1:8" s="3" customFormat="1" x14ac:dyDescent="0.25">
      <c r="A2179" s="27">
        <v>11400204012</v>
      </c>
      <c r="B2179" s="65" t="s">
        <v>1012</v>
      </c>
      <c r="C2179" s="12" t="s">
        <v>195</v>
      </c>
      <c r="D2179" s="12" t="s">
        <v>566</v>
      </c>
      <c r="E2179" s="12">
        <v>14</v>
      </c>
      <c r="F2179" s="12" t="s">
        <v>797</v>
      </c>
      <c r="G2179" s="12" t="s">
        <v>1224</v>
      </c>
      <c r="H2179" s="53">
        <v>38621</v>
      </c>
    </row>
    <row r="2180" spans="1:8" s="28" customFormat="1" ht="63" x14ac:dyDescent="0.25">
      <c r="A2180" s="27">
        <v>11400204902</v>
      </c>
      <c r="B2180" s="26" t="s">
        <v>1100</v>
      </c>
      <c r="C2180" s="12" t="s">
        <v>195</v>
      </c>
      <c r="D2180" s="12" t="s">
        <v>566</v>
      </c>
      <c r="E2180" s="12">
        <v>14</v>
      </c>
      <c r="F2180" s="12" t="s">
        <v>797</v>
      </c>
      <c r="G2180" s="12">
        <v>902</v>
      </c>
      <c r="H2180" s="53">
        <v>420</v>
      </c>
    </row>
    <row r="2181" spans="1:8" s="3" customFormat="1" x14ac:dyDescent="0.25">
      <c r="A2181" s="27">
        <v>2</v>
      </c>
      <c r="B2181" s="35" t="s">
        <v>271</v>
      </c>
      <c r="C2181" s="12" t="s">
        <v>195</v>
      </c>
      <c r="D2181" s="12" t="s">
        <v>567</v>
      </c>
      <c r="E2181" s="31"/>
      <c r="F2181" s="31"/>
      <c r="G2181" s="31"/>
      <c r="H2181" s="53">
        <f>H2182</f>
        <v>17</v>
      </c>
    </row>
    <row r="2182" spans="1:8" s="3" customFormat="1" x14ac:dyDescent="0.25">
      <c r="A2182" s="27">
        <v>204</v>
      </c>
      <c r="B2182" s="26" t="s">
        <v>1054</v>
      </c>
      <c r="C2182" s="12" t="s">
        <v>195</v>
      </c>
      <c r="D2182" s="12" t="s">
        <v>567</v>
      </c>
      <c r="E2182" s="12" t="s">
        <v>1181</v>
      </c>
      <c r="F2182" s="31"/>
      <c r="G2182" s="31"/>
      <c r="H2182" s="53">
        <f>H2183</f>
        <v>17</v>
      </c>
    </row>
    <row r="2183" spans="1:8" s="3" customFormat="1" ht="31.5" x14ac:dyDescent="0.25">
      <c r="A2183" s="27">
        <v>204209</v>
      </c>
      <c r="B2183" s="26" t="s">
        <v>141</v>
      </c>
      <c r="C2183" s="12" t="s">
        <v>195</v>
      </c>
      <c r="D2183" s="12" t="s">
        <v>567</v>
      </c>
      <c r="E2183" s="12" t="s">
        <v>1181</v>
      </c>
      <c r="F2183" s="10" t="s">
        <v>270</v>
      </c>
      <c r="G2183" s="31"/>
      <c r="H2183" s="53">
        <f>H2184</f>
        <v>17</v>
      </c>
    </row>
    <row r="2184" spans="1:8" s="3" customFormat="1" ht="31.5" x14ac:dyDescent="0.25">
      <c r="A2184" s="27">
        <v>20420901</v>
      </c>
      <c r="B2184" s="26" t="s">
        <v>1408</v>
      </c>
      <c r="C2184" s="12" t="s">
        <v>195</v>
      </c>
      <c r="D2184" s="12" t="s">
        <v>567</v>
      </c>
      <c r="E2184" s="12" t="s">
        <v>1181</v>
      </c>
      <c r="F2184" s="10" t="s">
        <v>956</v>
      </c>
      <c r="G2184" s="31"/>
      <c r="H2184" s="53">
        <f>H2185</f>
        <v>17</v>
      </c>
    </row>
    <row r="2185" spans="1:8" s="3" customFormat="1" x14ac:dyDescent="0.25">
      <c r="A2185" s="27">
        <v>20420901012</v>
      </c>
      <c r="B2185" s="65" t="s">
        <v>1012</v>
      </c>
      <c r="C2185" s="12" t="s">
        <v>195</v>
      </c>
      <c r="D2185" s="12" t="s">
        <v>567</v>
      </c>
      <c r="E2185" s="12" t="s">
        <v>1181</v>
      </c>
      <c r="F2185" s="10" t="s">
        <v>956</v>
      </c>
      <c r="G2185" s="12" t="s">
        <v>1224</v>
      </c>
      <c r="H2185" s="53">
        <v>17</v>
      </c>
    </row>
    <row r="2186" spans="1:8" s="28" customFormat="1" ht="20.25" customHeight="1" x14ac:dyDescent="0.25">
      <c r="A2186" s="27">
        <v>3</v>
      </c>
      <c r="B2186" s="35" t="s">
        <v>1049</v>
      </c>
      <c r="C2186" s="12" t="s">
        <v>195</v>
      </c>
      <c r="D2186" s="12" t="s">
        <v>193</v>
      </c>
      <c r="E2186" s="12"/>
      <c r="F2186" s="10"/>
      <c r="G2186" s="12"/>
      <c r="H2186" s="53">
        <f>H2187</f>
        <v>10</v>
      </c>
    </row>
    <row r="2187" spans="1:8" s="28" customFormat="1" ht="47.25" x14ac:dyDescent="0.25">
      <c r="A2187" s="27">
        <v>309</v>
      </c>
      <c r="B2187" s="26" t="s">
        <v>133</v>
      </c>
      <c r="C2187" s="12" t="s">
        <v>195</v>
      </c>
      <c r="D2187" s="12" t="s">
        <v>193</v>
      </c>
      <c r="E2187" s="12" t="s">
        <v>406</v>
      </c>
      <c r="F2187" s="10"/>
      <c r="G2187" s="12"/>
      <c r="H2187" s="53">
        <f>H2188</f>
        <v>10</v>
      </c>
    </row>
    <row r="2188" spans="1:8" s="28" customFormat="1" x14ac:dyDescent="0.25">
      <c r="A2188" s="27">
        <v>309219</v>
      </c>
      <c r="B2188" s="26" t="s">
        <v>1098</v>
      </c>
      <c r="C2188" s="12" t="s">
        <v>195</v>
      </c>
      <c r="D2188" s="12" t="s">
        <v>193</v>
      </c>
      <c r="E2188" s="12" t="s">
        <v>406</v>
      </c>
      <c r="F2188" s="10" t="s">
        <v>620</v>
      </c>
      <c r="G2188" s="12"/>
      <c r="H2188" s="53">
        <f>H2189</f>
        <v>10</v>
      </c>
    </row>
    <row r="2189" spans="1:8" s="28" customFormat="1" ht="31.5" x14ac:dyDescent="0.25">
      <c r="A2189" s="27">
        <v>30921901</v>
      </c>
      <c r="B2189" s="26" t="s">
        <v>591</v>
      </c>
      <c r="C2189" s="12" t="s">
        <v>195</v>
      </c>
      <c r="D2189" s="12" t="s">
        <v>193</v>
      </c>
      <c r="E2189" s="12" t="s">
        <v>406</v>
      </c>
      <c r="F2189" s="10" t="s">
        <v>269</v>
      </c>
      <c r="G2189" s="12"/>
      <c r="H2189" s="53">
        <f>H2190</f>
        <v>10</v>
      </c>
    </row>
    <row r="2190" spans="1:8" s="28" customFormat="1" x14ac:dyDescent="0.25">
      <c r="A2190" s="27">
        <v>30921901012</v>
      </c>
      <c r="B2190" s="65" t="s">
        <v>1012</v>
      </c>
      <c r="C2190" s="12" t="s">
        <v>195</v>
      </c>
      <c r="D2190" s="12" t="s">
        <v>193</v>
      </c>
      <c r="E2190" s="12" t="s">
        <v>406</v>
      </c>
      <c r="F2190" s="10" t="s">
        <v>269</v>
      </c>
      <c r="G2190" s="12" t="s">
        <v>1224</v>
      </c>
      <c r="H2190" s="53">
        <v>10</v>
      </c>
    </row>
    <row r="2191" spans="1:8" s="128" customFormat="1" x14ac:dyDescent="0.25">
      <c r="A2191" s="29">
        <v>7</v>
      </c>
      <c r="B2191" s="35" t="s">
        <v>174</v>
      </c>
      <c r="C2191" s="12" t="s">
        <v>195</v>
      </c>
      <c r="D2191" s="12" t="s">
        <v>205</v>
      </c>
      <c r="E2191" s="10"/>
      <c r="F2191" s="10"/>
      <c r="G2191" s="10"/>
      <c r="H2191" s="53">
        <f>H2192+H2199</f>
        <v>97194</v>
      </c>
    </row>
    <row r="2192" spans="1:8" s="128" customFormat="1" ht="31.5" x14ac:dyDescent="0.25">
      <c r="A2192" s="29">
        <v>705</v>
      </c>
      <c r="B2192" s="26" t="s">
        <v>244</v>
      </c>
      <c r="C2192" s="12" t="s">
        <v>195</v>
      </c>
      <c r="D2192" s="12" t="s">
        <v>205</v>
      </c>
      <c r="E2192" s="12" t="s">
        <v>175</v>
      </c>
      <c r="F2192" s="10"/>
      <c r="G2192" s="10"/>
      <c r="H2192" s="53">
        <f>H2193</f>
        <v>97160</v>
      </c>
    </row>
    <row r="2193" spans="1:8" s="128" customFormat="1" x14ac:dyDescent="0.25">
      <c r="A2193" s="27">
        <v>705429</v>
      </c>
      <c r="B2193" s="26" t="s">
        <v>204</v>
      </c>
      <c r="C2193" s="12" t="s">
        <v>195</v>
      </c>
      <c r="D2193" s="12" t="s">
        <v>205</v>
      </c>
      <c r="E2193" s="12" t="s">
        <v>175</v>
      </c>
      <c r="F2193" s="10" t="s">
        <v>398</v>
      </c>
      <c r="G2193" s="10"/>
      <c r="H2193" s="53">
        <f>H2194+H2196</f>
        <v>97160</v>
      </c>
    </row>
    <row r="2194" spans="1:8" s="128" customFormat="1" x14ac:dyDescent="0.25">
      <c r="A2194" s="27">
        <v>70542978</v>
      </c>
      <c r="B2194" s="26" t="s">
        <v>550</v>
      </c>
      <c r="C2194" s="12" t="s">
        <v>195</v>
      </c>
      <c r="D2194" s="12" t="s">
        <v>205</v>
      </c>
      <c r="E2194" s="12" t="s">
        <v>175</v>
      </c>
      <c r="F2194" s="10" t="s">
        <v>1206</v>
      </c>
      <c r="G2194" s="12"/>
      <c r="H2194" s="53">
        <f>H2195</f>
        <v>5908</v>
      </c>
    </row>
    <row r="2195" spans="1:8" s="128" customFormat="1" x14ac:dyDescent="0.25">
      <c r="A2195" s="27">
        <v>70542978001</v>
      </c>
      <c r="B2195" s="26" t="s">
        <v>1435</v>
      </c>
      <c r="C2195" s="12" t="s">
        <v>195</v>
      </c>
      <c r="D2195" s="12" t="s">
        <v>205</v>
      </c>
      <c r="E2195" s="12" t="s">
        <v>175</v>
      </c>
      <c r="F2195" s="10" t="s">
        <v>1206</v>
      </c>
      <c r="G2195" s="12" t="s">
        <v>1394</v>
      </c>
      <c r="H2195" s="53">
        <v>5908</v>
      </c>
    </row>
    <row r="2196" spans="1:8" s="128" customFormat="1" x14ac:dyDescent="0.25">
      <c r="A2196" s="27">
        <v>70542999</v>
      </c>
      <c r="B2196" s="26" t="s">
        <v>624</v>
      </c>
      <c r="C2196" s="12" t="s">
        <v>195</v>
      </c>
      <c r="D2196" s="12" t="s">
        <v>205</v>
      </c>
      <c r="E2196" s="12" t="s">
        <v>175</v>
      </c>
      <c r="F2196" s="10" t="s">
        <v>1592</v>
      </c>
      <c r="G2196" s="12"/>
      <c r="H2196" s="53">
        <f>H2197</f>
        <v>91252</v>
      </c>
    </row>
    <row r="2197" spans="1:8" s="128" customFormat="1" ht="47.25" x14ac:dyDescent="0.25">
      <c r="A2197" s="27">
        <v>7054299999</v>
      </c>
      <c r="B2197" s="26" t="s">
        <v>655</v>
      </c>
      <c r="C2197" s="12" t="s">
        <v>195</v>
      </c>
      <c r="D2197" s="12" t="s">
        <v>205</v>
      </c>
      <c r="E2197" s="12" t="s">
        <v>175</v>
      </c>
      <c r="F2197" s="10" t="s">
        <v>1593</v>
      </c>
      <c r="G2197" s="12"/>
      <c r="H2197" s="53">
        <f>H2198</f>
        <v>91252</v>
      </c>
    </row>
    <row r="2198" spans="1:8" s="128" customFormat="1" x14ac:dyDescent="0.25">
      <c r="A2198" s="27">
        <v>7054299999001</v>
      </c>
      <c r="B2198" s="26" t="s">
        <v>1435</v>
      </c>
      <c r="C2198" s="12" t="s">
        <v>195</v>
      </c>
      <c r="D2198" s="12" t="s">
        <v>205</v>
      </c>
      <c r="E2198" s="12" t="s">
        <v>175</v>
      </c>
      <c r="F2198" s="10" t="s">
        <v>1593</v>
      </c>
      <c r="G2198" s="12" t="s">
        <v>1394</v>
      </c>
      <c r="H2198" s="53">
        <v>91252</v>
      </c>
    </row>
    <row r="2199" spans="1:8" s="128" customFormat="1" x14ac:dyDescent="0.25">
      <c r="A2199" s="29">
        <v>707</v>
      </c>
      <c r="B2199" s="26" t="s">
        <v>699</v>
      </c>
      <c r="C2199" s="12" t="s">
        <v>195</v>
      </c>
      <c r="D2199" s="12" t="s">
        <v>205</v>
      </c>
      <c r="E2199" s="12" t="s">
        <v>205</v>
      </c>
      <c r="F2199" s="10"/>
      <c r="G2199" s="10"/>
      <c r="H2199" s="53">
        <f>H2200</f>
        <v>34</v>
      </c>
    </row>
    <row r="2200" spans="1:8" s="28" customFormat="1" ht="21" customHeight="1" x14ac:dyDescent="0.25">
      <c r="A2200" s="27">
        <v>707432</v>
      </c>
      <c r="B2200" s="26" t="s">
        <v>1482</v>
      </c>
      <c r="C2200" s="12" t="s">
        <v>195</v>
      </c>
      <c r="D2200" s="12" t="s">
        <v>205</v>
      </c>
      <c r="E2200" s="12" t="s">
        <v>205</v>
      </c>
      <c r="F2200" s="10" t="s">
        <v>965</v>
      </c>
      <c r="G2200" s="12"/>
      <c r="H2200" s="53">
        <f>H2201</f>
        <v>34</v>
      </c>
    </row>
    <row r="2201" spans="1:8" s="28" customFormat="1" x14ac:dyDescent="0.25">
      <c r="A2201" s="27">
        <v>70743202</v>
      </c>
      <c r="B2201" s="26" t="s">
        <v>541</v>
      </c>
      <c r="C2201" s="12" t="s">
        <v>195</v>
      </c>
      <c r="D2201" s="12" t="s">
        <v>205</v>
      </c>
      <c r="E2201" s="12" t="s">
        <v>205</v>
      </c>
      <c r="F2201" s="10" t="s">
        <v>262</v>
      </c>
      <c r="G2201" s="12"/>
      <c r="H2201" s="53">
        <f>H2202</f>
        <v>34</v>
      </c>
    </row>
    <row r="2202" spans="1:8" s="28" customFormat="1" x14ac:dyDescent="0.25">
      <c r="A2202" s="27">
        <v>70743202001</v>
      </c>
      <c r="B2202" s="26" t="s">
        <v>1435</v>
      </c>
      <c r="C2202" s="12" t="s">
        <v>195</v>
      </c>
      <c r="D2202" s="12" t="s">
        <v>205</v>
      </c>
      <c r="E2202" s="12" t="s">
        <v>205</v>
      </c>
      <c r="F2202" s="10" t="s">
        <v>262</v>
      </c>
      <c r="G2202" s="12" t="s">
        <v>1394</v>
      </c>
      <c r="H2202" s="53">
        <v>34</v>
      </c>
    </row>
    <row r="2203" spans="1:8" s="28" customFormat="1" x14ac:dyDescent="0.25">
      <c r="A2203" s="29">
        <v>9</v>
      </c>
      <c r="B2203" s="35" t="s">
        <v>450</v>
      </c>
      <c r="C2203" s="12" t="s">
        <v>195</v>
      </c>
      <c r="D2203" s="12" t="s">
        <v>406</v>
      </c>
      <c r="E2203" s="10"/>
      <c r="F2203" s="10"/>
      <c r="G2203" s="10"/>
      <c r="H2203" s="53">
        <f>H2204</f>
        <v>303110</v>
      </c>
    </row>
    <row r="2204" spans="1:8" s="28" customFormat="1" ht="31.5" x14ac:dyDescent="0.25">
      <c r="A2204" s="27">
        <v>910</v>
      </c>
      <c r="B2204" s="26" t="s">
        <v>877</v>
      </c>
      <c r="C2204" s="12" t="s">
        <v>195</v>
      </c>
      <c r="D2204" s="12" t="s">
        <v>406</v>
      </c>
      <c r="E2204" s="12">
        <v>10</v>
      </c>
      <c r="F2204" s="10"/>
      <c r="G2204" s="12"/>
      <c r="H2204" s="53">
        <f>H2205</f>
        <v>303110</v>
      </c>
    </row>
    <row r="2205" spans="1:8" s="28" customFormat="1" ht="31.5" x14ac:dyDescent="0.25">
      <c r="A2205" s="27">
        <v>910485</v>
      </c>
      <c r="B2205" s="26" t="s">
        <v>732</v>
      </c>
      <c r="C2205" s="12" t="s">
        <v>195</v>
      </c>
      <c r="D2205" s="12" t="s">
        <v>406</v>
      </c>
      <c r="E2205" s="12">
        <v>10</v>
      </c>
      <c r="F2205" s="10" t="s">
        <v>1213</v>
      </c>
      <c r="G2205" s="12"/>
      <c r="H2205" s="53">
        <f>H2206</f>
        <v>303110</v>
      </c>
    </row>
    <row r="2206" spans="1:8" s="28" customFormat="1" ht="31.5" x14ac:dyDescent="0.25">
      <c r="A2206" s="27">
        <v>91048597</v>
      </c>
      <c r="B2206" s="26" t="s">
        <v>1718</v>
      </c>
      <c r="C2206" s="12" t="s">
        <v>195</v>
      </c>
      <c r="D2206" s="12" t="s">
        <v>406</v>
      </c>
      <c r="E2206" s="12">
        <v>10</v>
      </c>
      <c r="F2206" s="10" t="s">
        <v>1360</v>
      </c>
      <c r="G2206" s="12"/>
      <c r="H2206" s="53">
        <f>H2207</f>
        <v>303110</v>
      </c>
    </row>
    <row r="2207" spans="1:8" s="28" customFormat="1" ht="31.5" x14ac:dyDescent="0.25">
      <c r="A2207" s="27">
        <v>91048597079</v>
      </c>
      <c r="B2207" s="26" t="s">
        <v>467</v>
      </c>
      <c r="C2207" s="12" t="s">
        <v>195</v>
      </c>
      <c r="D2207" s="12" t="s">
        <v>406</v>
      </c>
      <c r="E2207" s="12">
        <v>10</v>
      </c>
      <c r="F2207" s="10" t="s">
        <v>1360</v>
      </c>
      <c r="G2207" s="12" t="s">
        <v>168</v>
      </c>
      <c r="H2207" s="53">
        <f>281843+21267</f>
        <v>303110</v>
      </c>
    </row>
    <row r="2208" spans="1:8" s="28" customFormat="1" x14ac:dyDescent="0.25">
      <c r="A2208" s="29">
        <v>10</v>
      </c>
      <c r="B2208" s="35" t="s">
        <v>1745</v>
      </c>
      <c r="C2208" s="12" t="s">
        <v>195</v>
      </c>
      <c r="D2208" s="12">
        <v>10</v>
      </c>
      <c r="E2208" s="10"/>
      <c r="F2208" s="10"/>
      <c r="G2208" s="12"/>
      <c r="H2208" s="53">
        <f>H2209+H2213</f>
        <v>201206</v>
      </c>
    </row>
    <row r="2209" spans="1:8" s="28" customFormat="1" x14ac:dyDescent="0.25">
      <c r="A2209" s="27">
        <v>1001</v>
      </c>
      <c r="B2209" s="26" t="s">
        <v>1312</v>
      </c>
      <c r="C2209" s="12" t="s">
        <v>195</v>
      </c>
      <c r="D2209" s="12">
        <v>10</v>
      </c>
      <c r="E2209" s="12" t="s">
        <v>566</v>
      </c>
      <c r="F2209" s="10"/>
      <c r="G2209" s="12"/>
      <c r="H2209" s="53">
        <f>H2210</f>
        <v>142633</v>
      </c>
    </row>
    <row r="2210" spans="1:8" s="28" customFormat="1" x14ac:dyDescent="0.25">
      <c r="A2210" s="27">
        <v>1001491</v>
      </c>
      <c r="B2210" s="26" t="s">
        <v>904</v>
      </c>
      <c r="C2210" s="12" t="s">
        <v>195</v>
      </c>
      <c r="D2210" s="12">
        <v>10</v>
      </c>
      <c r="E2210" s="12" t="s">
        <v>566</v>
      </c>
      <c r="F2210" s="10" t="s">
        <v>905</v>
      </c>
      <c r="G2210" s="12"/>
      <c r="H2210" s="53">
        <f>H2211</f>
        <v>142633</v>
      </c>
    </row>
    <row r="2211" spans="1:8" s="28" customFormat="1" ht="31.5" x14ac:dyDescent="0.25">
      <c r="A2211" s="27">
        <v>100149101</v>
      </c>
      <c r="B2211" s="148" t="s">
        <v>1234</v>
      </c>
      <c r="C2211" s="12" t="s">
        <v>195</v>
      </c>
      <c r="D2211" s="12">
        <v>10</v>
      </c>
      <c r="E2211" s="12" t="s">
        <v>566</v>
      </c>
      <c r="F2211" s="10" t="s">
        <v>906</v>
      </c>
      <c r="G2211" s="12"/>
      <c r="H2211" s="53">
        <f>H2212</f>
        <v>142633</v>
      </c>
    </row>
    <row r="2212" spans="1:8" s="28" customFormat="1" x14ac:dyDescent="0.25">
      <c r="A2212" s="27">
        <v>100149101005</v>
      </c>
      <c r="B2212" s="26" t="s">
        <v>946</v>
      </c>
      <c r="C2212" s="12" t="s">
        <v>195</v>
      </c>
      <c r="D2212" s="12">
        <v>10</v>
      </c>
      <c r="E2212" s="12" t="s">
        <v>566</v>
      </c>
      <c r="F2212" s="10" t="s">
        <v>906</v>
      </c>
      <c r="G2212" s="12" t="s">
        <v>1326</v>
      </c>
      <c r="H2212" s="53">
        <v>142633</v>
      </c>
    </row>
    <row r="2213" spans="1:8" s="128" customFormat="1" x14ac:dyDescent="0.25">
      <c r="A2213" s="27">
        <v>1006</v>
      </c>
      <c r="B2213" s="38" t="s">
        <v>1595</v>
      </c>
      <c r="C2213" s="12" t="s">
        <v>195</v>
      </c>
      <c r="D2213" s="11">
        <v>10</v>
      </c>
      <c r="E2213" s="12" t="s">
        <v>1746</v>
      </c>
      <c r="F2213" s="39"/>
      <c r="G2213" s="39"/>
      <c r="H2213" s="53">
        <f>H2214</f>
        <v>58573</v>
      </c>
    </row>
    <row r="2214" spans="1:8" s="28" customFormat="1" x14ac:dyDescent="0.25">
      <c r="A2214" s="27">
        <v>1006803</v>
      </c>
      <c r="B2214" s="38" t="s">
        <v>1225</v>
      </c>
      <c r="C2214" s="12" t="s">
        <v>195</v>
      </c>
      <c r="D2214" s="11">
        <v>10</v>
      </c>
      <c r="E2214" s="12" t="s">
        <v>1746</v>
      </c>
      <c r="F2214" s="11" t="s">
        <v>1045</v>
      </c>
      <c r="G2214" s="12"/>
      <c r="H2214" s="53">
        <f>H2215</f>
        <v>58573</v>
      </c>
    </row>
    <row r="2215" spans="1:8" ht="63" x14ac:dyDescent="0.25">
      <c r="A2215" s="27">
        <v>10068030007</v>
      </c>
      <c r="B2215" s="26" t="s">
        <v>1283</v>
      </c>
      <c r="C2215" s="12" t="s">
        <v>195</v>
      </c>
      <c r="D2215" s="12">
        <v>10</v>
      </c>
      <c r="E2215" s="12" t="s">
        <v>1746</v>
      </c>
      <c r="F2215" s="10" t="s">
        <v>1656</v>
      </c>
      <c r="G2215" s="4"/>
      <c r="H2215" s="185">
        <f>H2216</f>
        <v>58573</v>
      </c>
    </row>
    <row r="2216" spans="1:8" x14ac:dyDescent="0.25">
      <c r="A2216" s="27">
        <v>10068030007013</v>
      </c>
      <c r="B2216" s="26" t="s">
        <v>1335</v>
      </c>
      <c r="C2216" s="12" t="s">
        <v>195</v>
      </c>
      <c r="D2216" s="6">
        <v>10</v>
      </c>
      <c r="E2216" s="6" t="s">
        <v>1746</v>
      </c>
      <c r="F2216" s="10" t="s">
        <v>1656</v>
      </c>
      <c r="G2216" s="12" t="s">
        <v>972</v>
      </c>
      <c r="H2216" s="185">
        <f>50926+7647</f>
        <v>58573</v>
      </c>
    </row>
    <row r="2217" spans="1:8" s="28" customFormat="1" x14ac:dyDescent="0.25">
      <c r="A2217" s="116"/>
      <c r="B2217" s="86"/>
      <c r="C2217" s="87"/>
      <c r="D2217" s="88"/>
      <c r="E2217" s="88"/>
      <c r="F2217" s="88"/>
      <c r="G2217" s="88"/>
      <c r="H2217" s="72"/>
    </row>
    <row r="2218" spans="1:8" s="3" customFormat="1" x14ac:dyDescent="0.25">
      <c r="A2218" s="40">
        <v>0</v>
      </c>
      <c r="B2218" s="30" t="s">
        <v>587</v>
      </c>
      <c r="C2218" s="42" t="s">
        <v>1000</v>
      </c>
      <c r="D2218" s="31"/>
      <c r="E2218" s="31"/>
      <c r="F2218" s="31"/>
      <c r="G2218" s="31"/>
      <c r="H2218" s="187">
        <f>H2219+H2226</f>
        <v>68074</v>
      </c>
    </row>
    <row r="2219" spans="1:8" s="28" customFormat="1" x14ac:dyDescent="0.25">
      <c r="A2219" s="29">
        <v>1</v>
      </c>
      <c r="B2219" s="35" t="s">
        <v>482</v>
      </c>
      <c r="C2219" s="12" t="s">
        <v>1000</v>
      </c>
      <c r="D2219" s="12" t="s">
        <v>566</v>
      </c>
      <c r="E2219" s="10"/>
      <c r="F2219" s="10"/>
      <c r="G2219" s="10"/>
      <c r="H2219" s="53">
        <f>H2220</f>
        <v>67921</v>
      </c>
    </row>
    <row r="2220" spans="1:8" s="28" customFormat="1" x14ac:dyDescent="0.25">
      <c r="A2220" s="29">
        <v>107</v>
      </c>
      <c r="B2220" s="26" t="s">
        <v>937</v>
      </c>
      <c r="C2220" s="12" t="s">
        <v>1000</v>
      </c>
      <c r="D2220" s="12" t="s">
        <v>566</v>
      </c>
      <c r="E2220" s="12" t="s">
        <v>205</v>
      </c>
      <c r="F2220" s="10"/>
      <c r="G2220" s="10"/>
      <c r="H2220" s="53">
        <f>H2221</f>
        <v>67921</v>
      </c>
    </row>
    <row r="2221" spans="1:8" s="28" customFormat="1" ht="47.25" x14ac:dyDescent="0.25">
      <c r="A2221" s="27">
        <v>107002</v>
      </c>
      <c r="B2221" s="26" t="s">
        <v>1657</v>
      </c>
      <c r="C2221" s="12" t="s">
        <v>1000</v>
      </c>
      <c r="D2221" s="12" t="s">
        <v>566</v>
      </c>
      <c r="E2221" s="12" t="s">
        <v>205</v>
      </c>
      <c r="F2221" s="12" t="s">
        <v>200</v>
      </c>
      <c r="G2221" s="12"/>
      <c r="H2221" s="53">
        <f>H2222+H2224</f>
        <v>67921</v>
      </c>
    </row>
    <row r="2222" spans="1:8" s="28" customFormat="1" x14ac:dyDescent="0.25">
      <c r="A2222" s="27">
        <v>10700204</v>
      </c>
      <c r="B2222" s="26" t="s">
        <v>638</v>
      </c>
      <c r="C2222" s="12" t="s">
        <v>1000</v>
      </c>
      <c r="D2222" s="12" t="s">
        <v>566</v>
      </c>
      <c r="E2222" s="12" t="s">
        <v>205</v>
      </c>
      <c r="F2222" s="12" t="s">
        <v>797</v>
      </c>
      <c r="G2222" s="12"/>
      <c r="H2222" s="53">
        <f>H2223</f>
        <v>64398</v>
      </c>
    </row>
    <row r="2223" spans="1:8" s="3" customFormat="1" x14ac:dyDescent="0.25">
      <c r="A2223" s="27">
        <v>10700204012</v>
      </c>
      <c r="B2223" s="65" t="s">
        <v>1012</v>
      </c>
      <c r="C2223" s="12" t="s">
        <v>1000</v>
      </c>
      <c r="D2223" s="12" t="s">
        <v>566</v>
      </c>
      <c r="E2223" s="12" t="s">
        <v>205</v>
      </c>
      <c r="F2223" s="12" t="s">
        <v>797</v>
      </c>
      <c r="G2223" s="12" t="s">
        <v>1224</v>
      </c>
      <c r="H2223" s="53">
        <v>64398</v>
      </c>
    </row>
    <row r="2224" spans="1:8" s="28" customFormat="1" ht="31.5" x14ac:dyDescent="0.25">
      <c r="A2224" s="27">
        <v>10700220</v>
      </c>
      <c r="B2224" s="26" t="s">
        <v>908</v>
      </c>
      <c r="C2224" s="12" t="s">
        <v>1000</v>
      </c>
      <c r="D2224" s="12" t="s">
        <v>566</v>
      </c>
      <c r="E2224" s="12" t="s">
        <v>205</v>
      </c>
      <c r="F2224" s="12" t="s">
        <v>907</v>
      </c>
      <c r="G2224" s="12"/>
      <c r="H2224" s="53">
        <f>H2225</f>
        <v>3523</v>
      </c>
    </row>
    <row r="2225" spans="1:10" s="3" customFormat="1" x14ac:dyDescent="0.25">
      <c r="A2225" s="27">
        <v>10700220012</v>
      </c>
      <c r="B2225" s="65" t="s">
        <v>1012</v>
      </c>
      <c r="C2225" s="12" t="s">
        <v>1000</v>
      </c>
      <c r="D2225" s="12" t="s">
        <v>566</v>
      </c>
      <c r="E2225" s="12" t="s">
        <v>205</v>
      </c>
      <c r="F2225" s="12" t="s">
        <v>907</v>
      </c>
      <c r="G2225" s="12" t="s">
        <v>1224</v>
      </c>
      <c r="H2225" s="53">
        <v>3523</v>
      </c>
    </row>
    <row r="2226" spans="1:10" s="128" customFormat="1" x14ac:dyDescent="0.25">
      <c r="A2226" s="29">
        <v>7</v>
      </c>
      <c r="B2226" s="35" t="s">
        <v>174</v>
      </c>
      <c r="C2226" s="12" t="s">
        <v>1000</v>
      </c>
      <c r="D2226" s="12" t="s">
        <v>205</v>
      </c>
      <c r="E2226" s="10"/>
      <c r="F2226" s="10"/>
      <c r="G2226" s="10"/>
      <c r="H2226" s="53">
        <f>H2227</f>
        <v>153</v>
      </c>
    </row>
    <row r="2227" spans="1:10" s="128" customFormat="1" x14ac:dyDescent="0.25">
      <c r="A2227" s="29">
        <v>707</v>
      </c>
      <c r="B2227" s="26" t="s">
        <v>699</v>
      </c>
      <c r="C2227" s="12" t="s">
        <v>1000</v>
      </c>
      <c r="D2227" s="12" t="s">
        <v>205</v>
      </c>
      <c r="E2227" s="12" t="s">
        <v>205</v>
      </c>
      <c r="F2227" s="10"/>
      <c r="G2227" s="10"/>
      <c r="H2227" s="53">
        <f>H2228</f>
        <v>153</v>
      </c>
    </row>
    <row r="2228" spans="1:10" s="28" customFormat="1" ht="21" customHeight="1" x14ac:dyDescent="0.25">
      <c r="A2228" s="27">
        <v>707432</v>
      </c>
      <c r="B2228" s="26" t="s">
        <v>1482</v>
      </c>
      <c r="C2228" s="12" t="s">
        <v>1000</v>
      </c>
      <c r="D2228" s="12" t="s">
        <v>205</v>
      </c>
      <c r="E2228" s="12" t="s">
        <v>205</v>
      </c>
      <c r="F2228" s="10" t="s">
        <v>965</v>
      </c>
      <c r="G2228" s="12"/>
      <c r="H2228" s="53">
        <f>H2229</f>
        <v>153</v>
      </c>
    </row>
    <row r="2229" spans="1:10" s="28" customFormat="1" x14ac:dyDescent="0.25">
      <c r="A2229" s="27">
        <v>70743202</v>
      </c>
      <c r="B2229" s="26" t="s">
        <v>541</v>
      </c>
      <c r="C2229" s="12" t="s">
        <v>1000</v>
      </c>
      <c r="D2229" s="12" t="s">
        <v>205</v>
      </c>
      <c r="E2229" s="12" t="s">
        <v>205</v>
      </c>
      <c r="F2229" s="10" t="s">
        <v>262</v>
      </c>
      <c r="G2229" s="12"/>
      <c r="H2229" s="53">
        <f>H2230</f>
        <v>153</v>
      </c>
    </row>
    <row r="2230" spans="1:10" s="28" customFormat="1" x14ac:dyDescent="0.25">
      <c r="A2230" s="27">
        <v>70743202001</v>
      </c>
      <c r="B2230" s="26" t="s">
        <v>1435</v>
      </c>
      <c r="C2230" s="12" t="s">
        <v>1000</v>
      </c>
      <c r="D2230" s="12" t="s">
        <v>205</v>
      </c>
      <c r="E2230" s="12" t="s">
        <v>205</v>
      </c>
      <c r="F2230" s="10" t="s">
        <v>262</v>
      </c>
      <c r="G2230" s="12" t="s">
        <v>1394</v>
      </c>
      <c r="H2230" s="53">
        <v>153</v>
      </c>
    </row>
    <row r="2231" spans="1:10" s="28" customFormat="1" x14ac:dyDescent="0.25">
      <c r="A2231" s="29"/>
      <c r="B2231" s="37"/>
      <c r="C2231" s="12"/>
      <c r="D2231" s="10"/>
      <c r="E2231" s="10"/>
      <c r="F2231" s="10"/>
      <c r="G2231" s="10"/>
      <c r="H2231" s="53"/>
    </row>
    <row r="2232" spans="1:10" s="3" customFormat="1" ht="25.5" customHeight="1" x14ac:dyDescent="0.25">
      <c r="A2232" s="40">
        <v>0</v>
      </c>
      <c r="B2232" s="30" t="s">
        <v>700</v>
      </c>
      <c r="C2232" s="42" t="s">
        <v>1001</v>
      </c>
      <c r="D2232" s="31"/>
      <c r="E2232" s="31"/>
      <c r="F2232" s="31"/>
      <c r="G2232" s="31"/>
      <c r="H2232" s="187">
        <f>H2233+H2238+H2284</f>
        <v>11882711</v>
      </c>
    </row>
    <row r="2233" spans="1:10" s="3" customFormat="1" x14ac:dyDescent="0.25">
      <c r="A2233" s="27">
        <v>2</v>
      </c>
      <c r="B2233" s="35" t="s">
        <v>271</v>
      </c>
      <c r="C2233" s="12" t="s">
        <v>1001</v>
      </c>
      <c r="D2233" s="12" t="s">
        <v>567</v>
      </c>
      <c r="E2233" s="31"/>
      <c r="F2233" s="31"/>
      <c r="G2233" s="31"/>
      <c r="H2233" s="53">
        <f>H2234</f>
        <v>2400</v>
      </c>
    </row>
    <row r="2234" spans="1:10" s="3" customFormat="1" x14ac:dyDescent="0.25">
      <c r="A2234" s="27">
        <v>204</v>
      </c>
      <c r="B2234" s="26" t="s">
        <v>1054</v>
      </c>
      <c r="C2234" s="12" t="s">
        <v>1001</v>
      </c>
      <c r="D2234" s="12" t="s">
        <v>567</v>
      </c>
      <c r="E2234" s="12" t="s">
        <v>1181</v>
      </c>
      <c r="F2234" s="31"/>
      <c r="G2234" s="31"/>
      <c r="H2234" s="53">
        <f>H2235</f>
        <v>2400</v>
      </c>
    </row>
    <row r="2235" spans="1:10" s="3" customFormat="1" ht="31.5" x14ac:dyDescent="0.25">
      <c r="A2235" s="27">
        <v>204209</v>
      </c>
      <c r="B2235" s="26" t="s">
        <v>141</v>
      </c>
      <c r="C2235" s="12" t="s">
        <v>1001</v>
      </c>
      <c r="D2235" s="12" t="s">
        <v>567</v>
      </c>
      <c r="E2235" s="12" t="s">
        <v>1181</v>
      </c>
      <c r="F2235" s="10" t="s">
        <v>270</v>
      </c>
      <c r="G2235" s="31"/>
      <c r="H2235" s="53">
        <f>H2236</f>
        <v>2400</v>
      </c>
    </row>
    <row r="2236" spans="1:10" s="3" customFormat="1" ht="31.5" x14ac:dyDescent="0.25">
      <c r="A2236" s="27">
        <v>20420901</v>
      </c>
      <c r="B2236" s="26" t="s">
        <v>1408</v>
      </c>
      <c r="C2236" s="12" t="s">
        <v>1001</v>
      </c>
      <c r="D2236" s="12" t="s">
        <v>567</v>
      </c>
      <c r="E2236" s="12" t="s">
        <v>1181</v>
      </c>
      <c r="F2236" s="10" t="s">
        <v>956</v>
      </c>
      <c r="G2236" s="31"/>
      <c r="H2236" s="53">
        <f>H2237</f>
        <v>2400</v>
      </c>
    </row>
    <row r="2237" spans="1:10" s="3" customFormat="1" x14ac:dyDescent="0.25">
      <c r="A2237" s="27">
        <v>20420901012</v>
      </c>
      <c r="B2237" s="65" t="s">
        <v>1012</v>
      </c>
      <c r="C2237" s="12" t="s">
        <v>1001</v>
      </c>
      <c r="D2237" s="12" t="s">
        <v>567</v>
      </c>
      <c r="E2237" s="12" t="s">
        <v>1181</v>
      </c>
      <c r="F2237" s="10" t="s">
        <v>956</v>
      </c>
      <c r="G2237" s="12" t="s">
        <v>1224</v>
      </c>
      <c r="H2237" s="53">
        <v>2400</v>
      </c>
    </row>
    <row r="2238" spans="1:10" s="28" customFormat="1" ht="19.5" customHeight="1" x14ac:dyDescent="0.25">
      <c r="A2238" s="29">
        <v>3</v>
      </c>
      <c r="B2238" s="218" t="s">
        <v>1049</v>
      </c>
      <c r="C2238" s="12" t="s">
        <v>1001</v>
      </c>
      <c r="D2238" s="12" t="s">
        <v>193</v>
      </c>
      <c r="E2238" s="10"/>
      <c r="F2238" s="10"/>
      <c r="G2238" s="12"/>
      <c r="H2238" s="53">
        <f>H2239+H2280</f>
        <v>11829876</v>
      </c>
    </row>
    <row r="2239" spans="1:10" s="28" customFormat="1" x14ac:dyDescent="0.25">
      <c r="A2239" s="29">
        <v>302</v>
      </c>
      <c r="B2239" s="26" t="s">
        <v>409</v>
      </c>
      <c r="C2239" s="12" t="s">
        <v>1001</v>
      </c>
      <c r="D2239" s="12" t="s">
        <v>193</v>
      </c>
      <c r="E2239" s="12" t="s">
        <v>567</v>
      </c>
      <c r="F2239" s="10"/>
      <c r="G2239" s="12"/>
      <c r="H2239" s="53">
        <f>H2240+H2244+H2270+H2273</f>
        <v>11826176</v>
      </c>
    </row>
    <row r="2240" spans="1:10" s="69" customFormat="1" ht="31.5" x14ac:dyDescent="0.25">
      <c r="A2240" s="27">
        <v>302102</v>
      </c>
      <c r="B2240" s="26" t="s">
        <v>106</v>
      </c>
      <c r="C2240" s="12" t="s">
        <v>1001</v>
      </c>
      <c r="D2240" s="12" t="s">
        <v>193</v>
      </c>
      <c r="E2240" s="12" t="s">
        <v>567</v>
      </c>
      <c r="F2240" s="10" t="s">
        <v>234</v>
      </c>
      <c r="G2240" s="10"/>
      <c r="H2240" s="53">
        <f>H2241</f>
        <v>315585</v>
      </c>
      <c r="J2240" s="71"/>
    </row>
    <row r="2241" spans="1:8" s="28" customFormat="1" ht="63" x14ac:dyDescent="0.25">
      <c r="A2241" s="27">
        <v>30210201</v>
      </c>
      <c r="B2241" s="26" t="s">
        <v>942</v>
      </c>
      <c r="C2241" s="12" t="s">
        <v>1001</v>
      </c>
      <c r="D2241" s="12" t="s">
        <v>193</v>
      </c>
      <c r="E2241" s="12" t="s">
        <v>567</v>
      </c>
      <c r="F2241" s="10" t="s">
        <v>1178</v>
      </c>
      <c r="G2241" s="10"/>
      <c r="H2241" s="53">
        <f>H2242</f>
        <v>315585</v>
      </c>
    </row>
    <row r="2242" spans="1:8" s="28" customFormat="1" ht="47.25" x14ac:dyDescent="0.25">
      <c r="A2242" s="27">
        <v>3021020101</v>
      </c>
      <c r="B2242" s="26" t="s">
        <v>1025</v>
      </c>
      <c r="C2242" s="12" t="s">
        <v>1001</v>
      </c>
      <c r="D2242" s="12" t="s">
        <v>193</v>
      </c>
      <c r="E2242" s="12" t="s">
        <v>567</v>
      </c>
      <c r="F2242" s="10" t="s">
        <v>1179</v>
      </c>
      <c r="G2242" s="10"/>
      <c r="H2242" s="53">
        <f>H2243</f>
        <v>315585</v>
      </c>
    </row>
    <row r="2243" spans="1:8" s="28" customFormat="1" x14ac:dyDescent="0.25">
      <c r="A2243" s="27">
        <v>3021020101003</v>
      </c>
      <c r="B2243" s="26" t="s">
        <v>256</v>
      </c>
      <c r="C2243" s="12" t="s">
        <v>1001</v>
      </c>
      <c r="D2243" s="12" t="s">
        <v>193</v>
      </c>
      <c r="E2243" s="12" t="s">
        <v>567</v>
      </c>
      <c r="F2243" s="10" t="s">
        <v>1179</v>
      </c>
      <c r="G2243" s="80" t="s">
        <v>539</v>
      </c>
      <c r="H2243" s="53">
        <v>315585</v>
      </c>
    </row>
    <row r="2244" spans="1:8" s="28" customFormat="1" x14ac:dyDescent="0.25">
      <c r="A2244" s="27">
        <v>302202</v>
      </c>
      <c r="B2244" s="26" t="s">
        <v>1161</v>
      </c>
      <c r="C2244" s="12" t="s">
        <v>1001</v>
      </c>
      <c r="D2244" s="12" t="s">
        <v>193</v>
      </c>
      <c r="E2244" s="12" t="s">
        <v>567</v>
      </c>
      <c r="F2244" s="10" t="s">
        <v>621</v>
      </c>
      <c r="G2244" s="12"/>
      <c r="H2244" s="53">
        <f>H2245+H2247+H2252+H2254+H2264+H2266+H2268</f>
        <v>11373391</v>
      </c>
    </row>
    <row r="2245" spans="1:8" s="28" customFormat="1" ht="63" x14ac:dyDescent="0.25">
      <c r="A2245" s="27">
        <v>30220201</v>
      </c>
      <c r="B2245" s="26" t="s">
        <v>216</v>
      </c>
      <c r="C2245" s="12" t="s">
        <v>1001</v>
      </c>
      <c r="D2245" s="12" t="s">
        <v>193</v>
      </c>
      <c r="E2245" s="12" t="s">
        <v>567</v>
      </c>
      <c r="F2245" s="19" t="s">
        <v>495</v>
      </c>
      <c r="G2245" s="6"/>
      <c r="H2245" s="53">
        <f>H2246</f>
        <v>814538</v>
      </c>
    </row>
    <row r="2246" spans="1:8" s="28" customFormat="1" ht="31.5" x14ac:dyDescent="0.25">
      <c r="A2246" s="27">
        <v>30220201014</v>
      </c>
      <c r="B2246" s="26" t="s">
        <v>1301</v>
      </c>
      <c r="C2246" s="12" t="s">
        <v>1001</v>
      </c>
      <c r="D2246" s="12" t="s">
        <v>193</v>
      </c>
      <c r="E2246" s="12" t="s">
        <v>567</v>
      </c>
      <c r="F2246" s="19" t="s">
        <v>495</v>
      </c>
      <c r="G2246" s="197" t="s">
        <v>379</v>
      </c>
      <c r="H2246" s="53">
        <v>814538</v>
      </c>
    </row>
    <row r="2247" spans="1:8" s="28" customFormat="1" x14ac:dyDescent="0.25">
      <c r="A2247" s="27">
        <v>30220258</v>
      </c>
      <c r="B2247" s="26" t="s">
        <v>118</v>
      </c>
      <c r="C2247" s="12" t="s">
        <v>1001</v>
      </c>
      <c r="D2247" s="12" t="s">
        <v>193</v>
      </c>
      <c r="E2247" s="12" t="s">
        <v>567</v>
      </c>
      <c r="F2247" s="10" t="s">
        <v>496</v>
      </c>
      <c r="G2247" s="197"/>
      <c r="H2247" s="53">
        <f>H2248+H2250</f>
        <v>6458191</v>
      </c>
    </row>
    <row r="2248" spans="1:8" s="28" customFormat="1" ht="47.25" x14ac:dyDescent="0.25">
      <c r="A2248" s="27">
        <v>3022025801</v>
      </c>
      <c r="B2248" s="26" t="s">
        <v>852</v>
      </c>
      <c r="C2248" s="12" t="s">
        <v>1001</v>
      </c>
      <c r="D2248" s="12" t="s">
        <v>193</v>
      </c>
      <c r="E2248" s="12" t="s">
        <v>567</v>
      </c>
      <c r="F2248" s="10" t="s">
        <v>497</v>
      </c>
      <c r="G2248" s="6"/>
      <c r="H2248" s="53">
        <f>H2249</f>
        <v>2902526</v>
      </c>
    </row>
    <row r="2249" spans="1:8" s="28" customFormat="1" ht="31.5" x14ac:dyDescent="0.25">
      <c r="A2249" s="27">
        <v>3022025801014</v>
      </c>
      <c r="B2249" s="26" t="s">
        <v>1301</v>
      </c>
      <c r="C2249" s="12" t="s">
        <v>1001</v>
      </c>
      <c r="D2249" s="12" t="s">
        <v>193</v>
      </c>
      <c r="E2249" s="12" t="s">
        <v>567</v>
      </c>
      <c r="F2249" s="10" t="s">
        <v>497</v>
      </c>
      <c r="G2249" s="197" t="s">
        <v>379</v>
      </c>
      <c r="H2249" s="53">
        <v>2902526</v>
      </c>
    </row>
    <row r="2250" spans="1:8" s="28" customFormat="1" ht="31.5" x14ac:dyDescent="0.25">
      <c r="A2250" s="27">
        <v>3022025802</v>
      </c>
      <c r="B2250" s="26" t="s">
        <v>429</v>
      </c>
      <c r="C2250" s="12" t="s">
        <v>1001</v>
      </c>
      <c r="D2250" s="12" t="s">
        <v>193</v>
      </c>
      <c r="E2250" s="12" t="s">
        <v>567</v>
      </c>
      <c r="F2250" s="10" t="s">
        <v>925</v>
      </c>
      <c r="G2250" s="6"/>
      <c r="H2250" s="53">
        <f>H2251</f>
        <v>3555665</v>
      </c>
    </row>
    <row r="2251" spans="1:8" s="28" customFormat="1" ht="31.5" x14ac:dyDescent="0.25">
      <c r="A2251" s="27">
        <v>3022025802014</v>
      </c>
      <c r="B2251" s="26" t="s">
        <v>1301</v>
      </c>
      <c r="C2251" s="12" t="s">
        <v>1001</v>
      </c>
      <c r="D2251" s="12" t="s">
        <v>193</v>
      </c>
      <c r="E2251" s="12" t="s">
        <v>567</v>
      </c>
      <c r="F2251" s="10" t="s">
        <v>925</v>
      </c>
      <c r="G2251" s="197" t="s">
        <v>379</v>
      </c>
      <c r="H2251" s="53">
        <v>3555665</v>
      </c>
    </row>
    <row r="2252" spans="1:8" s="147" customFormat="1" x14ac:dyDescent="0.25">
      <c r="A2252" s="188">
        <v>30220264</v>
      </c>
      <c r="B2252" s="148" t="s">
        <v>1171</v>
      </c>
      <c r="C2252" s="25" t="s">
        <v>1001</v>
      </c>
      <c r="D2252" s="25" t="s">
        <v>193</v>
      </c>
      <c r="E2252" s="25" t="s">
        <v>567</v>
      </c>
      <c r="F2252" s="11" t="s">
        <v>430</v>
      </c>
      <c r="G2252" s="202"/>
      <c r="H2252" s="53">
        <f>H2253</f>
        <v>7500</v>
      </c>
    </row>
    <row r="2253" spans="1:8" s="28" customFormat="1" x14ac:dyDescent="0.25">
      <c r="A2253" s="27">
        <v>30220264005</v>
      </c>
      <c r="B2253" s="26" t="s">
        <v>946</v>
      </c>
      <c r="C2253" s="12" t="s">
        <v>1001</v>
      </c>
      <c r="D2253" s="12" t="s">
        <v>193</v>
      </c>
      <c r="E2253" s="12" t="s">
        <v>567</v>
      </c>
      <c r="F2253" s="10" t="s">
        <v>430</v>
      </c>
      <c r="G2253" s="197" t="s">
        <v>1326</v>
      </c>
      <c r="H2253" s="53">
        <v>7500</v>
      </c>
    </row>
    <row r="2254" spans="1:8" s="28" customFormat="1" ht="31.5" x14ac:dyDescent="0.25">
      <c r="A2254" s="27">
        <v>30220267</v>
      </c>
      <c r="B2254" s="26" t="s">
        <v>1358</v>
      </c>
      <c r="C2254" s="12" t="s">
        <v>1001</v>
      </c>
      <c r="D2254" s="12" t="s">
        <v>193</v>
      </c>
      <c r="E2254" s="12" t="s">
        <v>567</v>
      </c>
      <c r="F2254" s="10" t="s">
        <v>1154</v>
      </c>
      <c r="G2254" s="197"/>
      <c r="H2254" s="53">
        <f>H2255+H2257+H2259+H2261</f>
        <v>3878033</v>
      </c>
    </row>
    <row r="2255" spans="1:8" s="28" customFormat="1" ht="47.25" x14ac:dyDescent="0.25">
      <c r="A2255" s="27">
        <v>3022026701</v>
      </c>
      <c r="B2255" s="26" t="s">
        <v>1663</v>
      </c>
      <c r="C2255" s="12" t="s">
        <v>1001</v>
      </c>
      <c r="D2255" s="12" t="s">
        <v>193</v>
      </c>
      <c r="E2255" s="12" t="s">
        <v>567</v>
      </c>
      <c r="F2255" s="10" t="s">
        <v>1357</v>
      </c>
      <c r="G2255" s="6"/>
      <c r="H2255" s="53">
        <f>H2256</f>
        <v>356170</v>
      </c>
    </row>
    <row r="2256" spans="1:8" s="28" customFormat="1" ht="31.5" x14ac:dyDescent="0.25">
      <c r="A2256" s="27">
        <v>3022026701014</v>
      </c>
      <c r="B2256" s="26" t="s">
        <v>1301</v>
      </c>
      <c r="C2256" s="12" t="s">
        <v>1001</v>
      </c>
      <c r="D2256" s="12" t="s">
        <v>193</v>
      </c>
      <c r="E2256" s="12" t="s">
        <v>567</v>
      </c>
      <c r="F2256" s="10" t="s">
        <v>1357</v>
      </c>
      <c r="G2256" s="197" t="s">
        <v>379</v>
      </c>
      <c r="H2256" s="53">
        <v>356170</v>
      </c>
    </row>
    <row r="2257" spans="1:8" s="28" customFormat="1" x14ac:dyDescent="0.25">
      <c r="A2257" s="27">
        <v>3022026702</v>
      </c>
      <c r="B2257" s="26" t="s">
        <v>432</v>
      </c>
      <c r="C2257" s="12" t="s">
        <v>1001</v>
      </c>
      <c r="D2257" s="12" t="s">
        <v>193</v>
      </c>
      <c r="E2257" s="12" t="s">
        <v>567</v>
      </c>
      <c r="F2257" s="10" t="s">
        <v>431</v>
      </c>
      <c r="G2257" s="6"/>
      <c r="H2257" s="53">
        <f>H2258</f>
        <v>155281</v>
      </c>
    </row>
    <row r="2258" spans="1:8" s="28" customFormat="1" ht="31.5" x14ac:dyDescent="0.25">
      <c r="A2258" s="27">
        <v>3022026702014</v>
      </c>
      <c r="B2258" s="26" t="s">
        <v>1301</v>
      </c>
      <c r="C2258" s="12" t="s">
        <v>1001</v>
      </c>
      <c r="D2258" s="12" t="s">
        <v>193</v>
      </c>
      <c r="E2258" s="12" t="s">
        <v>567</v>
      </c>
      <c r="F2258" s="10" t="s">
        <v>431</v>
      </c>
      <c r="G2258" s="197" t="s">
        <v>379</v>
      </c>
      <c r="H2258" s="53">
        <f>113281+42000</f>
        <v>155281</v>
      </c>
    </row>
    <row r="2259" spans="1:8" s="28" customFormat="1" ht="47.25" x14ac:dyDescent="0.25">
      <c r="A2259" s="27">
        <v>3022026703</v>
      </c>
      <c r="B2259" s="26" t="s">
        <v>1099</v>
      </c>
      <c r="C2259" s="12" t="s">
        <v>1001</v>
      </c>
      <c r="D2259" s="12" t="s">
        <v>193</v>
      </c>
      <c r="E2259" s="12" t="s">
        <v>567</v>
      </c>
      <c r="F2259" s="10" t="s">
        <v>433</v>
      </c>
      <c r="G2259" s="6"/>
      <c r="H2259" s="53">
        <f>H2260</f>
        <v>303106</v>
      </c>
    </row>
    <row r="2260" spans="1:8" s="28" customFormat="1" ht="31.5" x14ac:dyDescent="0.25">
      <c r="A2260" s="27">
        <v>3022026703014</v>
      </c>
      <c r="B2260" s="26" t="s">
        <v>1301</v>
      </c>
      <c r="C2260" s="12" t="s">
        <v>1001</v>
      </c>
      <c r="D2260" s="12" t="s">
        <v>193</v>
      </c>
      <c r="E2260" s="12" t="s">
        <v>567</v>
      </c>
      <c r="F2260" s="10" t="s">
        <v>433</v>
      </c>
      <c r="G2260" s="197" t="s">
        <v>379</v>
      </c>
      <c r="H2260" s="221">
        <f>277000+26106</f>
        <v>303106</v>
      </c>
    </row>
    <row r="2261" spans="1:8" s="28" customFormat="1" ht="32.25" customHeight="1" x14ac:dyDescent="0.25">
      <c r="A2261" s="27">
        <v>3022026799</v>
      </c>
      <c r="B2261" s="26" t="s">
        <v>1170</v>
      </c>
      <c r="C2261" s="12" t="s">
        <v>1001</v>
      </c>
      <c r="D2261" s="12" t="s">
        <v>193</v>
      </c>
      <c r="E2261" s="12" t="s">
        <v>567</v>
      </c>
      <c r="F2261" s="10" t="s">
        <v>1281</v>
      </c>
      <c r="G2261" s="6"/>
      <c r="H2261" s="53">
        <f>SUM(H2262:H2263)</f>
        <v>3063476</v>
      </c>
    </row>
    <row r="2262" spans="1:8" s="28" customFormat="1" ht="31.5" x14ac:dyDescent="0.25">
      <c r="A2262" s="27">
        <v>3022026799014</v>
      </c>
      <c r="B2262" s="26" t="s">
        <v>1301</v>
      </c>
      <c r="C2262" s="12" t="s">
        <v>1001</v>
      </c>
      <c r="D2262" s="12" t="s">
        <v>193</v>
      </c>
      <c r="E2262" s="12" t="s">
        <v>567</v>
      </c>
      <c r="F2262" s="10" t="s">
        <v>1281</v>
      </c>
      <c r="G2262" s="197" t="s">
        <v>379</v>
      </c>
      <c r="H2262" s="53">
        <v>2708276</v>
      </c>
    </row>
    <row r="2263" spans="1:8" s="28" customFormat="1" ht="31.5" x14ac:dyDescent="0.25">
      <c r="A2263" s="27">
        <v>3022026799904</v>
      </c>
      <c r="B2263" s="26" t="s">
        <v>678</v>
      </c>
      <c r="C2263" s="12" t="s">
        <v>1001</v>
      </c>
      <c r="D2263" s="12" t="s">
        <v>193</v>
      </c>
      <c r="E2263" s="12" t="s">
        <v>567</v>
      </c>
      <c r="F2263" s="10" t="s">
        <v>1281</v>
      </c>
      <c r="G2263" s="197" t="s">
        <v>1506</v>
      </c>
      <c r="H2263" s="53">
        <f>397200-42000</f>
        <v>355200</v>
      </c>
    </row>
    <row r="2264" spans="1:8" s="28" customFormat="1" x14ac:dyDescent="0.25">
      <c r="A2264" s="27">
        <v>30220271</v>
      </c>
      <c r="B2264" s="26" t="s">
        <v>841</v>
      </c>
      <c r="C2264" s="12" t="s">
        <v>1001</v>
      </c>
      <c r="D2264" s="12" t="s">
        <v>193</v>
      </c>
      <c r="E2264" s="12" t="s">
        <v>567</v>
      </c>
      <c r="F2264" s="10" t="s">
        <v>1172</v>
      </c>
      <c r="G2264" s="197"/>
      <c r="H2264" s="53">
        <f>H2265</f>
        <v>8316</v>
      </c>
    </row>
    <row r="2265" spans="1:8" s="28" customFormat="1" ht="31.5" x14ac:dyDescent="0.25">
      <c r="A2265" s="27">
        <v>30220271014</v>
      </c>
      <c r="B2265" s="26" t="s">
        <v>1301</v>
      </c>
      <c r="C2265" s="12" t="s">
        <v>1001</v>
      </c>
      <c r="D2265" s="12" t="s">
        <v>193</v>
      </c>
      <c r="E2265" s="12" t="s">
        <v>567</v>
      </c>
      <c r="F2265" s="10" t="s">
        <v>1172</v>
      </c>
      <c r="G2265" s="197" t="s">
        <v>379</v>
      </c>
      <c r="H2265" s="53">
        <v>8316</v>
      </c>
    </row>
    <row r="2266" spans="1:8" s="28" customFormat="1" x14ac:dyDescent="0.25">
      <c r="A2266" s="27">
        <v>30220272</v>
      </c>
      <c r="B2266" s="26" t="s">
        <v>435</v>
      </c>
      <c r="C2266" s="12" t="s">
        <v>1001</v>
      </c>
      <c r="D2266" s="12" t="s">
        <v>193</v>
      </c>
      <c r="E2266" s="12" t="s">
        <v>567</v>
      </c>
      <c r="F2266" s="10" t="s">
        <v>344</v>
      </c>
      <c r="G2266" s="197"/>
      <c r="H2266" s="53">
        <f>H2267</f>
        <v>112135</v>
      </c>
    </row>
    <row r="2267" spans="1:8" s="28" customFormat="1" ht="31.5" x14ac:dyDescent="0.25">
      <c r="A2267" s="27">
        <v>30220272014</v>
      </c>
      <c r="B2267" s="26" t="s">
        <v>1301</v>
      </c>
      <c r="C2267" s="12" t="s">
        <v>1001</v>
      </c>
      <c r="D2267" s="12" t="s">
        <v>193</v>
      </c>
      <c r="E2267" s="12" t="s">
        <v>567</v>
      </c>
      <c r="F2267" s="10" t="s">
        <v>344</v>
      </c>
      <c r="G2267" s="197" t="s">
        <v>379</v>
      </c>
      <c r="H2267" s="53">
        <v>112135</v>
      </c>
    </row>
    <row r="2268" spans="1:8" s="28" customFormat="1" ht="31.5" x14ac:dyDescent="0.25">
      <c r="A2268" s="27">
        <v>30220276</v>
      </c>
      <c r="B2268" s="26" t="s">
        <v>233</v>
      </c>
      <c r="C2268" s="12" t="s">
        <v>1001</v>
      </c>
      <c r="D2268" s="12" t="s">
        <v>193</v>
      </c>
      <c r="E2268" s="12" t="s">
        <v>567</v>
      </c>
      <c r="F2268" s="10" t="s">
        <v>345</v>
      </c>
      <c r="G2268" s="197"/>
      <c r="H2268" s="53">
        <f>H2269</f>
        <v>94678</v>
      </c>
    </row>
    <row r="2269" spans="1:8" s="28" customFormat="1" x14ac:dyDescent="0.25">
      <c r="A2269" s="27">
        <v>30220276005</v>
      </c>
      <c r="B2269" s="26" t="s">
        <v>946</v>
      </c>
      <c r="C2269" s="12" t="s">
        <v>1001</v>
      </c>
      <c r="D2269" s="12" t="s">
        <v>193</v>
      </c>
      <c r="E2269" s="12" t="s">
        <v>567</v>
      </c>
      <c r="F2269" s="10" t="s">
        <v>345</v>
      </c>
      <c r="G2269" s="197" t="s">
        <v>1326</v>
      </c>
      <c r="H2269" s="53">
        <v>94678</v>
      </c>
    </row>
    <row r="2270" spans="1:8" s="28" customFormat="1" ht="33" customHeight="1" x14ac:dyDescent="0.25">
      <c r="A2270" s="27">
        <v>302247</v>
      </c>
      <c r="B2270" s="26" t="s">
        <v>220</v>
      </c>
      <c r="C2270" s="12" t="s">
        <v>1001</v>
      </c>
      <c r="D2270" s="12" t="s">
        <v>193</v>
      </c>
      <c r="E2270" s="12" t="s">
        <v>567</v>
      </c>
      <c r="F2270" s="10" t="s">
        <v>635</v>
      </c>
      <c r="G2270" s="197"/>
      <c r="H2270" s="53">
        <f>H2271</f>
        <v>3000</v>
      </c>
    </row>
    <row r="2271" spans="1:8" s="28" customFormat="1" x14ac:dyDescent="0.25">
      <c r="A2271" s="27">
        <v>30224766</v>
      </c>
      <c r="B2271" s="26" t="s">
        <v>1427</v>
      </c>
      <c r="C2271" s="12" t="s">
        <v>1001</v>
      </c>
      <c r="D2271" s="12" t="s">
        <v>193</v>
      </c>
      <c r="E2271" s="12" t="s">
        <v>567</v>
      </c>
      <c r="F2271" s="10" t="s">
        <v>346</v>
      </c>
      <c r="G2271" s="197"/>
      <c r="H2271" s="53">
        <f>H2272</f>
        <v>3000</v>
      </c>
    </row>
    <row r="2272" spans="1:8" s="28" customFormat="1" ht="31.5" x14ac:dyDescent="0.25">
      <c r="A2272" s="27">
        <v>30224766014</v>
      </c>
      <c r="B2272" s="26" t="s">
        <v>1301</v>
      </c>
      <c r="C2272" s="12" t="s">
        <v>1001</v>
      </c>
      <c r="D2272" s="12" t="s">
        <v>193</v>
      </c>
      <c r="E2272" s="12" t="s">
        <v>567</v>
      </c>
      <c r="F2272" s="10" t="s">
        <v>346</v>
      </c>
      <c r="G2272" s="197" t="s">
        <v>379</v>
      </c>
      <c r="H2272" s="53">
        <v>3000</v>
      </c>
    </row>
    <row r="2273" spans="1:8" s="28" customFormat="1" ht="18.75" customHeight="1" x14ac:dyDescent="0.25">
      <c r="A2273" s="27">
        <v>302522</v>
      </c>
      <c r="B2273" s="26" t="s">
        <v>153</v>
      </c>
      <c r="C2273" s="12" t="s">
        <v>1001</v>
      </c>
      <c r="D2273" s="6" t="s">
        <v>193</v>
      </c>
      <c r="E2273" s="6" t="s">
        <v>567</v>
      </c>
      <c r="F2273" s="10" t="s">
        <v>611</v>
      </c>
      <c r="G2273" s="6"/>
      <c r="H2273" s="53">
        <f>H2274</f>
        <v>134200</v>
      </c>
    </row>
    <row r="2274" spans="1:8" s="28" customFormat="1" ht="49.5" customHeight="1" x14ac:dyDescent="0.25">
      <c r="A2274" s="27">
        <v>30252210</v>
      </c>
      <c r="B2274" s="26" t="s">
        <v>285</v>
      </c>
      <c r="C2274" s="12" t="s">
        <v>1001</v>
      </c>
      <c r="D2274" s="6" t="s">
        <v>193</v>
      </c>
      <c r="E2274" s="6" t="s">
        <v>567</v>
      </c>
      <c r="F2274" s="10" t="s">
        <v>1483</v>
      </c>
      <c r="G2274" s="6"/>
      <c r="H2274" s="53">
        <f>H2275+H2277</f>
        <v>134200</v>
      </c>
    </row>
    <row r="2275" spans="1:8" s="28" customFormat="1" ht="33.75" customHeight="1" x14ac:dyDescent="0.25">
      <c r="A2275" s="27">
        <v>3025221001</v>
      </c>
      <c r="B2275" s="26" t="s">
        <v>370</v>
      </c>
      <c r="C2275" s="12" t="s">
        <v>1001</v>
      </c>
      <c r="D2275" s="6" t="s">
        <v>193</v>
      </c>
      <c r="E2275" s="6" t="s">
        <v>567</v>
      </c>
      <c r="F2275" s="10" t="s">
        <v>1484</v>
      </c>
      <c r="G2275" s="6"/>
      <c r="H2275" s="53">
        <f>H2276</f>
        <v>7900</v>
      </c>
    </row>
    <row r="2276" spans="1:8" s="28" customFormat="1" x14ac:dyDescent="0.25">
      <c r="A2276" s="27">
        <v>3025221001012</v>
      </c>
      <c r="B2276" s="26" t="s">
        <v>1012</v>
      </c>
      <c r="C2276" s="12" t="s">
        <v>1001</v>
      </c>
      <c r="D2276" s="6" t="s">
        <v>193</v>
      </c>
      <c r="E2276" s="6" t="s">
        <v>567</v>
      </c>
      <c r="F2276" s="10" t="s">
        <v>1484</v>
      </c>
      <c r="G2276" s="197" t="s">
        <v>1224</v>
      </c>
      <c r="H2276" s="53">
        <v>7900</v>
      </c>
    </row>
    <row r="2277" spans="1:8" s="28" customFormat="1" ht="49.5" customHeight="1" x14ac:dyDescent="0.25">
      <c r="A2277" s="27">
        <v>3025221004</v>
      </c>
      <c r="B2277" s="26" t="s">
        <v>371</v>
      </c>
      <c r="C2277" s="12" t="s">
        <v>1001</v>
      </c>
      <c r="D2277" s="6" t="s">
        <v>193</v>
      </c>
      <c r="E2277" s="6" t="s">
        <v>567</v>
      </c>
      <c r="F2277" s="10" t="s">
        <v>1391</v>
      </c>
      <c r="G2277" s="6"/>
      <c r="H2277" s="53">
        <f>SUM(H2278:H2279)</f>
        <v>126300</v>
      </c>
    </row>
    <row r="2278" spans="1:8" s="28" customFormat="1" x14ac:dyDescent="0.25">
      <c r="A2278" s="27">
        <v>3025221004012</v>
      </c>
      <c r="B2278" s="26" t="s">
        <v>1012</v>
      </c>
      <c r="C2278" s="12" t="s">
        <v>1001</v>
      </c>
      <c r="D2278" s="6" t="s">
        <v>193</v>
      </c>
      <c r="E2278" s="6" t="s">
        <v>567</v>
      </c>
      <c r="F2278" s="10" t="s">
        <v>1391</v>
      </c>
      <c r="G2278" s="197" t="s">
        <v>1224</v>
      </c>
      <c r="H2278" s="53">
        <f>4500+121800</f>
        <v>126300</v>
      </c>
    </row>
    <row r="2279" spans="1:8" s="28" customFormat="1" ht="63" hidden="1" x14ac:dyDescent="0.25">
      <c r="A2279" s="27">
        <v>3025221004904</v>
      </c>
      <c r="B2279" s="26" t="s">
        <v>1505</v>
      </c>
      <c r="C2279" s="12" t="s">
        <v>1001</v>
      </c>
      <c r="D2279" s="6" t="s">
        <v>193</v>
      </c>
      <c r="E2279" s="6" t="s">
        <v>567</v>
      </c>
      <c r="F2279" s="10" t="s">
        <v>1391</v>
      </c>
      <c r="G2279" s="197" t="s">
        <v>1506</v>
      </c>
      <c r="H2279" s="53">
        <f>121800-121800</f>
        <v>0</v>
      </c>
    </row>
    <row r="2280" spans="1:8" s="28" customFormat="1" ht="48" customHeight="1" x14ac:dyDescent="0.25">
      <c r="A2280" s="29">
        <v>309</v>
      </c>
      <c r="B2280" s="26" t="s">
        <v>133</v>
      </c>
      <c r="C2280" s="12" t="s">
        <v>1001</v>
      </c>
      <c r="D2280" s="12" t="s">
        <v>193</v>
      </c>
      <c r="E2280" s="12" t="s">
        <v>406</v>
      </c>
      <c r="F2280" s="10"/>
      <c r="G2280" s="12"/>
      <c r="H2280" s="53">
        <f>H2281</f>
        <v>3700</v>
      </c>
    </row>
    <row r="2281" spans="1:8" s="28" customFormat="1" x14ac:dyDescent="0.25">
      <c r="A2281" s="27">
        <v>309219</v>
      </c>
      <c r="B2281" s="26" t="s">
        <v>1098</v>
      </c>
      <c r="C2281" s="12" t="s">
        <v>1001</v>
      </c>
      <c r="D2281" s="12" t="s">
        <v>193</v>
      </c>
      <c r="E2281" s="12" t="s">
        <v>406</v>
      </c>
      <c r="F2281" s="10" t="s">
        <v>620</v>
      </c>
      <c r="G2281" s="12"/>
      <c r="H2281" s="53">
        <f>H2282</f>
        <v>3700</v>
      </c>
    </row>
    <row r="2282" spans="1:8" s="28" customFormat="1" ht="31.5" x14ac:dyDescent="0.25">
      <c r="A2282" s="27">
        <v>30921901</v>
      </c>
      <c r="B2282" s="26" t="s">
        <v>591</v>
      </c>
      <c r="C2282" s="12" t="s">
        <v>1001</v>
      </c>
      <c r="D2282" s="12" t="s">
        <v>193</v>
      </c>
      <c r="E2282" s="12" t="s">
        <v>406</v>
      </c>
      <c r="F2282" s="10" t="s">
        <v>269</v>
      </c>
      <c r="G2282" s="12"/>
      <c r="H2282" s="53">
        <f>H2283</f>
        <v>3700</v>
      </c>
    </row>
    <row r="2283" spans="1:8" s="28" customFormat="1" ht="30.75" customHeight="1" x14ac:dyDescent="0.25">
      <c r="A2283" s="27">
        <v>30921901014</v>
      </c>
      <c r="B2283" s="26" t="s">
        <v>1301</v>
      </c>
      <c r="C2283" s="12" t="s">
        <v>1001</v>
      </c>
      <c r="D2283" s="12" t="s">
        <v>193</v>
      </c>
      <c r="E2283" s="12" t="s">
        <v>406</v>
      </c>
      <c r="F2283" s="10" t="s">
        <v>269</v>
      </c>
      <c r="G2283" s="197" t="s">
        <v>379</v>
      </c>
      <c r="H2283" s="53">
        <v>3700</v>
      </c>
    </row>
    <row r="2284" spans="1:8" s="28" customFormat="1" x14ac:dyDescent="0.25">
      <c r="A2284" s="29">
        <v>10</v>
      </c>
      <c r="B2284" s="35" t="s">
        <v>1745</v>
      </c>
      <c r="C2284" s="12" t="s">
        <v>1001</v>
      </c>
      <c r="D2284" s="12">
        <v>10</v>
      </c>
      <c r="E2284" s="12"/>
      <c r="F2284" s="10"/>
      <c r="G2284" s="12"/>
      <c r="H2284" s="53">
        <f>H2285</f>
        <v>50435</v>
      </c>
    </row>
    <row r="2285" spans="1:8" s="28" customFormat="1" x14ac:dyDescent="0.25">
      <c r="A2285" s="29">
        <v>1003</v>
      </c>
      <c r="B2285" s="26" t="s">
        <v>1322</v>
      </c>
      <c r="C2285" s="12" t="s">
        <v>1001</v>
      </c>
      <c r="D2285" s="12">
        <v>10</v>
      </c>
      <c r="E2285" s="12" t="s">
        <v>193</v>
      </c>
      <c r="F2285" s="11"/>
      <c r="G2285" s="11"/>
      <c r="H2285" s="53">
        <f>H2286</f>
        <v>50435</v>
      </c>
    </row>
    <row r="2286" spans="1:8" s="28" customFormat="1" ht="17.25" customHeight="1" x14ac:dyDescent="0.25">
      <c r="A2286" s="27">
        <v>1003505</v>
      </c>
      <c r="B2286" s="26" t="s">
        <v>278</v>
      </c>
      <c r="C2286" s="12" t="s">
        <v>1001</v>
      </c>
      <c r="D2286" s="12">
        <v>10</v>
      </c>
      <c r="E2286" s="12" t="s">
        <v>193</v>
      </c>
      <c r="F2286" s="11" t="s">
        <v>1097</v>
      </c>
      <c r="G2286" s="11"/>
      <c r="H2286" s="53">
        <f>H2287</f>
        <v>50435</v>
      </c>
    </row>
    <row r="2287" spans="1:8" s="28" customFormat="1" x14ac:dyDescent="0.25">
      <c r="A2287" s="27">
        <v>100350585</v>
      </c>
      <c r="B2287" s="26" t="s">
        <v>1396</v>
      </c>
      <c r="C2287" s="12" t="s">
        <v>1001</v>
      </c>
      <c r="D2287" s="12">
        <v>10</v>
      </c>
      <c r="E2287" s="12" t="s">
        <v>193</v>
      </c>
      <c r="F2287" s="11" t="s">
        <v>383</v>
      </c>
      <c r="G2287" s="25"/>
      <c r="H2287" s="53">
        <f>H2288</f>
        <v>50435</v>
      </c>
    </row>
    <row r="2288" spans="1:8" s="28" customFormat="1" ht="31.5" x14ac:dyDescent="0.25">
      <c r="A2288" s="27">
        <v>10035058598</v>
      </c>
      <c r="B2288" s="149" t="s">
        <v>1468</v>
      </c>
      <c r="C2288" s="12" t="s">
        <v>1001</v>
      </c>
      <c r="D2288" s="12">
        <v>10</v>
      </c>
      <c r="E2288" s="12" t="s">
        <v>193</v>
      </c>
      <c r="F2288" s="11" t="s">
        <v>221</v>
      </c>
      <c r="G2288" s="25"/>
      <c r="H2288" s="53">
        <f>H2289</f>
        <v>50435</v>
      </c>
    </row>
    <row r="2289" spans="1:8" s="4" customFormat="1" ht="16.5" customHeight="1" x14ac:dyDescent="0.25">
      <c r="A2289" s="27">
        <v>10035058598005</v>
      </c>
      <c r="B2289" s="26" t="s">
        <v>946</v>
      </c>
      <c r="C2289" s="12" t="s">
        <v>1001</v>
      </c>
      <c r="D2289" s="12">
        <v>10</v>
      </c>
      <c r="E2289" s="12" t="s">
        <v>193</v>
      </c>
      <c r="F2289" s="10" t="s">
        <v>221</v>
      </c>
      <c r="G2289" s="12" t="s">
        <v>1326</v>
      </c>
      <c r="H2289" s="53">
        <v>50435</v>
      </c>
    </row>
    <row r="2290" spans="1:8" s="3" customFormat="1" ht="6" customHeight="1" x14ac:dyDescent="0.25">
      <c r="A2290" s="40"/>
      <c r="B2290" s="30"/>
      <c r="C2290" s="42"/>
      <c r="D2290" s="42"/>
      <c r="E2290" s="42"/>
      <c r="F2290" s="32"/>
      <c r="G2290" s="58"/>
      <c r="H2290" s="72"/>
    </row>
    <row r="2291" spans="1:8" s="3" customFormat="1" ht="64.5" customHeight="1" x14ac:dyDescent="0.25">
      <c r="A2291" s="40">
        <v>0</v>
      </c>
      <c r="B2291" s="41" t="s">
        <v>1741</v>
      </c>
      <c r="C2291" s="42" t="s">
        <v>674</v>
      </c>
      <c r="D2291" s="31"/>
      <c r="E2291" s="31"/>
      <c r="F2291" s="32"/>
      <c r="G2291" s="32" t="s">
        <v>1705</v>
      </c>
      <c r="H2291" s="187">
        <f>H2292+H2313</f>
        <v>127881</v>
      </c>
    </row>
    <row r="2292" spans="1:8" s="28" customFormat="1" ht="18" customHeight="1" x14ac:dyDescent="0.25">
      <c r="A2292" s="29">
        <v>3</v>
      </c>
      <c r="B2292" s="218" t="s">
        <v>1049</v>
      </c>
      <c r="C2292" s="12" t="s">
        <v>674</v>
      </c>
      <c r="D2292" s="12" t="s">
        <v>193</v>
      </c>
      <c r="E2292" s="10"/>
      <c r="F2292" s="10"/>
      <c r="G2292" s="12"/>
      <c r="H2292" s="53">
        <f>H2293</f>
        <v>126555</v>
      </c>
    </row>
    <row r="2293" spans="1:8" s="28" customFormat="1" x14ac:dyDescent="0.25">
      <c r="A2293" s="29">
        <v>302</v>
      </c>
      <c r="B2293" s="26" t="s">
        <v>409</v>
      </c>
      <c r="C2293" s="12" t="s">
        <v>674</v>
      </c>
      <c r="D2293" s="12" t="s">
        <v>193</v>
      </c>
      <c r="E2293" s="12" t="s">
        <v>567</v>
      </c>
      <c r="F2293" s="10"/>
      <c r="G2293" s="12"/>
      <c r="H2293" s="53">
        <f>H2294</f>
        <v>126555</v>
      </c>
    </row>
    <row r="2294" spans="1:8" s="28" customFormat="1" x14ac:dyDescent="0.25">
      <c r="A2294" s="27">
        <v>302202</v>
      </c>
      <c r="B2294" s="26" t="s">
        <v>1161</v>
      </c>
      <c r="C2294" s="12" t="s">
        <v>674</v>
      </c>
      <c r="D2294" s="12" t="s">
        <v>193</v>
      </c>
      <c r="E2294" s="12" t="s">
        <v>567</v>
      </c>
      <c r="F2294" s="10" t="s">
        <v>621</v>
      </c>
      <c r="G2294" s="12"/>
      <c r="H2294" s="53">
        <f>H2295+H2297+H2302+H2309+H2311</f>
        <v>126555</v>
      </c>
    </row>
    <row r="2295" spans="1:8" s="28" customFormat="1" ht="63" x14ac:dyDescent="0.25">
      <c r="A2295" s="27">
        <v>30220201</v>
      </c>
      <c r="B2295" s="26" t="s">
        <v>216</v>
      </c>
      <c r="C2295" s="12" t="s">
        <v>674</v>
      </c>
      <c r="D2295" s="12" t="s">
        <v>193</v>
      </c>
      <c r="E2295" s="12" t="s">
        <v>567</v>
      </c>
      <c r="F2295" s="19" t="s">
        <v>495</v>
      </c>
      <c r="G2295" s="6"/>
      <c r="H2295" s="53">
        <f>H2296</f>
        <v>7508</v>
      </c>
    </row>
    <row r="2296" spans="1:8" s="28" customFormat="1" ht="31.5" x14ac:dyDescent="0.25">
      <c r="A2296" s="27">
        <v>30220201014</v>
      </c>
      <c r="B2296" s="26" t="s">
        <v>1301</v>
      </c>
      <c r="C2296" s="12" t="s">
        <v>674</v>
      </c>
      <c r="D2296" s="12" t="s">
        <v>193</v>
      </c>
      <c r="E2296" s="12" t="s">
        <v>567</v>
      </c>
      <c r="F2296" s="19" t="s">
        <v>495</v>
      </c>
      <c r="G2296" s="12" t="s">
        <v>379</v>
      </c>
      <c r="H2296" s="53">
        <v>7508</v>
      </c>
    </row>
    <row r="2297" spans="1:8" s="28" customFormat="1" x14ac:dyDescent="0.25">
      <c r="A2297" s="27">
        <v>30220258</v>
      </c>
      <c r="B2297" s="26" t="s">
        <v>118</v>
      </c>
      <c r="C2297" s="12" t="s">
        <v>674</v>
      </c>
      <c r="D2297" s="12" t="s">
        <v>193</v>
      </c>
      <c r="E2297" s="12" t="s">
        <v>567</v>
      </c>
      <c r="F2297" s="10" t="s">
        <v>496</v>
      </c>
      <c r="G2297" s="12"/>
      <c r="H2297" s="53">
        <f>H2298+H2300</f>
        <v>101163</v>
      </c>
    </row>
    <row r="2298" spans="1:8" s="28" customFormat="1" ht="47.25" x14ac:dyDescent="0.25">
      <c r="A2298" s="27">
        <v>3022025801</v>
      </c>
      <c r="B2298" s="26" t="s">
        <v>852</v>
      </c>
      <c r="C2298" s="12" t="s">
        <v>674</v>
      </c>
      <c r="D2298" s="12" t="s">
        <v>193</v>
      </c>
      <c r="E2298" s="12" t="s">
        <v>567</v>
      </c>
      <c r="F2298" s="10" t="s">
        <v>497</v>
      </c>
      <c r="G2298" s="12"/>
      <c r="H2298" s="53">
        <f>H2299</f>
        <v>54627</v>
      </c>
    </row>
    <row r="2299" spans="1:8" s="28" customFormat="1" ht="30.75" customHeight="1" x14ac:dyDescent="0.25">
      <c r="A2299" s="27">
        <v>3022025801014</v>
      </c>
      <c r="B2299" s="26" t="s">
        <v>1301</v>
      </c>
      <c r="C2299" s="12" t="s">
        <v>674</v>
      </c>
      <c r="D2299" s="12" t="s">
        <v>193</v>
      </c>
      <c r="E2299" s="12" t="s">
        <v>567</v>
      </c>
      <c r="F2299" s="10" t="s">
        <v>497</v>
      </c>
      <c r="G2299" s="12" t="s">
        <v>379</v>
      </c>
      <c r="H2299" s="53">
        <v>54627</v>
      </c>
    </row>
    <row r="2300" spans="1:8" s="28" customFormat="1" ht="31.5" x14ac:dyDescent="0.25">
      <c r="A2300" s="27">
        <v>3022025802</v>
      </c>
      <c r="B2300" s="26" t="s">
        <v>429</v>
      </c>
      <c r="C2300" s="12" t="s">
        <v>674</v>
      </c>
      <c r="D2300" s="12" t="s">
        <v>193</v>
      </c>
      <c r="E2300" s="12" t="s">
        <v>567</v>
      </c>
      <c r="F2300" s="10" t="s">
        <v>925</v>
      </c>
      <c r="G2300" s="12"/>
      <c r="H2300" s="53">
        <f>H2301</f>
        <v>46536</v>
      </c>
    </row>
    <row r="2301" spans="1:8" s="28" customFormat="1" ht="30.75" customHeight="1" x14ac:dyDescent="0.25">
      <c r="A2301" s="27">
        <v>3022025802014</v>
      </c>
      <c r="B2301" s="26" t="s">
        <v>1301</v>
      </c>
      <c r="C2301" s="12" t="s">
        <v>674</v>
      </c>
      <c r="D2301" s="12" t="s">
        <v>193</v>
      </c>
      <c r="E2301" s="12" t="s">
        <v>567</v>
      </c>
      <c r="F2301" s="10" t="s">
        <v>925</v>
      </c>
      <c r="G2301" s="12" t="s">
        <v>379</v>
      </c>
      <c r="H2301" s="53">
        <v>46536</v>
      </c>
    </row>
    <row r="2302" spans="1:8" s="147" customFormat="1" ht="31.5" x14ac:dyDescent="0.25">
      <c r="A2302" s="188">
        <v>30220267</v>
      </c>
      <c r="B2302" s="38" t="s">
        <v>1358</v>
      </c>
      <c r="C2302" s="25" t="s">
        <v>674</v>
      </c>
      <c r="D2302" s="25" t="s">
        <v>193</v>
      </c>
      <c r="E2302" s="25" t="s">
        <v>567</v>
      </c>
      <c r="F2302" s="11" t="s">
        <v>1154</v>
      </c>
      <c r="G2302" s="202"/>
      <c r="H2302" s="53">
        <f>H2303+H2305+H2307</f>
        <v>15706</v>
      </c>
    </row>
    <row r="2303" spans="1:8" s="147" customFormat="1" ht="47.25" x14ac:dyDescent="0.25">
      <c r="A2303" s="188">
        <v>3022026701</v>
      </c>
      <c r="B2303" s="38" t="s">
        <v>1663</v>
      </c>
      <c r="C2303" s="25" t="s">
        <v>674</v>
      </c>
      <c r="D2303" s="25" t="s">
        <v>193</v>
      </c>
      <c r="E2303" s="25" t="s">
        <v>567</v>
      </c>
      <c r="F2303" s="11" t="s">
        <v>1357</v>
      </c>
      <c r="G2303" s="24"/>
      <c r="H2303" s="53">
        <f>H2304</f>
        <v>4030</v>
      </c>
    </row>
    <row r="2304" spans="1:8" s="147" customFormat="1" ht="31.5" x14ac:dyDescent="0.25">
      <c r="A2304" s="188">
        <v>3022026701014</v>
      </c>
      <c r="B2304" s="38" t="s">
        <v>1301</v>
      </c>
      <c r="C2304" s="25" t="s">
        <v>674</v>
      </c>
      <c r="D2304" s="25" t="s">
        <v>193</v>
      </c>
      <c r="E2304" s="25" t="s">
        <v>567</v>
      </c>
      <c r="F2304" s="11" t="s">
        <v>1357</v>
      </c>
      <c r="G2304" s="202" t="s">
        <v>379</v>
      </c>
      <c r="H2304" s="53">
        <v>4030</v>
      </c>
    </row>
    <row r="2305" spans="1:8" s="147" customFormat="1" x14ac:dyDescent="0.25">
      <c r="A2305" s="188">
        <v>3022026702</v>
      </c>
      <c r="B2305" s="38" t="s">
        <v>432</v>
      </c>
      <c r="C2305" s="25" t="s">
        <v>674</v>
      </c>
      <c r="D2305" s="25" t="s">
        <v>193</v>
      </c>
      <c r="E2305" s="25" t="s">
        <v>567</v>
      </c>
      <c r="F2305" s="11" t="s">
        <v>431</v>
      </c>
      <c r="G2305" s="24"/>
      <c r="H2305" s="53">
        <f>H2306</f>
        <v>371</v>
      </c>
    </row>
    <row r="2306" spans="1:8" s="147" customFormat="1" ht="31.5" x14ac:dyDescent="0.25">
      <c r="A2306" s="188">
        <v>3022026702014</v>
      </c>
      <c r="B2306" s="38" t="s">
        <v>1301</v>
      </c>
      <c r="C2306" s="25" t="s">
        <v>674</v>
      </c>
      <c r="D2306" s="25" t="s">
        <v>193</v>
      </c>
      <c r="E2306" s="25" t="s">
        <v>567</v>
      </c>
      <c r="F2306" s="11" t="s">
        <v>431</v>
      </c>
      <c r="G2306" s="202" t="s">
        <v>379</v>
      </c>
      <c r="H2306" s="53">
        <v>371</v>
      </c>
    </row>
    <row r="2307" spans="1:8" s="147" customFormat="1" ht="32.25" customHeight="1" x14ac:dyDescent="0.25">
      <c r="A2307" s="188">
        <v>3022026799</v>
      </c>
      <c r="B2307" s="38" t="s">
        <v>1170</v>
      </c>
      <c r="C2307" s="25" t="s">
        <v>674</v>
      </c>
      <c r="D2307" s="25" t="s">
        <v>193</v>
      </c>
      <c r="E2307" s="25" t="s">
        <v>567</v>
      </c>
      <c r="F2307" s="11" t="s">
        <v>1281</v>
      </c>
      <c r="G2307" s="24"/>
      <c r="H2307" s="53">
        <f>H2308</f>
        <v>11305</v>
      </c>
    </row>
    <row r="2308" spans="1:8" s="147" customFormat="1" ht="31.5" x14ac:dyDescent="0.25">
      <c r="A2308" s="188">
        <v>3022026799014</v>
      </c>
      <c r="B2308" s="38" t="s">
        <v>1301</v>
      </c>
      <c r="C2308" s="25" t="s">
        <v>674</v>
      </c>
      <c r="D2308" s="25" t="s">
        <v>193</v>
      </c>
      <c r="E2308" s="25" t="s">
        <v>567</v>
      </c>
      <c r="F2308" s="11" t="s">
        <v>1281</v>
      </c>
      <c r="G2308" s="202" t="s">
        <v>379</v>
      </c>
      <c r="H2308" s="53">
        <v>11305</v>
      </c>
    </row>
    <row r="2309" spans="1:8" s="147" customFormat="1" x14ac:dyDescent="0.25">
      <c r="A2309" s="188">
        <v>30220272</v>
      </c>
      <c r="B2309" s="38" t="s">
        <v>435</v>
      </c>
      <c r="C2309" s="25" t="s">
        <v>674</v>
      </c>
      <c r="D2309" s="25" t="s">
        <v>193</v>
      </c>
      <c r="E2309" s="25" t="s">
        <v>567</v>
      </c>
      <c r="F2309" s="11" t="s">
        <v>344</v>
      </c>
      <c r="G2309" s="202"/>
      <c r="H2309" s="53">
        <f>H2310</f>
        <v>451</v>
      </c>
    </row>
    <row r="2310" spans="1:8" s="147" customFormat="1" ht="31.5" x14ac:dyDescent="0.25">
      <c r="A2310" s="188">
        <v>30220272014</v>
      </c>
      <c r="B2310" s="38" t="s">
        <v>1301</v>
      </c>
      <c r="C2310" s="25" t="s">
        <v>674</v>
      </c>
      <c r="D2310" s="25" t="s">
        <v>193</v>
      </c>
      <c r="E2310" s="25" t="s">
        <v>567</v>
      </c>
      <c r="F2310" s="11" t="s">
        <v>344</v>
      </c>
      <c r="G2310" s="202" t="s">
        <v>379</v>
      </c>
      <c r="H2310" s="53">
        <v>451</v>
      </c>
    </row>
    <row r="2311" spans="1:8" s="147" customFormat="1" ht="31.5" x14ac:dyDescent="0.25">
      <c r="A2311" s="188">
        <v>30220276</v>
      </c>
      <c r="B2311" s="38" t="s">
        <v>233</v>
      </c>
      <c r="C2311" s="25" t="s">
        <v>674</v>
      </c>
      <c r="D2311" s="25" t="s">
        <v>193</v>
      </c>
      <c r="E2311" s="25" t="s">
        <v>567</v>
      </c>
      <c r="F2311" s="11" t="s">
        <v>345</v>
      </c>
      <c r="G2311" s="202"/>
      <c r="H2311" s="53">
        <f>H2312</f>
        <v>1727</v>
      </c>
    </row>
    <row r="2312" spans="1:8" s="147" customFormat="1" x14ac:dyDescent="0.25">
      <c r="A2312" s="188">
        <v>30220276005</v>
      </c>
      <c r="B2312" s="38" t="s">
        <v>946</v>
      </c>
      <c r="C2312" s="25" t="s">
        <v>674</v>
      </c>
      <c r="D2312" s="25" t="s">
        <v>193</v>
      </c>
      <c r="E2312" s="25" t="s">
        <v>567</v>
      </c>
      <c r="F2312" s="11" t="s">
        <v>345</v>
      </c>
      <c r="G2312" s="202" t="s">
        <v>1326</v>
      </c>
      <c r="H2312" s="53">
        <v>1727</v>
      </c>
    </row>
    <row r="2313" spans="1:8" s="28" customFormat="1" x14ac:dyDescent="0.25">
      <c r="A2313" s="29">
        <v>10</v>
      </c>
      <c r="B2313" s="35" t="s">
        <v>1745</v>
      </c>
      <c r="C2313" s="12" t="s">
        <v>674</v>
      </c>
      <c r="D2313" s="12">
        <v>10</v>
      </c>
      <c r="E2313" s="12"/>
      <c r="F2313" s="10"/>
      <c r="G2313" s="12"/>
      <c r="H2313" s="53">
        <f>H2314</f>
        <v>1326</v>
      </c>
    </row>
    <row r="2314" spans="1:8" s="28" customFormat="1" x14ac:dyDescent="0.25">
      <c r="A2314" s="29">
        <v>1003</v>
      </c>
      <c r="B2314" s="26" t="s">
        <v>1322</v>
      </c>
      <c r="C2314" s="12" t="s">
        <v>674</v>
      </c>
      <c r="D2314" s="12">
        <v>10</v>
      </c>
      <c r="E2314" s="12" t="s">
        <v>193</v>
      </c>
      <c r="F2314" s="10"/>
      <c r="G2314" s="10"/>
      <c r="H2314" s="53">
        <f>H2315</f>
        <v>1326</v>
      </c>
    </row>
    <row r="2315" spans="1:8" s="28" customFormat="1" ht="17.25" customHeight="1" x14ac:dyDescent="0.25">
      <c r="A2315" s="27">
        <v>1003505</v>
      </c>
      <c r="B2315" s="26" t="s">
        <v>278</v>
      </c>
      <c r="C2315" s="12" t="s">
        <v>674</v>
      </c>
      <c r="D2315" s="12">
        <v>10</v>
      </c>
      <c r="E2315" s="12" t="s">
        <v>193</v>
      </c>
      <c r="F2315" s="11" t="s">
        <v>1097</v>
      </c>
      <c r="G2315" s="11"/>
      <c r="H2315" s="53">
        <f>H2316</f>
        <v>1326</v>
      </c>
    </row>
    <row r="2316" spans="1:8" s="28" customFormat="1" x14ac:dyDescent="0.25">
      <c r="A2316" s="27">
        <v>100350585</v>
      </c>
      <c r="B2316" s="26" t="s">
        <v>1396</v>
      </c>
      <c r="C2316" s="12" t="s">
        <v>674</v>
      </c>
      <c r="D2316" s="12">
        <v>10</v>
      </c>
      <c r="E2316" s="12" t="s">
        <v>193</v>
      </c>
      <c r="F2316" s="11" t="s">
        <v>383</v>
      </c>
      <c r="G2316" s="25"/>
      <c r="H2316" s="53">
        <f>H2317</f>
        <v>1326</v>
      </c>
    </row>
    <row r="2317" spans="1:8" s="28" customFormat="1" ht="31.5" x14ac:dyDescent="0.25">
      <c r="A2317" s="27">
        <v>10035058598</v>
      </c>
      <c r="B2317" s="149" t="s">
        <v>1468</v>
      </c>
      <c r="C2317" s="12" t="s">
        <v>674</v>
      </c>
      <c r="D2317" s="12">
        <v>10</v>
      </c>
      <c r="E2317" s="12" t="s">
        <v>193</v>
      </c>
      <c r="F2317" s="11" t="s">
        <v>221</v>
      </c>
      <c r="G2317" s="127"/>
      <c r="H2317" s="53">
        <f>H2318</f>
        <v>1326</v>
      </c>
    </row>
    <row r="2318" spans="1:8" s="4" customFormat="1" ht="16.5" customHeight="1" x14ac:dyDescent="0.25">
      <c r="A2318" s="27">
        <v>10035058598005</v>
      </c>
      <c r="B2318" s="26" t="s">
        <v>946</v>
      </c>
      <c r="C2318" s="12" t="s">
        <v>674</v>
      </c>
      <c r="D2318" s="12">
        <v>10</v>
      </c>
      <c r="E2318" s="12" t="s">
        <v>193</v>
      </c>
      <c r="F2318" s="10" t="s">
        <v>221</v>
      </c>
      <c r="G2318" s="12" t="s">
        <v>1326</v>
      </c>
      <c r="H2318" s="53">
        <v>1326</v>
      </c>
    </row>
    <row r="2319" spans="1:8" s="28" customFormat="1" x14ac:dyDescent="0.25">
      <c r="A2319" s="29"/>
      <c r="B2319" s="26"/>
      <c r="C2319" s="10"/>
      <c r="D2319" s="10"/>
      <c r="E2319" s="10"/>
      <c r="F2319" s="10"/>
      <c r="G2319" s="10"/>
      <c r="H2319" s="72"/>
    </row>
    <row r="2320" spans="1:8" s="3" customFormat="1" ht="67.5" customHeight="1" x14ac:dyDescent="0.25">
      <c r="A2320" s="40">
        <v>0</v>
      </c>
      <c r="B2320" s="41" t="s">
        <v>1426</v>
      </c>
      <c r="C2320" s="42" t="s">
        <v>664</v>
      </c>
      <c r="D2320" s="42"/>
      <c r="E2320" s="42"/>
      <c r="F2320" s="42"/>
      <c r="G2320" s="42"/>
      <c r="H2320" s="187">
        <f>H2321</f>
        <v>4085343</v>
      </c>
    </row>
    <row r="2321" spans="1:8" s="28" customFormat="1" ht="22.5" customHeight="1" x14ac:dyDescent="0.25">
      <c r="A2321" s="29">
        <v>3</v>
      </c>
      <c r="B2321" s="218" t="s">
        <v>1049</v>
      </c>
      <c r="C2321" s="12" t="s">
        <v>664</v>
      </c>
      <c r="D2321" s="12" t="s">
        <v>193</v>
      </c>
      <c r="E2321" s="10"/>
      <c r="F2321" s="10"/>
      <c r="G2321" s="12"/>
      <c r="H2321" s="53">
        <f>H2322+H2335</f>
        <v>4085343</v>
      </c>
    </row>
    <row r="2322" spans="1:8" s="28" customFormat="1" ht="47.25" x14ac:dyDescent="0.25">
      <c r="A2322" s="29">
        <v>309</v>
      </c>
      <c r="B2322" s="26" t="s">
        <v>133</v>
      </c>
      <c r="C2322" s="12" t="s">
        <v>664</v>
      </c>
      <c r="D2322" s="12" t="s">
        <v>193</v>
      </c>
      <c r="E2322" s="12" t="s">
        <v>406</v>
      </c>
      <c r="F2322" s="10"/>
      <c r="G2322" s="12"/>
      <c r="H2322" s="53">
        <f>H2323+H2332</f>
        <v>759070</v>
      </c>
    </row>
    <row r="2323" spans="1:8" s="28" customFormat="1" ht="20.25" customHeight="1" x14ac:dyDescent="0.25">
      <c r="A2323" s="27">
        <v>309202</v>
      </c>
      <c r="B2323" s="65" t="s">
        <v>1161</v>
      </c>
      <c r="C2323" s="12" t="s">
        <v>664</v>
      </c>
      <c r="D2323" s="12" t="s">
        <v>193</v>
      </c>
      <c r="E2323" s="12" t="s">
        <v>406</v>
      </c>
      <c r="F2323" s="10" t="s">
        <v>621</v>
      </c>
      <c r="G2323" s="12"/>
      <c r="H2323" s="53">
        <f>H2324+H2327</f>
        <v>82113</v>
      </c>
    </row>
    <row r="2324" spans="1:8" s="28" customFormat="1" x14ac:dyDescent="0.25">
      <c r="A2324" s="27">
        <v>30920258</v>
      </c>
      <c r="B2324" s="65" t="s">
        <v>118</v>
      </c>
      <c r="C2324" s="12" t="s">
        <v>664</v>
      </c>
      <c r="D2324" s="12" t="s">
        <v>193</v>
      </c>
      <c r="E2324" s="12" t="s">
        <v>406</v>
      </c>
      <c r="F2324" s="10" t="s">
        <v>496</v>
      </c>
      <c r="G2324" s="12"/>
      <c r="H2324" s="53">
        <f>H2325</f>
        <v>49043</v>
      </c>
    </row>
    <row r="2325" spans="1:8" s="28" customFormat="1" ht="47.25" x14ac:dyDescent="0.25">
      <c r="A2325" s="27">
        <v>3092025801</v>
      </c>
      <c r="B2325" s="65" t="s">
        <v>852</v>
      </c>
      <c r="C2325" s="12" t="s">
        <v>664</v>
      </c>
      <c r="D2325" s="12" t="s">
        <v>193</v>
      </c>
      <c r="E2325" s="12" t="s">
        <v>406</v>
      </c>
      <c r="F2325" s="10" t="s">
        <v>497</v>
      </c>
      <c r="G2325" s="12"/>
      <c r="H2325" s="53">
        <f>H2326</f>
        <v>49043</v>
      </c>
    </row>
    <row r="2326" spans="1:8" s="28" customFormat="1" ht="34.5" customHeight="1" x14ac:dyDescent="0.25">
      <c r="A2326" s="27">
        <v>3092025801014</v>
      </c>
      <c r="B2326" s="65" t="s">
        <v>1301</v>
      </c>
      <c r="C2326" s="12" t="s">
        <v>664</v>
      </c>
      <c r="D2326" s="12" t="s">
        <v>193</v>
      </c>
      <c r="E2326" s="12" t="s">
        <v>406</v>
      </c>
      <c r="F2326" s="10" t="s">
        <v>497</v>
      </c>
      <c r="G2326" s="12" t="s">
        <v>379</v>
      </c>
      <c r="H2326" s="53">
        <v>49043</v>
      </c>
    </row>
    <row r="2327" spans="1:8" s="147" customFormat="1" ht="31.5" x14ac:dyDescent="0.25">
      <c r="A2327" s="188">
        <v>30920267</v>
      </c>
      <c r="B2327" s="38" t="s">
        <v>1358</v>
      </c>
      <c r="C2327" s="25" t="s">
        <v>664</v>
      </c>
      <c r="D2327" s="25" t="s">
        <v>193</v>
      </c>
      <c r="E2327" s="25" t="s">
        <v>406</v>
      </c>
      <c r="F2327" s="11" t="s">
        <v>1154</v>
      </c>
      <c r="G2327" s="202"/>
      <c r="H2327" s="53">
        <f>H2328+H2330</f>
        <v>33070</v>
      </c>
    </row>
    <row r="2328" spans="1:8" s="147" customFormat="1" ht="47.25" x14ac:dyDescent="0.25">
      <c r="A2328" s="188">
        <v>3092026701</v>
      </c>
      <c r="B2328" s="38" t="s">
        <v>1663</v>
      </c>
      <c r="C2328" s="25" t="s">
        <v>664</v>
      </c>
      <c r="D2328" s="25" t="s">
        <v>193</v>
      </c>
      <c r="E2328" s="25" t="s">
        <v>406</v>
      </c>
      <c r="F2328" s="11" t="s">
        <v>1357</v>
      </c>
      <c r="G2328" s="24"/>
      <c r="H2328" s="53">
        <f>H2329</f>
        <v>13062</v>
      </c>
    </row>
    <row r="2329" spans="1:8" s="147" customFormat="1" ht="31.5" x14ac:dyDescent="0.25">
      <c r="A2329" s="188">
        <v>3092026701014</v>
      </c>
      <c r="B2329" s="38" t="s">
        <v>1301</v>
      </c>
      <c r="C2329" s="25" t="s">
        <v>664</v>
      </c>
      <c r="D2329" s="25" t="s">
        <v>193</v>
      </c>
      <c r="E2329" s="25" t="s">
        <v>406</v>
      </c>
      <c r="F2329" s="11" t="s">
        <v>1357</v>
      </c>
      <c r="G2329" s="202" t="s">
        <v>379</v>
      </c>
      <c r="H2329" s="53">
        <v>13062</v>
      </c>
    </row>
    <row r="2330" spans="1:8" s="147" customFormat="1" ht="32.25" customHeight="1" x14ac:dyDescent="0.25">
      <c r="A2330" s="188">
        <v>3092026799</v>
      </c>
      <c r="B2330" s="38" t="s">
        <v>1170</v>
      </c>
      <c r="C2330" s="25" t="s">
        <v>664</v>
      </c>
      <c r="D2330" s="25" t="s">
        <v>193</v>
      </c>
      <c r="E2330" s="25" t="s">
        <v>406</v>
      </c>
      <c r="F2330" s="11" t="s">
        <v>1281</v>
      </c>
      <c r="G2330" s="24"/>
      <c r="H2330" s="53">
        <f>H2331</f>
        <v>20008</v>
      </c>
    </row>
    <row r="2331" spans="1:8" s="147" customFormat="1" ht="31.5" x14ac:dyDescent="0.25">
      <c r="A2331" s="188">
        <v>3092026799014</v>
      </c>
      <c r="B2331" s="38" t="s">
        <v>1301</v>
      </c>
      <c r="C2331" s="25" t="s">
        <v>664</v>
      </c>
      <c r="D2331" s="25" t="s">
        <v>193</v>
      </c>
      <c r="E2331" s="25" t="s">
        <v>406</v>
      </c>
      <c r="F2331" s="11" t="s">
        <v>1281</v>
      </c>
      <c r="G2331" s="202" t="s">
        <v>379</v>
      </c>
      <c r="H2331" s="53">
        <v>20008</v>
      </c>
    </row>
    <row r="2332" spans="1:8" s="28" customFormat="1" ht="18" customHeight="1" x14ac:dyDescent="0.25">
      <c r="A2332" s="27">
        <v>309302</v>
      </c>
      <c r="B2332" s="65" t="s">
        <v>1400</v>
      </c>
      <c r="C2332" s="12" t="s">
        <v>664</v>
      </c>
      <c r="D2332" s="12" t="s">
        <v>193</v>
      </c>
      <c r="E2332" s="12" t="s">
        <v>406</v>
      </c>
      <c r="F2332" s="10" t="s">
        <v>999</v>
      </c>
      <c r="G2332" s="12"/>
      <c r="H2332" s="53">
        <f>H2333</f>
        <v>676957</v>
      </c>
    </row>
    <row r="2333" spans="1:8" s="28" customFormat="1" ht="18" customHeight="1" x14ac:dyDescent="0.25">
      <c r="A2333" s="27">
        <v>30930299</v>
      </c>
      <c r="B2333" s="65" t="s">
        <v>624</v>
      </c>
      <c r="C2333" s="12" t="s">
        <v>664</v>
      </c>
      <c r="D2333" s="12" t="s">
        <v>193</v>
      </c>
      <c r="E2333" s="12" t="s">
        <v>406</v>
      </c>
      <c r="F2333" s="10" t="s">
        <v>1543</v>
      </c>
      <c r="G2333" s="12"/>
      <c r="H2333" s="53">
        <f>H2334</f>
        <v>676957</v>
      </c>
    </row>
    <row r="2334" spans="1:8" s="28" customFormat="1" ht="18.75" customHeight="1" x14ac:dyDescent="0.25">
      <c r="A2334" s="27">
        <v>30930299001</v>
      </c>
      <c r="B2334" s="65" t="s">
        <v>1435</v>
      </c>
      <c r="C2334" s="12" t="s">
        <v>664</v>
      </c>
      <c r="D2334" s="12" t="s">
        <v>193</v>
      </c>
      <c r="E2334" s="12" t="s">
        <v>406</v>
      </c>
      <c r="F2334" s="10" t="s">
        <v>1543</v>
      </c>
      <c r="G2334" s="12" t="s">
        <v>1394</v>
      </c>
      <c r="H2334" s="53">
        <v>676957</v>
      </c>
    </row>
    <row r="2335" spans="1:8" s="28" customFormat="1" ht="20.25" customHeight="1" x14ac:dyDescent="0.25">
      <c r="A2335" s="27">
        <v>310</v>
      </c>
      <c r="B2335" s="65" t="s">
        <v>489</v>
      </c>
      <c r="C2335" s="12" t="s">
        <v>664</v>
      </c>
      <c r="D2335" s="12" t="s">
        <v>193</v>
      </c>
      <c r="E2335" s="12">
        <v>10</v>
      </c>
      <c r="F2335" s="19"/>
      <c r="G2335" s="6"/>
      <c r="H2335" s="53">
        <f>H2336+H2339+H2343+H2354</f>
        <v>3326273</v>
      </c>
    </row>
    <row r="2336" spans="1:8" s="147" customFormat="1" x14ac:dyDescent="0.25">
      <c r="A2336" s="188">
        <v>310001</v>
      </c>
      <c r="B2336" s="38" t="s">
        <v>637</v>
      </c>
      <c r="C2336" s="25" t="s">
        <v>664</v>
      </c>
      <c r="D2336" s="25" t="s">
        <v>193</v>
      </c>
      <c r="E2336" s="25">
        <v>10</v>
      </c>
      <c r="F2336" s="11" t="s">
        <v>1096</v>
      </c>
      <c r="G2336" s="11"/>
      <c r="H2336" s="53">
        <f>H2337</f>
        <v>645949</v>
      </c>
    </row>
    <row r="2337" spans="1:10" s="147" customFormat="1" ht="113.25" customHeight="1" x14ac:dyDescent="0.25">
      <c r="A2337" s="188">
        <v>31000137</v>
      </c>
      <c r="B2337" s="38" t="s">
        <v>163</v>
      </c>
      <c r="C2337" s="25" t="s">
        <v>664</v>
      </c>
      <c r="D2337" s="25" t="s">
        <v>193</v>
      </c>
      <c r="E2337" s="25">
        <v>10</v>
      </c>
      <c r="F2337" s="11" t="s">
        <v>1544</v>
      </c>
      <c r="G2337" s="11"/>
      <c r="H2337" s="53">
        <f>H2338</f>
        <v>645949</v>
      </c>
    </row>
    <row r="2338" spans="1:10" s="147" customFormat="1" ht="31.5" x14ac:dyDescent="0.25">
      <c r="A2338" s="188">
        <v>31000137014</v>
      </c>
      <c r="B2338" s="38" t="s">
        <v>727</v>
      </c>
      <c r="C2338" s="25" t="s">
        <v>664</v>
      </c>
      <c r="D2338" s="25" t="s">
        <v>193</v>
      </c>
      <c r="E2338" s="25">
        <v>10</v>
      </c>
      <c r="F2338" s="11" t="s">
        <v>1544</v>
      </c>
      <c r="G2338" s="80" t="s">
        <v>379</v>
      </c>
      <c r="H2338" s="53">
        <v>645949</v>
      </c>
    </row>
    <row r="2339" spans="1:10" s="69" customFormat="1" ht="31.5" x14ac:dyDescent="0.25">
      <c r="A2339" s="27">
        <v>310102</v>
      </c>
      <c r="B2339" s="26" t="s">
        <v>106</v>
      </c>
      <c r="C2339" s="12" t="s">
        <v>664</v>
      </c>
      <c r="D2339" s="12" t="s">
        <v>193</v>
      </c>
      <c r="E2339" s="12">
        <v>10</v>
      </c>
      <c r="F2339" s="10" t="s">
        <v>234</v>
      </c>
      <c r="G2339" s="10"/>
      <c r="H2339" s="53">
        <f>H2340</f>
        <v>46851</v>
      </c>
      <c r="J2339" s="71"/>
    </row>
    <row r="2340" spans="1:10" s="28" customFormat="1" ht="63" x14ac:dyDescent="0.25">
      <c r="A2340" s="27">
        <v>31010201</v>
      </c>
      <c r="B2340" s="26" t="s">
        <v>942</v>
      </c>
      <c r="C2340" s="12" t="s">
        <v>664</v>
      </c>
      <c r="D2340" s="12" t="s">
        <v>193</v>
      </c>
      <c r="E2340" s="12">
        <v>10</v>
      </c>
      <c r="F2340" s="10" t="s">
        <v>1178</v>
      </c>
      <c r="G2340" s="10"/>
      <c r="H2340" s="53">
        <f>H2341</f>
        <v>46851</v>
      </c>
    </row>
    <row r="2341" spans="1:10" s="28" customFormat="1" ht="47.25" x14ac:dyDescent="0.25">
      <c r="A2341" s="27">
        <v>3101020101</v>
      </c>
      <c r="B2341" s="26" t="s">
        <v>1025</v>
      </c>
      <c r="C2341" s="12" t="s">
        <v>664</v>
      </c>
      <c r="D2341" s="12" t="s">
        <v>193</v>
      </c>
      <c r="E2341" s="12">
        <v>10</v>
      </c>
      <c r="F2341" s="10" t="s">
        <v>1179</v>
      </c>
      <c r="G2341" s="10"/>
      <c r="H2341" s="53">
        <f>H2342</f>
        <v>46851</v>
      </c>
    </row>
    <row r="2342" spans="1:10" s="28" customFormat="1" x14ac:dyDescent="0.25">
      <c r="A2342" s="27">
        <v>3101020101003</v>
      </c>
      <c r="B2342" s="26" t="s">
        <v>256</v>
      </c>
      <c r="C2342" s="12" t="s">
        <v>664</v>
      </c>
      <c r="D2342" s="12" t="s">
        <v>193</v>
      </c>
      <c r="E2342" s="12">
        <v>10</v>
      </c>
      <c r="F2342" s="10" t="s">
        <v>1179</v>
      </c>
      <c r="G2342" s="80" t="s">
        <v>539</v>
      </c>
      <c r="H2342" s="53">
        <v>46851</v>
      </c>
    </row>
    <row r="2343" spans="1:10" s="147" customFormat="1" ht="20.25" customHeight="1" x14ac:dyDescent="0.25">
      <c r="A2343" s="188">
        <v>310202</v>
      </c>
      <c r="B2343" s="193" t="s">
        <v>1161</v>
      </c>
      <c r="C2343" s="25" t="s">
        <v>664</v>
      </c>
      <c r="D2343" s="25" t="s">
        <v>193</v>
      </c>
      <c r="E2343" s="25">
        <v>10</v>
      </c>
      <c r="F2343" s="11" t="s">
        <v>621</v>
      </c>
      <c r="G2343" s="25"/>
      <c r="H2343" s="53">
        <f>H2344+H2347+H2352</f>
        <v>458055</v>
      </c>
    </row>
    <row r="2344" spans="1:10" s="147" customFormat="1" x14ac:dyDescent="0.25">
      <c r="A2344" s="188">
        <v>31020258</v>
      </c>
      <c r="B2344" s="193" t="s">
        <v>118</v>
      </c>
      <c r="C2344" s="25" t="s">
        <v>664</v>
      </c>
      <c r="D2344" s="25" t="s">
        <v>193</v>
      </c>
      <c r="E2344" s="25">
        <v>10</v>
      </c>
      <c r="F2344" s="11" t="s">
        <v>496</v>
      </c>
      <c r="G2344" s="25"/>
      <c r="H2344" s="53">
        <f>H2345</f>
        <v>323429</v>
      </c>
    </row>
    <row r="2345" spans="1:10" s="147" customFormat="1" ht="47.25" x14ac:dyDescent="0.25">
      <c r="A2345" s="188">
        <v>3102025801</v>
      </c>
      <c r="B2345" s="193" t="s">
        <v>852</v>
      </c>
      <c r="C2345" s="25" t="s">
        <v>664</v>
      </c>
      <c r="D2345" s="25" t="s">
        <v>193</v>
      </c>
      <c r="E2345" s="25">
        <v>10</v>
      </c>
      <c r="F2345" s="11" t="s">
        <v>497</v>
      </c>
      <c r="G2345" s="25"/>
      <c r="H2345" s="53">
        <f>H2346</f>
        <v>323429</v>
      </c>
    </row>
    <row r="2346" spans="1:10" s="147" customFormat="1" ht="34.5" customHeight="1" x14ac:dyDescent="0.25">
      <c r="A2346" s="188">
        <v>3102025801014</v>
      </c>
      <c r="B2346" s="193" t="s">
        <v>1301</v>
      </c>
      <c r="C2346" s="25" t="s">
        <v>664</v>
      </c>
      <c r="D2346" s="25" t="s">
        <v>193</v>
      </c>
      <c r="E2346" s="25">
        <v>10</v>
      </c>
      <c r="F2346" s="11" t="s">
        <v>497</v>
      </c>
      <c r="G2346" s="25" t="s">
        <v>379</v>
      </c>
      <c r="H2346" s="53">
        <v>323429</v>
      </c>
    </row>
    <row r="2347" spans="1:10" s="147" customFormat="1" ht="31.5" x14ac:dyDescent="0.25">
      <c r="A2347" s="188">
        <v>31020267</v>
      </c>
      <c r="B2347" s="38" t="s">
        <v>1358</v>
      </c>
      <c r="C2347" s="25" t="s">
        <v>664</v>
      </c>
      <c r="D2347" s="25" t="s">
        <v>193</v>
      </c>
      <c r="E2347" s="25">
        <v>10</v>
      </c>
      <c r="F2347" s="11" t="s">
        <v>1154</v>
      </c>
      <c r="G2347" s="202"/>
      <c r="H2347" s="53">
        <f>H2348+H2350</f>
        <v>122626</v>
      </c>
    </row>
    <row r="2348" spans="1:10" s="147" customFormat="1" ht="47.25" x14ac:dyDescent="0.25">
      <c r="A2348" s="188">
        <v>3102026701</v>
      </c>
      <c r="B2348" s="38" t="s">
        <v>1663</v>
      </c>
      <c r="C2348" s="25" t="s">
        <v>664</v>
      </c>
      <c r="D2348" s="25" t="s">
        <v>193</v>
      </c>
      <c r="E2348" s="25">
        <v>10</v>
      </c>
      <c r="F2348" s="11" t="s">
        <v>1357</v>
      </c>
      <c r="G2348" s="24"/>
      <c r="H2348" s="53">
        <f>H2349</f>
        <v>1112</v>
      </c>
    </row>
    <row r="2349" spans="1:10" s="147" customFormat="1" ht="31.5" x14ac:dyDescent="0.25">
      <c r="A2349" s="188">
        <v>3102026701014</v>
      </c>
      <c r="B2349" s="38" t="s">
        <v>1301</v>
      </c>
      <c r="C2349" s="25" t="s">
        <v>664</v>
      </c>
      <c r="D2349" s="25" t="s">
        <v>193</v>
      </c>
      <c r="E2349" s="25">
        <v>10</v>
      </c>
      <c r="F2349" s="11" t="s">
        <v>1357</v>
      </c>
      <c r="G2349" s="202" t="s">
        <v>379</v>
      </c>
      <c r="H2349" s="53">
        <v>1112</v>
      </c>
    </row>
    <row r="2350" spans="1:10" s="147" customFormat="1" ht="32.25" customHeight="1" x14ac:dyDescent="0.25">
      <c r="A2350" s="188">
        <v>3102026799</v>
      </c>
      <c r="B2350" s="38" t="s">
        <v>1170</v>
      </c>
      <c r="C2350" s="25" t="s">
        <v>664</v>
      </c>
      <c r="D2350" s="25" t="s">
        <v>193</v>
      </c>
      <c r="E2350" s="25">
        <v>10</v>
      </c>
      <c r="F2350" s="11" t="s">
        <v>1281</v>
      </c>
      <c r="G2350" s="24"/>
      <c r="H2350" s="53">
        <f>H2351</f>
        <v>121514</v>
      </c>
    </row>
    <row r="2351" spans="1:10" s="147" customFormat="1" ht="31.5" x14ac:dyDescent="0.25">
      <c r="A2351" s="188">
        <v>3102026799014</v>
      </c>
      <c r="B2351" s="38" t="s">
        <v>1301</v>
      </c>
      <c r="C2351" s="25" t="s">
        <v>664</v>
      </c>
      <c r="D2351" s="25" t="s">
        <v>193</v>
      </c>
      <c r="E2351" s="25">
        <v>10</v>
      </c>
      <c r="F2351" s="11" t="s">
        <v>1281</v>
      </c>
      <c r="G2351" s="202" t="s">
        <v>379</v>
      </c>
      <c r="H2351" s="53">
        <v>121514</v>
      </c>
    </row>
    <row r="2352" spans="1:10" s="147" customFormat="1" x14ac:dyDescent="0.25">
      <c r="A2352" s="188">
        <v>31020272</v>
      </c>
      <c r="B2352" s="38" t="s">
        <v>435</v>
      </c>
      <c r="C2352" s="25" t="s">
        <v>664</v>
      </c>
      <c r="D2352" s="25" t="s">
        <v>193</v>
      </c>
      <c r="E2352" s="25">
        <v>10</v>
      </c>
      <c r="F2352" s="11" t="s">
        <v>344</v>
      </c>
      <c r="G2352" s="202"/>
      <c r="H2352" s="53">
        <f>H2353</f>
        <v>12000</v>
      </c>
    </row>
    <row r="2353" spans="1:10" s="147" customFormat="1" ht="31.5" x14ac:dyDescent="0.25">
      <c r="A2353" s="188">
        <v>31020272014</v>
      </c>
      <c r="B2353" s="38" t="s">
        <v>1301</v>
      </c>
      <c r="C2353" s="25" t="s">
        <v>664</v>
      </c>
      <c r="D2353" s="25" t="s">
        <v>193</v>
      </c>
      <c r="E2353" s="25">
        <v>10</v>
      </c>
      <c r="F2353" s="11" t="s">
        <v>344</v>
      </c>
      <c r="G2353" s="202" t="s">
        <v>379</v>
      </c>
      <c r="H2353" s="53">
        <v>12000</v>
      </c>
    </row>
    <row r="2354" spans="1:10" s="28" customFormat="1" ht="33" customHeight="1" x14ac:dyDescent="0.25">
      <c r="A2354" s="27">
        <v>310247</v>
      </c>
      <c r="B2354" s="65" t="s">
        <v>726</v>
      </c>
      <c r="C2354" s="12" t="s">
        <v>664</v>
      </c>
      <c r="D2354" s="12" t="s">
        <v>193</v>
      </c>
      <c r="E2354" s="12">
        <v>10</v>
      </c>
      <c r="F2354" s="19" t="s">
        <v>635</v>
      </c>
      <c r="G2354" s="6"/>
      <c r="H2354" s="53">
        <f>H2355</f>
        <v>2175418</v>
      </c>
    </row>
    <row r="2355" spans="1:10" s="28" customFormat="1" x14ac:dyDescent="0.25">
      <c r="A2355" s="27">
        <v>31024799</v>
      </c>
      <c r="B2355" s="65" t="s">
        <v>624</v>
      </c>
      <c r="C2355" s="12" t="s">
        <v>664</v>
      </c>
      <c r="D2355" s="12" t="s">
        <v>193</v>
      </c>
      <c r="E2355" s="12">
        <v>10</v>
      </c>
      <c r="F2355" s="19" t="s">
        <v>728</v>
      </c>
      <c r="G2355" s="6"/>
      <c r="H2355" s="53">
        <f>H2356</f>
        <v>2175418</v>
      </c>
    </row>
    <row r="2356" spans="1:10" s="28" customFormat="1" ht="21" customHeight="1" x14ac:dyDescent="0.25">
      <c r="A2356" s="27">
        <v>31024799001</v>
      </c>
      <c r="B2356" s="65" t="s">
        <v>1435</v>
      </c>
      <c r="C2356" s="12" t="s">
        <v>664</v>
      </c>
      <c r="D2356" s="12" t="s">
        <v>193</v>
      </c>
      <c r="E2356" s="12">
        <v>10</v>
      </c>
      <c r="F2356" s="19" t="s">
        <v>728</v>
      </c>
      <c r="G2356" s="202" t="s">
        <v>1394</v>
      </c>
      <c r="H2356" s="230">
        <f>2121685+53733</f>
        <v>2175418</v>
      </c>
    </row>
    <row r="2357" spans="1:10" s="28" customFormat="1" x14ac:dyDescent="0.25">
      <c r="A2357" s="29"/>
      <c r="B2357" s="26"/>
      <c r="C2357" s="10"/>
      <c r="D2357" s="10"/>
      <c r="E2357" s="10"/>
      <c r="F2357" s="10"/>
      <c r="G2357" s="10"/>
      <c r="H2357" s="53"/>
    </row>
    <row r="2358" spans="1:10" s="3" customFormat="1" ht="20.25" customHeight="1" x14ac:dyDescent="0.25">
      <c r="A2358" s="40">
        <v>0</v>
      </c>
      <c r="B2358" s="41" t="s">
        <v>1008</v>
      </c>
      <c r="C2358" s="42" t="s">
        <v>675</v>
      </c>
      <c r="D2358" s="42"/>
      <c r="E2358" s="42"/>
      <c r="F2358" s="42"/>
      <c r="G2358" s="42"/>
      <c r="H2358" s="187">
        <f>H2359</f>
        <v>43586</v>
      </c>
    </row>
    <row r="2359" spans="1:10" s="28" customFormat="1" x14ac:dyDescent="0.25">
      <c r="A2359" s="29">
        <v>1</v>
      </c>
      <c r="B2359" s="35" t="s">
        <v>482</v>
      </c>
      <c r="C2359" s="12" t="s">
        <v>675</v>
      </c>
      <c r="D2359" s="12" t="s">
        <v>566</v>
      </c>
      <c r="E2359" s="10"/>
      <c r="F2359" s="42"/>
      <c r="G2359" s="12"/>
      <c r="H2359" s="53">
        <f>H2360</f>
        <v>43586</v>
      </c>
    </row>
    <row r="2360" spans="1:10" s="28" customFormat="1" x14ac:dyDescent="0.25">
      <c r="A2360" s="29">
        <v>114</v>
      </c>
      <c r="B2360" s="26" t="s">
        <v>287</v>
      </c>
      <c r="C2360" s="12" t="s">
        <v>675</v>
      </c>
      <c r="D2360" s="12" t="s">
        <v>566</v>
      </c>
      <c r="E2360" s="12">
        <v>14</v>
      </c>
      <c r="F2360" s="12"/>
      <c r="G2360" s="12"/>
      <c r="H2360" s="53">
        <f>H2361</f>
        <v>43586</v>
      </c>
    </row>
    <row r="2361" spans="1:10" s="28" customFormat="1" ht="47.25" x14ac:dyDescent="0.25">
      <c r="A2361" s="27">
        <v>114002</v>
      </c>
      <c r="B2361" s="26" t="s">
        <v>1657</v>
      </c>
      <c r="C2361" s="12" t="s">
        <v>675</v>
      </c>
      <c r="D2361" s="12" t="s">
        <v>566</v>
      </c>
      <c r="E2361" s="12">
        <v>14</v>
      </c>
      <c r="F2361" s="12" t="s">
        <v>200</v>
      </c>
      <c r="G2361" s="12"/>
      <c r="H2361" s="53">
        <f>H2362</f>
        <v>43586</v>
      </c>
    </row>
    <row r="2362" spans="1:10" s="28" customFormat="1" x14ac:dyDescent="0.25">
      <c r="A2362" s="27">
        <v>11400204</v>
      </c>
      <c r="B2362" s="26" t="s">
        <v>638</v>
      </c>
      <c r="C2362" s="12" t="s">
        <v>675</v>
      </c>
      <c r="D2362" s="12" t="s">
        <v>566</v>
      </c>
      <c r="E2362" s="12">
        <v>14</v>
      </c>
      <c r="F2362" s="12" t="s">
        <v>797</v>
      </c>
      <c r="G2362" s="12"/>
      <c r="H2362" s="53">
        <f>H2363</f>
        <v>43586</v>
      </c>
    </row>
    <row r="2363" spans="1:10" s="3" customFormat="1" x14ac:dyDescent="0.25">
      <c r="A2363" s="27">
        <v>11400204012</v>
      </c>
      <c r="B2363" s="65" t="s">
        <v>1012</v>
      </c>
      <c r="C2363" s="12" t="s">
        <v>675</v>
      </c>
      <c r="D2363" s="12" t="s">
        <v>566</v>
      </c>
      <c r="E2363" s="12">
        <v>14</v>
      </c>
      <c r="F2363" s="12" t="s">
        <v>797</v>
      </c>
      <c r="G2363" s="12" t="s">
        <v>1224</v>
      </c>
      <c r="H2363" s="230">
        <f>40586+3000</f>
        <v>43586</v>
      </c>
    </row>
    <row r="2364" spans="1:10" s="28" customFormat="1" ht="15.75" customHeight="1" x14ac:dyDescent="0.25">
      <c r="A2364" s="29"/>
      <c r="B2364" s="26"/>
      <c r="C2364" s="12"/>
      <c r="D2364" s="10"/>
      <c r="E2364" s="12"/>
      <c r="F2364" s="10"/>
      <c r="G2364" s="12"/>
      <c r="H2364" s="53"/>
    </row>
    <row r="2365" spans="1:10" s="3" customFormat="1" ht="31.5" customHeight="1" x14ac:dyDescent="0.25">
      <c r="A2365" s="40">
        <v>0</v>
      </c>
      <c r="B2365" s="41" t="s">
        <v>1384</v>
      </c>
      <c r="C2365" s="42" t="s">
        <v>676</v>
      </c>
      <c r="D2365" s="31"/>
      <c r="E2365" s="31"/>
      <c r="F2365" s="31"/>
      <c r="G2365" s="31"/>
      <c r="H2365" s="187">
        <f>H2366</f>
        <v>35016518</v>
      </c>
      <c r="J2365" s="187"/>
    </row>
    <row r="2366" spans="1:10" s="28" customFormat="1" x14ac:dyDescent="0.25">
      <c r="A2366" s="29">
        <v>4</v>
      </c>
      <c r="B2366" s="35" t="s">
        <v>993</v>
      </c>
      <c r="C2366" s="12" t="s">
        <v>676</v>
      </c>
      <c r="D2366" s="22" t="s">
        <v>1181</v>
      </c>
      <c r="E2366" s="12"/>
      <c r="F2366" s="12"/>
      <c r="G2366" s="12"/>
      <c r="H2366" s="53">
        <f>H2367</f>
        <v>35016518</v>
      </c>
      <c r="J2366" s="53"/>
    </row>
    <row r="2367" spans="1:10" s="28" customFormat="1" x14ac:dyDescent="0.25">
      <c r="A2367" s="29">
        <v>409</v>
      </c>
      <c r="B2367" s="26" t="s">
        <v>311</v>
      </c>
      <c r="C2367" s="12" t="s">
        <v>676</v>
      </c>
      <c r="D2367" s="22" t="s">
        <v>1181</v>
      </c>
      <c r="E2367" s="22" t="s">
        <v>406</v>
      </c>
      <c r="F2367" s="12"/>
      <c r="G2367" s="12"/>
      <c r="H2367" s="53">
        <f>H2368+H2372+H2431</f>
        <v>35016518</v>
      </c>
      <c r="J2367" s="53"/>
    </row>
    <row r="2368" spans="1:10" s="28" customFormat="1" x14ac:dyDescent="0.25">
      <c r="A2368" s="27">
        <v>409100</v>
      </c>
      <c r="B2368" s="26" t="s">
        <v>1184</v>
      </c>
      <c r="C2368" s="12" t="s">
        <v>676</v>
      </c>
      <c r="D2368" s="22" t="s">
        <v>1181</v>
      </c>
      <c r="E2368" s="22" t="s">
        <v>406</v>
      </c>
      <c r="F2368" s="10" t="s">
        <v>1680</v>
      </c>
      <c r="G2368" s="12"/>
      <c r="H2368" s="53">
        <f>H2371</f>
        <v>8478000</v>
      </c>
      <c r="J2368" s="53"/>
    </row>
    <row r="2369" spans="1:10" s="28" customFormat="1" ht="31.5" x14ac:dyDescent="0.25">
      <c r="A2369" s="29">
        <v>4091000100</v>
      </c>
      <c r="B2369" s="26" t="s">
        <v>1236</v>
      </c>
      <c r="C2369" s="12" t="s">
        <v>676</v>
      </c>
      <c r="D2369" s="22" t="s">
        <v>1181</v>
      </c>
      <c r="E2369" s="22" t="s">
        <v>406</v>
      </c>
      <c r="F2369" s="10" t="s">
        <v>166</v>
      </c>
      <c r="G2369" s="12"/>
      <c r="H2369" s="53">
        <f>H2368</f>
        <v>8478000</v>
      </c>
      <c r="J2369" s="53"/>
    </row>
    <row r="2370" spans="1:10" s="28" customFormat="1" x14ac:dyDescent="0.25">
      <c r="A2370" s="29">
        <v>4091000102</v>
      </c>
      <c r="B2370" s="26" t="s">
        <v>1237</v>
      </c>
      <c r="C2370" s="12" t="s">
        <v>676</v>
      </c>
      <c r="D2370" s="22" t="s">
        <v>1181</v>
      </c>
      <c r="E2370" s="22" t="s">
        <v>406</v>
      </c>
      <c r="F2370" s="10" t="s">
        <v>167</v>
      </c>
      <c r="G2370" s="12"/>
      <c r="H2370" s="53">
        <f>H2368</f>
        <v>8478000</v>
      </c>
      <c r="J2370" s="53"/>
    </row>
    <row r="2371" spans="1:10" s="28" customFormat="1" x14ac:dyDescent="0.25">
      <c r="A2371" s="27">
        <v>4091000102003</v>
      </c>
      <c r="B2371" s="26" t="s">
        <v>256</v>
      </c>
      <c r="C2371" s="12" t="s">
        <v>676</v>
      </c>
      <c r="D2371" s="22" t="s">
        <v>1181</v>
      </c>
      <c r="E2371" s="22" t="s">
        <v>406</v>
      </c>
      <c r="F2371" s="10" t="s">
        <v>167</v>
      </c>
      <c r="G2371" s="12" t="s">
        <v>539</v>
      </c>
      <c r="H2371" s="53">
        <v>8478000</v>
      </c>
      <c r="J2371" s="53"/>
    </row>
    <row r="2372" spans="1:10" s="28" customFormat="1" x14ac:dyDescent="0.25">
      <c r="A2372" s="27">
        <v>409315</v>
      </c>
      <c r="B2372" s="26" t="s">
        <v>311</v>
      </c>
      <c r="C2372" s="12" t="s">
        <v>676</v>
      </c>
      <c r="D2372" s="22" t="s">
        <v>1181</v>
      </c>
      <c r="E2372" s="22" t="s">
        <v>406</v>
      </c>
      <c r="F2372" s="10" t="s">
        <v>1670</v>
      </c>
      <c r="G2372" s="12"/>
      <c r="H2372" s="53">
        <f>SUM(H2373:H2427)</f>
        <v>26438018</v>
      </c>
      <c r="J2372" s="53"/>
    </row>
    <row r="2373" spans="1:10" s="28" customFormat="1" x14ac:dyDescent="0.25">
      <c r="A2373" s="27">
        <v>409315001</v>
      </c>
      <c r="B2373" s="26" t="s">
        <v>1435</v>
      </c>
      <c r="C2373" s="12" t="s">
        <v>676</v>
      </c>
      <c r="D2373" s="22" t="s">
        <v>1181</v>
      </c>
      <c r="E2373" s="22" t="s">
        <v>406</v>
      </c>
      <c r="F2373" s="232" t="s">
        <v>1670</v>
      </c>
      <c r="G2373" s="12" t="s">
        <v>1394</v>
      </c>
      <c r="H2373" s="230">
        <f>23354803-542991</f>
        <v>22811812</v>
      </c>
      <c r="J2373" s="53"/>
    </row>
    <row r="2374" spans="1:10" s="28" customFormat="1" x14ac:dyDescent="0.25">
      <c r="A2374" s="27">
        <v>409315003</v>
      </c>
      <c r="B2374" s="26" t="s">
        <v>256</v>
      </c>
      <c r="C2374" s="12" t="s">
        <v>676</v>
      </c>
      <c r="D2374" s="22" t="s">
        <v>1181</v>
      </c>
      <c r="E2374" s="22" t="s">
        <v>406</v>
      </c>
      <c r="F2374" s="10" t="s">
        <v>1670</v>
      </c>
      <c r="G2374" s="12" t="s">
        <v>539</v>
      </c>
      <c r="H2374" s="230">
        <f>2063181+542991+449970</f>
        <v>3056142</v>
      </c>
      <c r="I2374" s="72"/>
      <c r="J2374" s="53"/>
    </row>
    <row r="2375" spans="1:10" s="147" customFormat="1" ht="47.25" x14ac:dyDescent="0.25">
      <c r="A2375" s="188">
        <v>40931501701</v>
      </c>
      <c r="B2375" s="38" t="s">
        <v>924</v>
      </c>
      <c r="C2375" s="25" t="s">
        <v>676</v>
      </c>
      <c r="D2375" s="198" t="s">
        <v>1181</v>
      </c>
      <c r="E2375" s="198" t="s">
        <v>406</v>
      </c>
      <c r="F2375" s="11" t="s">
        <v>1670</v>
      </c>
      <c r="G2375" s="25" t="s">
        <v>891</v>
      </c>
      <c r="H2375" s="53">
        <v>52118</v>
      </c>
      <c r="I2375" s="72"/>
    </row>
    <row r="2376" spans="1:10" s="147" customFormat="1" ht="31.5" x14ac:dyDescent="0.25">
      <c r="A2376" s="188">
        <v>40931501702</v>
      </c>
      <c r="B2376" s="38" t="s">
        <v>660</v>
      </c>
      <c r="C2376" s="25" t="s">
        <v>676</v>
      </c>
      <c r="D2376" s="198" t="s">
        <v>1181</v>
      </c>
      <c r="E2376" s="198" t="s">
        <v>406</v>
      </c>
      <c r="F2376" s="11" t="s">
        <v>1670</v>
      </c>
      <c r="G2376" s="25" t="s">
        <v>892</v>
      </c>
      <c r="H2376" s="53">
        <v>72793</v>
      </c>
      <c r="I2376" s="72"/>
    </row>
    <row r="2377" spans="1:10" s="147" customFormat="1" ht="47.25" x14ac:dyDescent="0.25">
      <c r="A2377" s="188">
        <v>40931501703</v>
      </c>
      <c r="B2377" s="38" t="s">
        <v>456</v>
      </c>
      <c r="C2377" s="25" t="s">
        <v>676</v>
      </c>
      <c r="D2377" s="198" t="s">
        <v>1181</v>
      </c>
      <c r="E2377" s="198" t="s">
        <v>406</v>
      </c>
      <c r="F2377" s="11" t="s">
        <v>1670</v>
      </c>
      <c r="G2377" s="25" t="s">
        <v>893</v>
      </c>
      <c r="H2377" s="53">
        <v>1000</v>
      </c>
      <c r="I2377" s="72"/>
    </row>
    <row r="2378" spans="1:10" s="147" customFormat="1" ht="47.25" x14ac:dyDescent="0.25">
      <c r="A2378" s="188">
        <v>40931501704</v>
      </c>
      <c r="B2378" s="38" t="s">
        <v>656</v>
      </c>
      <c r="C2378" s="25" t="s">
        <v>676</v>
      </c>
      <c r="D2378" s="198" t="s">
        <v>1181</v>
      </c>
      <c r="E2378" s="198" t="s">
        <v>406</v>
      </c>
      <c r="F2378" s="11" t="s">
        <v>1670</v>
      </c>
      <c r="G2378" s="25" t="s">
        <v>894</v>
      </c>
      <c r="H2378" s="53">
        <v>16282</v>
      </c>
      <c r="I2378" s="72"/>
    </row>
    <row r="2379" spans="1:10" s="147" customFormat="1" ht="34.5" customHeight="1" x14ac:dyDescent="0.25">
      <c r="A2379" s="188">
        <v>40931501705</v>
      </c>
      <c r="B2379" s="38" t="s">
        <v>829</v>
      </c>
      <c r="C2379" s="25" t="s">
        <v>676</v>
      </c>
      <c r="D2379" s="198" t="s">
        <v>1181</v>
      </c>
      <c r="E2379" s="198" t="s">
        <v>406</v>
      </c>
      <c r="F2379" s="11" t="s">
        <v>1670</v>
      </c>
      <c r="G2379" s="25" t="s">
        <v>1255</v>
      </c>
      <c r="H2379" s="53">
        <v>96540</v>
      </c>
      <c r="I2379" s="72"/>
    </row>
    <row r="2380" spans="1:10" s="147" customFormat="1" ht="47.25" x14ac:dyDescent="0.25">
      <c r="A2380" s="188">
        <v>40931501706</v>
      </c>
      <c r="B2380" s="38" t="s">
        <v>901</v>
      </c>
      <c r="C2380" s="25" t="s">
        <v>676</v>
      </c>
      <c r="D2380" s="198" t="s">
        <v>1181</v>
      </c>
      <c r="E2380" s="198" t="s">
        <v>406</v>
      </c>
      <c r="F2380" s="11" t="s">
        <v>1670</v>
      </c>
      <c r="G2380" s="25" t="s">
        <v>1256</v>
      </c>
      <c r="H2380" s="53">
        <v>19433</v>
      </c>
      <c r="I2380" s="72"/>
    </row>
    <row r="2381" spans="1:10" s="147" customFormat="1" ht="47.25" x14ac:dyDescent="0.25">
      <c r="A2381" s="188">
        <v>40931501707</v>
      </c>
      <c r="B2381" s="38" t="s">
        <v>1586</v>
      </c>
      <c r="C2381" s="25" t="s">
        <v>676</v>
      </c>
      <c r="D2381" s="198" t="s">
        <v>1181</v>
      </c>
      <c r="E2381" s="198" t="s">
        <v>406</v>
      </c>
      <c r="F2381" s="11" t="s">
        <v>1670</v>
      </c>
      <c r="G2381" s="25" t="s">
        <v>1257</v>
      </c>
      <c r="H2381" s="53">
        <v>16815</v>
      </c>
      <c r="I2381" s="72"/>
    </row>
    <row r="2382" spans="1:10" s="147" customFormat="1" ht="31.5" x14ac:dyDescent="0.25">
      <c r="A2382" s="188">
        <v>40931501708</v>
      </c>
      <c r="B2382" s="38" t="s">
        <v>1615</v>
      </c>
      <c r="C2382" s="25" t="s">
        <v>676</v>
      </c>
      <c r="D2382" s="198" t="s">
        <v>1181</v>
      </c>
      <c r="E2382" s="198" t="s">
        <v>406</v>
      </c>
      <c r="F2382" s="11" t="s">
        <v>1670</v>
      </c>
      <c r="G2382" s="25" t="s">
        <v>1258</v>
      </c>
      <c r="H2382" s="53">
        <v>39240</v>
      </c>
      <c r="I2382" s="72"/>
    </row>
    <row r="2383" spans="1:10" s="147" customFormat="1" ht="63" x14ac:dyDescent="0.25">
      <c r="A2383" s="188">
        <v>40931501709</v>
      </c>
      <c r="B2383" s="38" t="s">
        <v>661</v>
      </c>
      <c r="C2383" s="25" t="s">
        <v>676</v>
      </c>
      <c r="D2383" s="198" t="s">
        <v>1181</v>
      </c>
      <c r="E2383" s="198" t="s">
        <v>406</v>
      </c>
      <c r="F2383" s="11" t="s">
        <v>1670</v>
      </c>
      <c r="G2383" s="25" t="s">
        <v>1259</v>
      </c>
      <c r="H2383" s="53">
        <v>34880</v>
      </c>
      <c r="I2383" s="72"/>
    </row>
    <row r="2384" spans="1:10" s="147" customFormat="1" ht="33.75" customHeight="1" x14ac:dyDescent="0.25">
      <c r="A2384" s="188">
        <v>40931501710</v>
      </c>
      <c r="B2384" s="38" t="s">
        <v>116</v>
      </c>
      <c r="C2384" s="25" t="s">
        <v>676</v>
      </c>
      <c r="D2384" s="198" t="s">
        <v>1181</v>
      </c>
      <c r="E2384" s="198" t="s">
        <v>406</v>
      </c>
      <c r="F2384" s="11" t="s">
        <v>1670</v>
      </c>
      <c r="G2384" s="25" t="s">
        <v>1260</v>
      </c>
      <c r="H2384" s="53">
        <v>1000</v>
      </c>
      <c r="I2384" s="72"/>
    </row>
    <row r="2385" spans="1:9" s="147" customFormat="1" ht="31.5" x14ac:dyDescent="0.25">
      <c r="A2385" s="188">
        <v>40931501711</v>
      </c>
      <c r="B2385" s="38" t="s">
        <v>590</v>
      </c>
      <c r="C2385" s="25" t="s">
        <v>676</v>
      </c>
      <c r="D2385" s="198" t="s">
        <v>1181</v>
      </c>
      <c r="E2385" s="198" t="s">
        <v>406</v>
      </c>
      <c r="F2385" s="11" t="s">
        <v>1670</v>
      </c>
      <c r="G2385" s="25" t="s">
        <v>1261</v>
      </c>
      <c r="H2385" s="53">
        <v>1000</v>
      </c>
      <c r="I2385" s="72"/>
    </row>
    <row r="2386" spans="1:9" s="147" customFormat="1" ht="47.25" x14ac:dyDescent="0.25">
      <c r="A2386" s="188">
        <v>40931501712</v>
      </c>
      <c r="B2386" s="38" t="s">
        <v>1527</v>
      </c>
      <c r="C2386" s="25" t="s">
        <v>676</v>
      </c>
      <c r="D2386" s="198" t="s">
        <v>1181</v>
      </c>
      <c r="E2386" s="198" t="s">
        <v>406</v>
      </c>
      <c r="F2386" s="11" t="s">
        <v>1670</v>
      </c>
      <c r="G2386" s="25" t="s">
        <v>1262</v>
      </c>
      <c r="H2386" s="53">
        <v>500</v>
      </c>
      <c r="I2386" s="72"/>
    </row>
    <row r="2387" spans="1:9" s="147" customFormat="1" ht="31.5" x14ac:dyDescent="0.25">
      <c r="A2387" s="188">
        <v>40931501713</v>
      </c>
      <c r="B2387" s="38" t="s">
        <v>1491</v>
      </c>
      <c r="C2387" s="25" t="s">
        <v>676</v>
      </c>
      <c r="D2387" s="198" t="s">
        <v>1181</v>
      </c>
      <c r="E2387" s="198" t="s">
        <v>406</v>
      </c>
      <c r="F2387" s="11" t="s">
        <v>1670</v>
      </c>
      <c r="G2387" s="25" t="s">
        <v>1556</v>
      </c>
      <c r="H2387" s="53">
        <v>500</v>
      </c>
      <c r="I2387" s="72"/>
    </row>
    <row r="2388" spans="1:9" s="147" customFormat="1" ht="63" x14ac:dyDescent="0.25">
      <c r="A2388" s="188">
        <v>40931501714</v>
      </c>
      <c r="B2388" s="38" t="s">
        <v>208</v>
      </c>
      <c r="C2388" s="25" t="s">
        <v>676</v>
      </c>
      <c r="D2388" s="198" t="s">
        <v>1181</v>
      </c>
      <c r="E2388" s="198" t="s">
        <v>406</v>
      </c>
      <c r="F2388" s="11" t="s">
        <v>1670</v>
      </c>
      <c r="G2388" s="25" t="s">
        <v>1557</v>
      </c>
      <c r="H2388" s="53">
        <v>1885</v>
      </c>
      <c r="I2388" s="72"/>
    </row>
    <row r="2389" spans="1:9" s="147" customFormat="1" ht="47.25" x14ac:dyDescent="0.25">
      <c r="A2389" s="188">
        <v>40931501715</v>
      </c>
      <c r="B2389" s="38" t="s">
        <v>857</v>
      </c>
      <c r="C2389" s="25" t="s">
        <v>676</v>
      </c>
      <c r="D2389" s="198" t="s">
        <v>1181</v>
      </c>
      <c r="E2389" s="198" t="s">
        <v>406</v>
      </c>
      <c r="F2389" s="11" t="s">
        <v>1670</v>
      </c>
      <c r="G2389" s="25" t="s">
        <v>1558</v>
      </c>
      <c r="H2389" s="53">
        <v>2413</v>
      </c>
      <c r="I2389" s="72"/>
    </row>
    <row r="2390" spans="1:9" s="147" customFormat="1" ht="59.25" customHeight="1" x14ac:dyDescent="0.25">
      <c r="A2390" s="188">
        <v>40931501716</v>
      </c>
      <c r="B2390" s="38" t="s">
        <v>132</v>
      </c>
      <c r="C2390" s="25" t="s">
        <v>676</v>
      </c>
      <c r="D2390" s="198" t="s">
        <v>1181</v>
      </c>
      <c r="E2390" s="198" t="s">
        <v>406</v>
      </c>
      <c r="F2390" s="11" t="s">
        <v>1670</v>
      </c>
      <c r="G2390" s="25" t="s">
        <v>1559</v>
      </c>
      <c r="H2390" s="53">
        <v>16181</v>
      </c>
      <c r="I2390" s="72"/>
    </row>
    <row r="2391" spans="1:9" s="147" customFormat="1" ht="47.25" x14ac:dyDescent="0.25">
      <c r="A2391" s="188">
        <v>40931501717</v>
      </c>
      <c r="B2391" s="38" t="s">
        <v>633</v>
      </c>
      <c r="C2391" s="25" t="s">
        <v>676</v>
      </c>
      <c r="D2391" s="198" t="s">
        <v>1181</v>
      </c>
      <c r="E2391" s="198" t="s">
        <v>406</v>
      </c>
      <c r="F2391" s="11" t="s">
        <v>1670</v>
      </c>
      <c r="G2391" s="25" t="s">
        <v>1560</v>
      </c>
      <c r="H2391" s="53">
        <v>1807</v>
      </c>
      <c r="I2391" s="72"/>
    </row>
    <row r="2392" spans="1:9" s="147" customFormat="1" ht="47.25" x14ac:dyDescent="0.25">
      <c r="A2392" s="188">
        <v>40931501718</v>
      </c>
      <c r="B2392" s="38" t="s">
        <v>1186</v>
      </c>
      <c r="C2392" s="25" t="s">
        <v>676</v>
      </c>
      <c r="D2392" s="198" t="s">
        <v>1181</v>
      </c>
      <c r="E2392" s="198" t="s">
        <v>406</v>
      </c>
      <c r="F2392" s="11" t="s">
        <v>1670</v>
      </c>
      <c r="G2392" s="25" t="s">
        <v>1561</v>
      </c>
      <c r="H2392" s="53">
        <v>8973</v>
      </c>
      <c r="I2392" s="72"/>
    </row>
    <row r="2393" spans="1:9" s="147" customFormat="1" ht="47.25" x14ac:dyDescent="0.25">
      <c r="A2393" s="188">
        <v>40931501719</v>
      </c>
      <c r="B2393" s="38" t="s">
        <v>1151</v>
      </c>
      <c r="C2393" s="25" t="s">
        <v>676</v>
      </c>
      <c r="D2393" s="198" t="s">
        <v>1181</v>
      </c>
      <c r="E2393" s="198" t="s">
        <v>406</v>
      </c>
      <c r="F2393" s="11" t="s">
        <v>1670</v>
      </c>
      <c r="G2393" s="25" t="s">
        <v>506</v>
      </c>
      <c r="H2393" s="53">
        <v>22392</v>
      </c>
      <c r="I2393" s="72"/>
    </row>
    <row r="2394" spans="1:9" s="147" customFormat="1" ht="47.25" x14ac:dyDescent="0.25">
      <c r="A2394" s="188">
        <v>40931501720</v>
      </c>
      <c r="B2394" s="38" t="s">
        <v>176</v>
      </c>
      <c r="C2394" s="25" t="s">
        <v>676</v>
      </c>
      <c r="D2394" s="198" t="s">
        <v>1181</v>
      </c>
      <c r="E2394" s="198" t="s">
        <v>406</v>
      </c>
      <c r="F2394" s="11" t="s">
        <v>1670</v>
      </c>
      <c r="G2394" s="25" t="s">
        <v>507</v>
      </c>
      <c r="H2394" s="53">
        <v>13944</v>
      </c>
      <c r="I2394" s="72"/>
    </row>
    <row r="2395" spans="1:9" s="147" customFormat="1" ht="63" x14ac:dyDescent="0.25">
      <c r="A2395" s="188">
        <v>40931501721</v>
      </c>
      <c r="B2395" s="38" t="s">
        <v>1750</v>
      </c>
      <c r="C2395" s="25" t="s">
        <v>676</v>
      </c>
      <c r="D2395" s="198" t="s">
        <v>1181</v>
      </c>
      <c r="E2395" s="198" t="s">
        <v>406</v>
      </c>
      <c r="F2395" s="11" t="s">
        <v>1670</v>
      </c>
      <c r="G2395" s="25" t="s">
        <v>1101</v>
      </c>
      <c r="H2395" s="53">
        <v>10527</v>
      </c>
      <c r="I2395" s="72"/>
    </row>
    <row r="2396" spans="1:9" s="147" customFormat="1" ht="47.25" x14ac:dyDescent="0.25">
      <c r="A2396" s="188">
        <v>40931501722</v>
      </c>
      <c r="B2396" s="38" t="s">
        <v>1475</v>
      </c>
      <c r="C2396" s="25" t="s">
        <v>676</v>
      </c>
      <c r="D2396" s="198" t="s">
        <v>1181</v>
      </c>
      <c r="E2396" s="198" t="s">
        <v>406</v>
      </c>
      <c r="F2396" s="11" t="s">
        <v>1670</v>
      </c>
      <c r="G2396" s="25" t="s">
        <v>1102</v>
      </c>
      <c r="H2396" s="53">
        <v>3293</v>
      </c>
      <c r="I2396" s="72"/>
    </row>
    <row r="2397" spans="1:9" s="147" customFormat="1" ht="47.25" x14ac:dyDescent="0.25">
      <c r="A2397" s="188">
        <v>40931501723</v>
      </c>
      <c r="B2397" s="38" t="s">
        <v>1681</v>
      </c>
      <c r="C2397" s="25" t="s">
        <v>676</v>
      </c>
      <c r="D2397" s="198" t="s">
        <v>1181</v>
      </c>
      <c r="E2397" s="198" t="s">
        <v>406</v>
      </c>
      <c r="F2397" s="11" t="s">
        <v>1670</v>
      </c>
      <c r="G2397" s="25" t="s">
        <v>1103</v>
      </c>
      <c r="H2397" s="53">
        <v>2208</v>
      </c>
      <c r="I2397" s="72"/>
    </row>
    <row r="2398" spans="1:9" s="147" customFormat="1" ht="63" x14ac:dyDescent="0.25">
      <c r="A2398" s="188">
        <v>40931501724</v>
      </c>
      <c r="B2398" s="38" t="s">
        <v>722</v>
      </c>
      <c r="C2398" s="25" t="s">
        <v>676</v>
      </c>
      <c r="D2398" s="198" t="s">
        <v>1181</v>
      </c>
      <c r="E2398" s="198" t="s">
        <v>406</v>
      </c>
      <c r="F2398" s="11" t="s">
        <v>1670</v>
      </c>
      <c r="G2398" s="25" t="s">
        <v>1104</v>
      </c>
      <c r="H2398" s="53">
        <v>4598</v>
      </c>
      <c r="I2398" s="72"/>
    </row>
    <row r="2399" spans="1:9" s="147" customFormat="1" ht="31.5" x14ac:dyDescent="0.25">
      <c r="A2399" s="188">
        <v>40931501725</v>
      </c>
      <c r="B2399" s="38" t="s">
        <v>694</v>
      </c>
      <c r="C2399" s="25" t="s">
        <v>676</v>
      </c>
      <c r="D2399" s="198" t="s">
        <v>1181</v>
      </c>
      <c r="E2399" s="198" t="s">
        <v>406</v>
      </c>
      <c r="F2399" s="11" t="s">
        <v>1670</v>
      </c>
      <c r="G2399" s="25" t="s">
        <v>1105</v>
      </c>
      <c r="H2399" s="53">
        <v>7578</v>
      </c>
      <c r="I2399" s="72"/>
    </row>
    <row r="2400" spans="1:9" s="147" customFormat="1" ht="31.5" x14ac:dyDescent="0.25">
      <c r="A2400" s="188">
        <v>40931501726</v>
      </c>
      <c r="B2400" s="38" t="s">
        <v>875</v>
      </c>
      <c r="C2400" s="25" t="s">
        <v>676</v>
      </c>
      <c r="D2400" s="198" t="s">
        <v>1181</v>
      </c>
      <c r="E2400" s="198" t="s">
        <v>406</v>
      </c>
      <c r="F2400" s="11" t="s">
        <v>1670</v>
      </c>
      <c r="G2400" s="25" t="s">
        <v>1106</v>
      </c>
      <c r="H2400" s="53">
        <v>3961</v>
      </c>
      <c r="I2400" s="72"/>
    </row>
    <row r="2401" spans="1:9" s="147" customFormat="1" ht="47.25" x14ac:dyDescent="0.25">
      <c r="A2401" s="188">
        <v>40931501727</v>
      </c>
      <c r="B2401" s="38" t="s">
        <v>109</v>
      </c>
      <c r="C2401" s="25" t="s">
        <v>676</v>
      </c>
      <c r="D2401" s="198" t="s">
        <v>1181</v>
      </c>
      <c r="E2401" s="198" t="s">
        <v>406</v>
      </c>
      <c r="F2401" s="11" t="s">
        <v>1670</v>
      </c>
      <c r="G2401" s="25" t="s">
        <v>1107</v>
      </c>
      <c r="H2401" s="53">
        <v>2639</v>
      </c>
      <c r="I2401" s="72"/>
    </row>
    <row r="2402" spans="1:9" s="147" customFormat="1" ht="33" customHeight="1" x14ac:dyDescent="0.25">
      <c r="A2402" s="188">
        <v>40931501728</v>
      </c>
      <c r="B2402" s="38" t="s">
        <v>1126</v>
      </c>
      <c r="C2402" s="25" t="s">
        <v>676</v>
      </c>
      <c r="D2402" s="198" t="s">
        <v>1181</v>
      </c>
      <c r="E2402" s="198" t="s">
        <v>406</v>
      </c>
      <c r="F2402" s="11" t="s">
        <v>1670</v>
      </c>
      <c r="G2402" s="25" t="s">
        <v>1108</v>
      </c>
      <c r="H2402" s="53">
        <v>4200</v>
      </c>
      <c r="I2402" s="72"/>
    </row>
    <row r="2403" spans="1:9" s="147" customFormat="1" ht="47.25" x14ac:dyDescent="0.25">
      <c r="A2403" s="188">
        <v>40931501729</v>
      </c>
      <c r="B2403" s="38" t="s">
        <v>534</v>
      </c>
      <c r="C2403" s="25" t="s">
        <v>676</v>
      </c>
      <c r="D2403" s="198" t="s">
        <v>1181</v>
      </c>
      <c r="E2403" s="198" t="s">
        <v>406</v>
      </c>
      <c r="F2403" s="11" t="s">
        <v>1670</v>
      </c>
      <c r="G2403" s="25" t="s">
        <v>1109</v>
      </c>
      <c r="H2403" s="53">
        <v>10010</v>
      </c>
      <c r="I2403" s="72"/>
    </row>
    <row r="2404" spans="1:9" s="147" customFormat="1" ht="47.25" x14ac:dyDescent="0.25">
      <c r="A2404" s="188">
        <v>40931501730</v>
      </c>
      <c r="B2404" s="38" t="s">
        <v>180</v>
      </c>
      <c r="C2404" s="25" t="s">
        <v>676</v>
      </c>
      <c r="D2404" s="198" t="s">
        <v>1181</v>
      </c>
      <c r="E2404" s="198" t="s">
        <v>406</v>
      </c>
      <c r="F2404" s="11" t="s">
        <v>1670</v>
      </c>
      <c r="G2404" s="25" t="s">
        <v>1110</v>
      </c>
      <c r="H2404" s="53">
        <v>8170</v>
      </c>
      <c r="I2404" s="72"/>
    </row>
    <row r="2405" spans="1:9" s="147" customFormat="1" ht="63" x14ac:dyDescent="0.25">
      <c r="A2405" s="188">
        <v>40931501731</v>
      </c>
      <c r="B2405" s="38" t="s">
        <v>596</v>
      </c>
      <c r="C2405" s="25" t="s">
        <v>676</v>
      </c>
      <c r="D2405" s="198" t="s">
        <v>1181</v>
      </c>
      <c r="E2405" s="198" t="s">
        <v>406</v>
      </c>
      <c r="F2405" s="11" t="s">
        <v>1670</v>
      </c>
      <c r="G2405" s="25" t="s">
        <v>1111</v>
      </c>
      <c r="H2405" s="53">
        <v>2508</v>
      </c>
      <c r="I2405" s="72"/>
    </row>
    <row r="2406" spans="1:9" s="147" customFormat="1" ht="29.25" customHeight="1" x14ac:dyDescent="0.25">
      <c r="A2406" s="188">
        <v>40931501732</v>
      </c>
      <c r="B2406" s="38" t="s">
        <v>902</v>
      </c>
      <c r="C2406" s="25" t="s">
        <v>676</v>
      </c>
      <c r="D2406" s="198" t="s">
        <v>1181</v>
      </c>
      <c r="E2406" s="198" t="s">
        <v>406</v>
      </c>
      <c r="F2406" s="11" t="s">
        <v>1670</v>
      </c>
      <c r="G2406" s="25" t="s">
        <v>1112</v>
      </c>
      <c r="H2406" s="53">
        <v>4103</v>
      </c>
      <c r="I2406" s="72"/>
    </row>
    <row r="2407" spans="1:9" s="147" customFormat="1" ht="31.5" x14ac:dyDescent="0.25">
      <c r="A2407" s="188">
        <v>40931501733</v>
      </c>
      <c r="B2407" s="38" t="s">
        <v>323</v>
      </c>
      <c r="C2407" s="25" t="s">
        <v>676</v>
      </c>
      <c r="D2407" s="198" t="s">
        <v>1181</v>
      </c>
      <c r="E2407" s="198" t="s">
        <v>406</v>
      </c>
      <c r="F2407" s="11" t="s">
        <v>1670</v>
      </c>
      <c r="G2407" s="25" t="s">
        <v>1113</v>
      </c>
      <c r="H2407" s="53">
        <v>8057</v>
      </c>
      <c r="I2407" s="72"/>
    </row>
    <row r="2408" spans="1:9" s="147" customFormat="1" ht="47.25" x14ac:dyDescent="0.25">
      <c r="A2408" s="188">
        <v>40931501734</v>
      </c>
      <c r="B2408" s="38" t="s">
        <v>324</v>
      </c>
      <c r="C2408" s="25" t="s">
        <v>676</v>
      </c>
      <c r="D2408" s="198" t="s">
        <v>1181</v>
      </c>
      <c r="E2408" s="198" t="s">
        <v>406</v>
      </c>
      <c r="F2408" s="11" t="s">
        <v>1670</v>
      </c>
      <c r="G2408" s="25" t="s">
        <v>1114</v>
      </c>
      <c r="H2408" s="53">
        <v>22227</v>
      </c>
      <c r="I2408" s="72"/>
    </row>
    <row r="2409" spans="1:9" s="147" customFormat="1" ht="64.5" customHeight="1" x14ac:dyDescent="0.25">
      <c r="A2409" s="188">
        <v>40931501735</v>
      </c>
      <c r="B2409" s="38" t="s">
        <v>683</v>
      </c>
      <c r="C2409" s="25" t="s">
        <v>676</v>
      </c>
      <c r="D2409" s="198" t="s">
        <v>1181</v>
      </c>
      <c r="E2409" s="198" t="s">
        <v>406</v>
      </c>
      <c r="F2409" s="11" t="s">
        <v>1670</v>
      </c>
      <c r="G2409" s="25" t="s">
        <v>1115</v>
      </c>
      <c r="H2409" s="53">
        <v>4354</v>
      </c>
      <c r="I2409" s="72"/>
    </row>
    <row r="2410" spans="1:9" s="147" customFormat="1" ht="31.5" x14ac:dyDescent="0.25">
      <c r="A2410" s="188">
        <v>40931501736</v>
      </c>
      <c r="B2410" s="38" t="s">
        <v>588</v>
      </c>
      <c r="C2410" s="25" t="s">
        <v>676</v>
      </c>
      <c r="D2410" s="198" t="s">
        <v>1181</v>
      </c>
      <c r="E2410" s="198" t="s">
        <v>406</v>
      </c>
      <c r="F2410" s="11" t="s">
        <v>1670</v>
      </c>
      <c r="G2410" s="25" t="s">
        <v>1116</v>
      </c>
      <c r="H2410" s="53">
        <v>14816</v>
      </c>
      <c r="I2410" s="72"/>
    </row>
    <row r="2411" spans="1:9" s="147" customFormat="1" ht="47.25" x14ac:dyDescent="0.25">
      <c r="A2411" s="188">
        <v>40931501737</v>
      </c>
      <c r="B2411" s="38" t="s">
        <v>1515</v>
      </c>
      <c r="C2411" s="25" t="s">
        <v>676</v>
      </c>
      <c r="D2411" s="198" t="s">
        <v>1181</v>
      </c>
      <c r="E2411" s="198" t="s">
        <v>406</v>
      </c>
      <c r="F2411" s="11" t="s">
        <v>1670</v>
      </c>
      <c r="G2411" s="25" t="s">
        <v>1117</v>
      </c>
      <c r="H2411" s="53">
        <v>8978</v>
      </c>
      <c r="I2411" s="72"/>
    </row>
    <row r="2412" spans="1:9" s="147" customFormat="1" ht="31.5" x14ac:dyDescent="0.25">
      <c r="A2412" s="188">
        <v>40931501738</v>
      </c>
      <c r="B2412" s="38" t="s">
        <v>182</v>
      </c>
      <c r="C2412" s="25" t="s">
        <v>676</v>
      </c>
      <c r="D2412" s="198" t="s">
        <v>1181</v>
      </c>
      <c r="E2412" s="198" t="s">
        <v>406</v>
      </c>
      <c r="F2412" s="11" t="s">
        <v>1670</v>
      </c>
      <c r="G2412" s="25" t="s">
        <v>1118</v>
      </c>
      <c r="H2412" s="53">
        <v>3876</v>
      </c>
      <c r="I2412" s="72"/>
    </row>
    <row r="2413" spans="1:9" s="147" customFormat="1" ht="31.5" x14ac:dyDescent="0.25">
      <c r="A2413" s="188">
        <v>40931501739</v>
      </c>
      <c r="B2413" s="38" t="s">
        <v>326</v>
      </c>
      <c r="C2413" s="25" t="s">
        <v>676</v>
      </c>
      <c r="D2413" s="198" t="s">
        <v>1181</v>
      </c>
      <c r="E2413" s="198" t="s">
        <v>406</v>
      </c>
      <c r="F2413" s="11" t="s">
        <v>1670</v>
      </c>
      <c r="G2413" s="25" t="s">
        <v>498</v>
      </c>
      <c r="H2413" s="53">
        <v>2915</v>
      </c>
      <c r="I2413" s="72"/>
    </row>
    <row r="2414" spans="1:9" s="147" customFormat="1" ht="38.25" customHeight="1" x14ac:dyDescent="0.25">
      <c r="A2414" s="188">
        <v>40931501740</v>
      </c>
      <c r="B2414" s="38" t="s">
        <v>1531</v>
      </c>
      <c r="C2414" s="25" t="s">
        <v>676</v>
      </c>
      <c r="D2414" s="198" t="s">
        <v>1181</v>
      </c>
      <c r="E2414" s="198" t="s">
        <v>406</v>
      </c>
      <c r="F2414" s="11" t="s">
        <v>1670</v>
      </c>
      <c r="G2414" s="25" t="s">
        <v>499</v>
      </c>
      <c r="H2414" s="53">
        <v>1565</v>
      </c>
      <c r="I2414" s="72"/>
    </row>
    <row r="2415" spans="1:9" s="147" customFormat="1" ht="48" customHeight="1" x14ac:dyDescent="0.25">
      <c r="A2415" s="188">
        <v>40931501741</v>
      </c>
      <c r="B2415" s="38" t="s">
        <v>977</v>
      </c>
      <c r="C2415" s="25" t="s">
        <v>676</v>
      </c>
      <c r="D2415" s="198" t="s">
        <v>1181</v>
      </c>
      <c r="E2415" s="198" t="s">
        <v>406</v>
      </c>
      <c r="F2415" s="11" t="s">
        <v>1670</v>
      </c>
      <c r="G2415" s="25" t="s">
        <v>545</v>
      </c>
      <c r="H2415" s="53">
        <v>4478</v>
      </c>
      <c r="I2415" s="72"/>
    </row>
    <row r="2416" spans="1:9" s="147" customFormat="1" ht="47.25" x14ac:dyDescent="0.25">
      <c r="A2416" s="188">
        <v>40931501742</v>
      </c>
      <c r="B2416" s="38" t="s">
        <v>814</v>
      </c>
      <c r="C2416" s="25" t="s">
        <v>676</v>
      </c>
      <c r="D2416" s="198" t="s">
        <v>1181</v>
      </c>
      <c r="E2416" s="198" t="s">
        <v>406</v>
      </c>
      <c r="F2416" s="11" t="s">
        <v>1670</v>
      </c>
      <c r="G2416" s="25" t="s">
        <v>987</v>
      </c>
      <c r="H2416" s="53">
        <v>2712</v>
      </c>
      <c r="I2416" s="72"/>
    </row>
    <row r="2417" spans="1:9" s="147" customFormat="1" ht="31.5" x14ac:dyDescent="0.25">
      <c r="A2417" s="188">
        <v>40931501743</v>
      </c>
      <c r="B2417" s="38" t="s">
        <v>695</v>
      </c>
      <c r="C2417" s="25" t="s">
        <v>676</v>
      </c>
      <c r="D2417" s="198" t="s">
        <v>1181</v>
      </c>
      <c r="E2417" s="198" t="s">
        <v>406</v>
      </c>
      <c r="F2417" s="11" t="s">
        <v>1670</v>
      </c>
      <c r="G2417" s="25" t="s">
        <v>988</v>
      </c>
      <c r="H2417" s="53">
        <v>1000</v>
      </c>
      <c r="I2417" s="72"/>
    </row>
    <row r="2418" spans="1:9" s="147" customFormat="1" ht="63" x14ac:dyDescent="0.25">
      <c r="A2418" s="188">
        <v>40931501744</v>
      </c>
      <c r="B2418" s="38" t="s">
        <v>154</v>
      </c>
      <c r="C2418" s="25" t="s">
        <v>676</v>
      </c>
      <c r="D2418" s="198" t="s">
        <v>1181</v>
      </c>
      <c r="E2418" s="198" t="s">
        <v>406</v>
      </c>
      <c r="F2418" s="11" t="s">
        <v>1670</v>
      </c>
      <c r="G2418" s="25" t="s">
        <v>989</v>
      </c>
      <c r="H2418" s="53">
        <v>1095</v>
      </c>
      <c r="I2418" s="72"/>
    </row>
    <row r="2419" spans="1:9" s="147" customFormat="1" ht="39" customHeight="1" x14ac:dyDescent="0.25">
      <c r="A2419" s="188">
        <v>40931501745</v>
      </c>
      <c r="B2419" s="38" t="s">
        <v>1547</v>
      </c>
      <c r="C2419" s="25" t="s">
        <v>676</v>
      </c>
      <c r="D2419" s="198" t="s">
        <v>1181</v>
      </c>
      <c r="E2419" s="198" t="s">
        <v>406</v>
      </c>
      <c r="F2419" s="11" t="s">
        <v>1670</v>
      </c>
      <c r="G2419" s="25" t="s">
        <v>990</v>
      </c>
      <c r="H2419" s="53">
        <v>1000</v>
      </c>
      <c r="I2419" s="72"/>
    </row>
    <row r="2420" spans="1:9" s="147" customFormat="1" ht="47.25" x14ac:dyDescent="0.25">
      <c r="A2420" s="188">
        <v>40931501746</v>
      </c>
      <c r="B2420" s="38" t="s">
        <v>1264</v>
      </c>
      <c r="C2420" s="25" t="s">
        <v>676</v>
      </c>
      <c r="D2420" s="198" t="s">
        <v>1181</v>
      </c>
      <c r="E2420" s="198" t="s">
        <v>406</v>
      </c>
      <c r="F2420" s="11" t="s">
        <v>1670</v>
      </c>
      <c r="G2420" s="25" t="s">
        <v>991</v>
      </c>
      <c r="H2420" s="53">
        <v>1000</v>
      </c>
      <c r="I2420" s="72"/>
    </row>
    <row r="2421" spans="1:9" s="147" customFormat="1" ht="31.5" x14ac:dyDescent="0.25">
      <c r="A2421" s="188">
        <v>40931501747</v>
      </c>
      <c r="B2421" s="38" t="s">
        <v>561</v>
      </c>
      <c r="C2421" s="25" t="s">
        <v>676</v>
      </c>
      <c r="D2421" s="198" t="s">
        <v>1181</v>
      </c>
      <c r="E2421" s="198" t="s">
        <v>406</v>
      </c>
      <c r="F2421" s="11" t="s">
        <v>1670</v>
      </c>
      <c r="G2421" s="25" t="s">
        <v>992</v>
      </c>
      <c r="H2421" s="53">
        <v>1000</v>
      </c>
      <c r="I2421" s="72"/>
    </row>
    <row r="2422" spans="1:9" s="147" customFormat="1" ht="63" x14ac:dyDescent="0.25">
      <c r="A2422" s="188">
        <v>40931501748</v>
      </c>
      <c r="B2422" s="38" t="s">
        <v>197</v>
      </c>
      <c r="C2422" s="25" t="s">
        <v>676</v>
      </c>
      <c r="D2422" s="198" t="s">
        <v>1181</v>
      </c>
      <c r="E2422" s="198" t="s">
        <v>406</v>
      </c>
      <c r="F2422" s="11" t="s">
        <v>1670</v>
      </c>
      <c r="G2422" s="25" t="s">
        <v>209</v>
      </c>
      <c r="H2422" s="53">
        <v>4000</v>
      </c>
      <c r="I2422" s="72"/>
    </row>
    <row r="2423" spans="1:9" s="147" customFormat="1" ht="47.25" x14ac:dyDescent="0.25">
      <c r="A2423" s="188">
        <v>40931501749</v>
      </c>
      <c r="B2423" s="38" t="s">
        <v>198</v>
      </c>
      <c r="C2423" s="25" t="s">
        <v>676</v>
      </c>
      <c r="D2423" s="198" t="s">
        <v>1181</v>
      </c>
      <c r="E2423" s="198" t="s">
        <v>406</v>
      </c>
      <c r="F2423" s="11" t="s">
        <v>1670</v>
      </c>
      <c r="G2423" s="25" t="s">
        <v>210</v>
      </c>
      <c r="H2423" s="53">
        <v>1000</v>
      </c>
      <c r="I2423" s="72"/>
    </row>
    <row r="2424" spans="1:9" s="147" customFormat="1" ht="31.5" x14ac:dyDescent="0.25">
      <c r="A2424" s="188">
        <v>40931501750</v>
      </c>
      <c r="B2424" s="38" t="s">
        <v>662</v>
      </c>
      <c r="C2424" s="25" t="s">
        <v>676</v>
      </c>
      <c r="D2424" s="198" t="s">
        <v>1181</v>
      </c>
      <c r="E2424" s="198" t="s">
        <v>406</v>
      </c>
      <c r="F2424" s="11" t="s">
        <v>1670</v>
      </c>
      <c r="G2424" s="25" t="s">
        <v>211</v>
      </c>
      <c r="H2424" s="53">
        <v>500</v>
      </c>
      <c r="I2424" s="72"/>
    </row>
    <row r="2425" spans="1:9" s="147" customFormat="1" ht="47.25" x14ac:dyDescent="0.25">
      <c r="A2425" s="188">
        <v>40931501751</v>
      </c>
      <c r="B2425" s="38" t="s">
        <v>571</v>
      </c>
      <c r="C2425" s="25" t="s">
        <v>676</v>
      </c>
      <c r="D2425" s="198" t="s">
        <v>1181</v>
      </c>
      <c r="E2425" s="198" t="s">
        <v>406</v>
      </c>
      <c r="F2425" s="11" t="s">
        <v>1670</v>
      </c>
      <c r="G2425" s="25" t="s">
        <v>212</v>
      </c>
      <c r="H2425" s="53">
        <v>500</v>
      </c>
      <c r="I2425" s="72"/>
    </row>
    <row r="2426" spans="1:9" s="147" customFormat="1" ht="47.25" x14ac:dyDescent="0.25">
      <c r="A2426" s="188">
        <v>40931501752</v>
      </c>
      <c r="B2426" s="38" t="s">
        <v>735</v>
      </c>
      <c r="C2426" s="25" t="s">
        <v>676</v>
      </c>
      <c r="D2426" s="198" t="s">
        <v>1181</v>
      </c>
      <c r="E2426" s="198" t="s">
        <v>406</v>
      </c>
      <c r="F2426" s="11" t="s">
        <v>1670</v>
      </c>
      <c r="G2426" s="25" t="s">
        <v>213</v>
      </c>
      <c r="H2426" s="53">
        <v>500</v>
      </c>
      <c r="I2426" s="72"/>
    </row>
    <row r="2427" spans="1:9" s="147" customFormat="1" ht="31.5" x14ac:dyDescent="0.25">
      <c r="A2427" s="188">
        <v>40931501753</v>
      </c>
      <c r="B2427" s="38" t="s">
        <v>736</v>
      </c>
      <c r="C2427" s="25" t="s">
        <v>676</v>
      </c>
      <c r="D2427" s="198" t="s">
        <v>1181</v>
      </c>
      <c r="E2427" s="198" t="s">
        <v>406</v>
      </c>
      <c r="F2427" s="11" t="s">
        <v>1670</v>
      </c>
      <c r="G2427" s="25" t="s">
        <v>214</v>
      </c>
      <c r="H2427" s="53">
        <v>1000</v>
      </c>
      <c r="I2427" s="72"/>
    </row>
    <row r="2428" spans="1:9" s="28" customFormat="1" hidden="1" x14ac:dyDescent="0.25">
      <c r="A2428" s="27">
        <v>40931502</v>
      </c>
      <c r="B2428" s="26" t="s">
        <v>1165</v>
      </c>
      <c r="C2428" s="12" t="s">
        <v>676</v>
      </c>
      <c r="D2428" s="22" t="s">
        <v>1181</v>
      </c>
      <c r="E2428" s="22" t="s">
        <v>406</v>
      </c>
      <c r="F2428" s="10" t="s">
        <v>257</v>
      </c>
      <c r="G2428" s="12"/>
      <c r="H2428" s="53">
        <f>H2429</f>
        <v>0</v>
      </c>
    </row>
    <row r="2429" spans="1:9" s="28" customFormat="1" ht="47.25" hidden="1" x14ac:dyDescent="0.25">
      <c r="A2429" s="27">
        <v>4093150201</v>
      </c>
      <c r="B2429" s="26" t="s">
        <v>958</v>
      </c>
      <c r="C2429" s="12" t="s">
        <v>676</v>
      </c>
      <c r="D2429" s="22" t="s">
        <v>1181</v>
      </c>
      <c r="E2429" s="22" t="s">
        <v>406</v>
      </c>
      <c r="F2429" s="10" t="s">
        <v>1166</v>
      </c>
      <c r="G2429" s="12"/>
      <c r="H2429" s="53">
        <f>H2430</f>
        <v>0</v>
      </c>
    </row>
    <row r="2430" spans="1:9" s="28" customFormat="1" hidden="1" x14ac:dyDescent="0.25">
      <c r="A2430" s="27">
        <v>4093150201001</v>
      </c>
      <c r="B2430" s="26" t="s">
        <v>1435</v>
      </c>
      <c r="C2430" s="12" t="s">
        <v>676</v>
      </c>
      <c r="D2430" s="22" t="s">
        <v>1181</v>
      </c>
      <c r="E2430" s="22" t="s">
        <v>406</v>
      </c>
      <c r="F2430" s="10" t="s">
        <v>1166</v>
      </c>
      <c r="G2430" s="12" t="s">
        <v>1394</v>
      </c>
      <c r="H2430" s="230">
        <f>449970-449970</f>
        <v>0</v>
      </c>
    </row>
    <row r="2431" spans="1:9" s="28" customFormat="1" ht="15.75" customHeight="1" x14ac:dyDescent="0.25">
      <c r="A2431" s="27">
        <v>409522</v>
      </c>
      <c r="B2431" s="26" t="s">
        <v>153</v>
      </c>
      <c r="C2431" s="12" t="s">
        <v>676</v>
      </c>
      <c r="D2431" s="22" t="s">
        <v>1181</v>
      </c>
      <c r="E2431" s="22" t="s">
        <v>406</v>
      </c>
      <c r="F2431" s="10" t="s">
        <v>611</v>
      </c>
      <c r="G2431" s="12"/>
      <c r="H2431" s="53">
        <f>H2432+H2448</f>
        <v>100500</v>
      </c>
    </row>
    <row r="2432" spans="1:9" s="28" customFormat="1" ht="31.5" hidden="1" x14ac:dyDescent="0.25">
      <c r="A2432" s="195">
        <v>40852203</v>
      </c>
      <c r="B2432" s="26" t="s">
        <v>52</v>
      </c>
      <c r="C2432" s="12" t="s">
        <v>676</v>
      </c>
      <c r="D2432" s="22" t="s">
        <v>1181</v>
      </c>
      <c r="E2432" s="22" t="s">
        <v>406</v>
      </c>
      <c r="F2432" s="10" t="s">
        <v>365</v>
      </c>
      <c r="G2432" s="12"/>
      <c r="H2432" s="53">
        <f>H2433+H2438+H2442+H2445</f>
        <v>0</v>
      </c>
    </row>
    <row r="2433" spans="1:9" s="28" customFormat="1" ht="63" hidden="1" x14ac:dyDescent="0.25">
      <c r="A2433" s="195">
        <v>4085220301</v>
      </c>
      <c r="B2433" s="26" t="s">
        <v>1550</v>
      </c>
      <c r="C2433" s="12" t="s">
        <v>676</v>
      </c>
      <c r="D2433" s="22" t="s">
        <v>1181</v>
      </c>
      <c r="E2433" s="22" t="s">
        <v>406</v>
      </c>
      <c r="F2433" s="10" t="s">
        <v>53</v>
      </c>
      <c r="G2433" s="12"/>
      <c r="H2433" s="53">
        <f>SUM(H2434:H2437)</f>
        <v>0</v>
      </c>
    </row>
    <row r="2434" spans="1:9" s="28" customFormat="1" ht="15.75" hidden="1" customHeight="1" x14ac:dyDescent="0.25">
      <c r="A2434" s="195">
        <v>4085220301213</v>
      </c>
      <c r="B2434" s="26" t="s">
        <v>623</v>
      </c>
      <c r="C2434" s="12" t="s">
        <v>676</v>
      </c>
      <c r="D2434" s="22" t="s">
        <v>1181</v>
      </c>
      <c r="E2434" s="22" t="s">
        <v>406</v>
      </c>
      <c r="F2434" s="10" t="s">
        <v>53</v>
      </c>
      <c r="G2434" s="12">
        <v>213</v>
      </c>
      <c r="H2434" s="53"/>
      <c r="I2434" s="43"/>
    </row>
    <row r="2435" spans="1:9" s="28" customFormat="1" ht="15.75" hidden="1" customHeight="1" x14ac:dyDescent="0.25">
      <c r="A2435" s="195">
        <v>4085220301327</v>
      </c>
      <c r="B2435" s="26" t="s">
        <v>624</v>
      </c>
      <c r="C2435" s="12" t="s">
        <v>676</v>
      </c>
      <c r="D2435" s="22" t="s">
        <v>1181</v>
      </c>
      <c r="E2435" s="22" t="s">
        <v>406</v>
      </c>
      <c r="F2435" s="10" t="s">
        <v>53</v>
      </c>
      <c r="G2435" s="12">
        <v>327</v>
      </c>
      <c r="H2435" s="53"/>
      <c r="I2435" s="43"/>
    </row>
    <row r="2436" spans="1:9" s="28" customFormat="1" ht="15.75" hidden="1" customHeight="1" x14ac:dyDescent="0.25">
      <c r="A2436" s="195">
        <v>4085220301365</v>
      </c>
      <c r="B2436" s="26" t="s">
        <v>218</v>
      </c>
      <c r="C2436" s="12" t="s">
        <v>676</v>
      </c>
      <c r="D2436" s="22" t="s">
        <v>1181</v>
      </c>
      <c r="E2436" s="22" t="s">
        <v>406</v>
      </c>
      <c r="F2436" s="10" t="s">
        <v>53</v>
      </c>
      <c r="G2436" s="12">
        <v>365</v>
      </c>
      <c r="H2436" s="53"/>
      <c r="I2436" s="43"/>
    </row>
    <row r="2437" spans="1:9" s="28" customFormat="1" ht="47.25" hidden="1" x14ac:dyDescent="0.25">
      <c r="A2437" s="195">
        <v>4085220301593</v>
      </c>
      <c r="B2437" s="26" t="s">
        <v>215</v>
      </c>
      <c r="C2437" s="12" t="s">
        <v>676</v>
      </c>
      <c r="D2437" s="22" t="s">
        <v>1181</v>
      </c>
      <c r="E2437" s="22" t="s">
        <v>406</v>
      </c>
      <c r="F2437" s="10" t="s">
        <v>53</v>
      </c>
      <c r="G2437" s="12">
        <v>593</v>
      </c>
      <c r="H2437" s="53"/>
      <c r="I2437" s="43"/>
    </row>
    <row r="2438" spans="1:9" s="28" customFormat="1" ht="78.75" hidden="1" x14ac:dyDescent="0.25">
      <c r="A2438" s="195">
        <v>4085220302</v>
      </c>
      <c r="B2438" s="26" t="s">
        <v>348</v>
      </c>
      <c r="C2438" s="12" t="s">
        <v>676</v>
      </c>
      <c r="D2438" s="22" t="s">
        <v>1181</v>
      </c>
      <c r="E2438" s="22" t="s">
        <v>406</v>
      </c>
      <c r="F2438" s="10" t="s">
        <v>54</v>
      </c>
      <c r="G2438" s="12"/>
      <c r="H2438" s="53">
        <f>H2439+H2440+H2441</f>
        <v>0</v>
      </c>
    </row>
    <row r="2439" spans="1:9" s="28" customFormat="1" ht="15.75" hidden="1" customHeight="1" x14ac:dyDescent="0.25">
      <c r="A2439" s="195">
        <v>4085220302213</v>
      </c>
      <c r="B2439" s="26" t="s">
        <v>623</v>
      </c>
      <c r="C2439" s="12" t="s">
        <v>676</v>
      </c>
      <c r="D2439" s="22" t="s">
        <v>1181</v>
      </c>
      <c r="E2439" s="22" t="s">
        <v>406</v>
      </c>
      <c r="F2439" s="10" t="s">
        <v>54</v>
      </c>
      <c r="G2439" s="12">
        <v>213</v>
      </c>
      <c r="H2439" s="53"/>
    </row>
    <row r="2440" spans="1:9" s="28" customFormat="1" ht="15.75" hidden="1" customHeight="1" x14ac:dyDescent="0.25">
      <c r="A2440" s="195">
        <v>4085220302327</v>
      </c>
      <c r="B2440" s="26" t="s">
        <v>624</v>
      </c>
      <c r="C2440" s="12" t="s">
        <v>676</v>
      </c>
      <c r="D2440" s="22" t="s">
        <v>1181</v>
      </c>
      <c r="E2440" s="22" t="s">
        <v>406</v>
      </c>
      <c r="F2440" s="10" t="s">
        <v>54</v>
      </c>
      <c r="G2440" s="12">
        <v>327</v>
      </c>
      <c r="H2440" s="53"/>
    </row>
    <row r="2441" spans="1:9" s="28" customFormat="1" ht="15.75" hidden="1" customHeight="1" x14ac:dyDescent="0.25">
      <c r="A2441" s="195">
        <v>4085220302365</v>
      </c>
      <c r="B2441" s="26" t="s">
        <v>218</v>
      </c>
      <c r="C2441" s="12" t="s">
        <v>676</v>
      </c>
      <c r="D2441" s="22" t="s">
        <v>1181</v>
      </c>
      <c r="E2441" s="22" t="s">
        <v>406</v>
      </c>
      <c r="F2441" s="10" t="s">
        <v>54</v>
      </c>
      <c r="G2441" s="12">
        <v>365</v>
      </c>
      <c r="H2441" s="53"/>
    </row>
    <row r="2442" spans="1:9" s="28" customFormat="1" ht="63" hidden="1" x14ac:dyDescent="0.25">
      <c r="A2442" s="195">
        <v>4085220303</v>
      </c>
      <c r="B2442" s="26" t="s">
        <v>603</v>
      </c>
      <c r="C2442" s="12" t="s">
        <v>676</v>
      </c>
      <c r="D2442" s="22" t="s">
        <v>1181</v>
      </c>
      <c r="E2442" s="22" t="s">
        <v>406</v>
      </c>
      <c r="F2442" s="10" t="s">
        <v>55</v>
      </c>
      <c r="G2442" s="12"/>
      <c r="H2442" s="53">
        <f>H2443+H2444</f>
        <v>0</v>
      </c>
    </row>
    <row r="2443" spans="1:9" s="28" customFormat="1" ht="15.75" hidden="1" customHeight="1" x14ac:dyDescent="0.25">
      <c r="A2443" s="195">
        <v>4085220303213</v>
      </c>
      <c r="B2443" s="26" t="s">
        <v>623</v>
      </c>
      <c r="C2443" s="12" t="s">
        <v>676</v>
      </c>
      <c r="D2443" s="22" t="s">
        <v>1181</v>
      </c>
      <c r="E2443" s="22" t="s">
        <v>406</v>
      </c>
      <c r="F2443" s="10" t="s">
        <v>55</v>
      </c>
      <c r="G2443" s="12">
        <v>213</v>
      </c>
      <c r="H2443" s="53"/>
    </row>
    <row r="2444" spans="1:9" s="28" customFormat="1" ht="15.75" hidden="1" customHeight="1" x14ac:dyDescent="0.25">
      <c r="A2444" s="195">
        <v>4085220303365</v>
      </c>
      <c r="B2444" s="26" t="s">
        <v>218</v>
      </c>
      <c r="C2444" s="12" t="s">
        <v>676</v>
      </c>
      <c r="D2444" s="22" t="s">
        <v>1181</v>
      </c>
      <c r="E2444" s="22" t="s">
        <v>406</v>
      </c>
      <c r="F2444" s="10" t="s">
        <v>55</v>
      </c>
      <c r="G2444" s="12">
        <v>365</v>
      </c>
      <c r="H2444" s="53"/>
    </row>
    <row r="2445" spans="1:9" s="69" customFormat="1" ht="63" hidden="1" x14ac:dyDescent="0.25">
      <c r="A2445" s="195">
        <v>4085220304</v>
      </c>
      <c r="B2445" s="26" t="s">
        <v>359</v>
      </c>
      <c r="C2445" s="12" t="s">
        <v>676</v>
      </c>
      <c r="D2445" s="22" t="s">
        <v>1181</v>
      </c>
      <c r="E2445" s="22" t="s">
        <v>406</v>
      </c>
      <c r="F2445" s="10" t="s">
        <v>556</v>
      </c>
      <c r="G2445" s="12"/>
      <c r="H2445" s="53">
        <f>H2446+H2447</f>
        <v>0</v>
      </c>
    </row>
    <row r="2446" spans="1:9" s="69" customFormat="1" ht="15.75" hidden="1" customHeight="1" x14ac:dyDescent="0.25">
      <c r="A2446" s="195">
        <v>4085220304213</v>
      </c>
      <c r="B2446" s="26" t="s">
        <v>623</v>
      </c>
      <c r="C2446" s="12" t="s">
        <v>676</v>
      </c>
      <c r="D2446" s="22" t="s">
        <v>1181</v>
      </c>
      <c r="E2446" s="22" t="s">
        <v>406</v>
      </c>
      <c r="F2446" s="10" t="s">
        <v>556</v>
      </c>
      <c r="G2446" s="12">
        <v>213</v>
      </c>
      <c r="H2446" s="53"/>
    </row>
    <row r="2447" spans="1:9" s="69" customFormat="1" ht="15.75" hidden="1" customHeight="1" x14ac:dyDescent="0.25">
      <c r="A2447" s="195">
        <v>4085220304365</v>
      </c>
      <c r="B2447" s="26" t="s">
        <v>218</v>
      </c>
      <c r="C2447" s="12" t="s">
        <v>676</v>
      </c>
      <c r="D2447" s="22" t="s">
        <v>1181</v>
      </c>
      <c r="E2447" s="22" t="s">
        <v>406</v>
      </c>
      <c r="F2447" s="10" t="s">
        <v>556</v>
      </c>
      <c r="G2447" s="12">
        <v>365</v>
      </c>
      <c r="H2447" s="53"/>
    </row>
    <row r="2448" spans="1:9" s="28" customFormat="1" ht="48" customHeight="1" x14ac:dyDescent="0.25">
      <c r="A2448" s="27">
        <v>40952210</v>
      </c>
      <c r="B2448" s="26" t="s">
        <v>285</v>
      </c>
      <c r="C2448" s="12" t="s">
        <v>676</v>
      </c>
      <c r="D2448" s="6" t="s">
        <v>1181</v>
      </c>
      <c r="E2448" s="22" t="s">
        <v>406</v>
      </c>
      <c r="F2448" s="10" t="s">
        <v>1483</v>
      </c>
      <c r="G2448" s="6"/>
      <c r="H2448" s="53">
        <f>H2449+H2451</f>
        <v>100500</v>
      </c>
    </row>
    <row r="2449" spans="1:8" s="28" customFormat="1" ht="47.25" x14ac:dyDescent="0.25">
      <c r="A2449" s="27">
        <v>4095221002</v>
      </c>
      <c r="B2449" s="26" t="s">
        <v>1307</v>
      </c>
      <c r="C2449" s="12" t="s">
        <v>676</v>
      </c>
      <c r="D2449" s="6" t="s">
        <v>1181</v>
      </c>
      <c r="E2449" s="22" t="s">
        <v>406</v>
      </c>
      <c r="F2449" s="10" t="s">
        <v>1485</v>
      </c>
      <c r="G2449" s="6"/>
      <c r="H2449" s="53">
        <f>H2450</f>
        <v>100500</v>
      </c>
    </row>
    <row r="2450" spans="1:8" s="28" customFormat="1" ht="17.25" customHeight="1" x14ac:dyDescent="0.25">
      <c r="A2450" s="27">
        <v>4095221002001</v>
      </c>
      <c r="B2450" s="26" t="s">
        <v>1435</v>
      </c>
      <c r="C2450" s="12" t="s">
        <v>676</v>
      </c>
      <c r="D2450" s="22" t="s">
        <v>1181</v>
      </c>
      <c r="E2450" s="22" t="s">
        <v>406</v>
      </c>
      <c r="F2450" s="10" t="s">
        <v>1485</v>
      </c>
      <c r="G2450" s="12" t="s">
        <v>1394</v>
      </c>
      <c r="H2450" s="53">
        <v>100500</v>
      </c>
    </row>
    <row r="2451" spans="1:8" s="28" customFormat="1" x14ac:dyDescent="0.25">
      <c r="A2451" s="27"/>
      <c r="B2451" s="26"/>
      <c r="C2451" s="12"/>
      <c r="D2451" s="22"/>
      <c r="E2451" s="22"/>
      <c r="F2451" s="10"/>
      <c r="G2451" s="12"/>
      <c r="H2451" s="53"/>
    </row>
    <row r="2452" spans="1:8" s="28" customFormat="1" ht="35.25" customHeight="1" x14ac:dyDescent="0.25">
      <c r="A2452" s="48">
        <v>0</v>
      </c>
      <c r="B2452" s="30" t="s">
        <v>839</v>
      </c>
      <c r="C2452" s="42" t="s">
        <v>169</v>
      </c>
      <c r="D2452" s="12"/>
      <c r="E2452" s="12"/>
      <c r="F2452" s="10"/>
      <c r="G2452" s="20"/>
      <c r="H2452" s="187">
        <f>H2453</f>
        <v>56894</v>
      </c>
    </row>
    <row r="2453" spans="1:8" s="28" customFormat="1" x14ac:dyDescent="0.25">
      <c r="A2453" s="29">
        <v>1</v>
      </c>
      <c r="B2453" s="35" t="s">
        <v>482</v>
      </c>
      <c r="C2453" s="12" t="s">
        <v>169</v>
      </c>
      <c r="D2453" s="12" t="s">
        <v>566</v>
      </c>
      <c r="E2453" s="10"/>
      <c r="F2453" s="10"/>
      <c r="G2453" s="10"/>
      <c r="H2453" s="53">
        <f>H2454</f>
        <v>56894</v>
      </c>
    </row>
    <row r="2454" spans="1:8" s="28" customFormat="1" x14ac:dyDescent="0.25">
      <c r="A2454" s="29">
        <v>114</v>
      </c>
      <c r="B2454" s="26" t="s">
        <v>287</v>
      </c>
      <c r="C2454" s="12" t="s">
        <v>169</v>
      </c>
      <c r="D2454" s="12" t="s">
        <v>566</v>
      </c>
      <c r="E2454" s="12">
        <v>14</v>
      </c>
      <c r="F2454" s="10"/>
      <c r="G2454" s="10"/>
      <c r="H2454" s="53">
        <f>H2455</f>
        <v>56894</v>
      </c>
    </row>
    <row r="2455" spans="1:8" s="28" customFormat="1" ht="47.25" x14ac:dyDescent="0.25">
      <c r="A2455" s="27">
        <v>114002</v>
      </c>
      <c r="B2455" s="26" t="s">
        <v>1657</v>
      </c>
      <c r="C2455" s="12" t="s">
        <v>169</v>
      </c>
      <c r="D2455" s="12" t="s">
        <v>566</v>
      </c>
      <c r="E2455" s="12">
        <v>14</v>
      </c>
      <c r="F2455" s="12" t="s">
        <v>200</v>
      </c>
      <c r="G2455" s="12"/>
      <c r="H2455" s="53">
        <f>H2456</f>
        <v>56894</v>
      </c>
    </row>
    <row r="2456" spans="1:8" s="28" customFormat="1" x14ac:dyDescent="0.25">
      <c r="A2456" s="27">
        <v>11400204</v>
      </c>
      <c r="B2456" s="26" t="s">
        <v>638</v>
      </c>
      <c r="C2456" s="12" t="s">
        <v>169</v>
      </c>
      <c r="D2456" s="12" t="s">
        <v>566</v>
      </c>
      <c r="E2456" s="12">
        <v>14</v>
      </c>
      <c r="F2456" s="12" t="s">
        <v>797</v>
      </c>
      <c r="G2456" s="12"/>
      <c r="H2456" s="53">
        <f>H2457</f>
        <v>56894</v>
      </c>
    </row>
    <row r="2457" spans="1:8" s="3" customFormat="1" x14ac:dyDescent="0.25">
      <c r="A2457" s="27">
        <v>11400204012</v>
      </c>
      <c r="B2457" s="65" t="s">
        <v>1012</v>
      </c>
      <c r="C2457" s="12" t="s">
        <v>169</v>
      </c>
      <c r="D2457" s="12" t="s">
        <v>566</v>
      </c>
      <c r="E2457" s="12">
        <v>14</v>
      </c>
      <c r="F2457" s="12" t="s">
        <v>797</v>
      </c>
      <c r="G2457" s="12" t="s">
        <v>1224</v>
      </c>
      <c r="H2457" s="53">
        <v>56894</v>
      </c>
    </row>
    <row r="2458" spans="1:8" s="28" customFormat="1" x14ac:dyDescent="0.25">
      <c r="A2458" s="27"/>
      <c r="B2458" s="26"/>
      <c r="C2458" s="12"/>
      <c r="D2458" s="22"/>
      <c r="E2458" s="22"/>
      <c r="F2458" s="10"/>
      <c r="G2458" s="12"/>
      <c r="H2458" s="53"/>
    </row>
    <row r="2459" spans="1:8" s="3" customFormat="1" ht="34.5" customHeight="1" x14ac:dyDescent="0.25">
      <c r="A2459" s="40">
        <v>0</v>
      </c>
      <c r="B2459" s="30" t="s">
        <v>366</v>
      </c>
      <c r="C2459" s="42" t="s">
        <v>938</v>
      </c>
      <c r="D2459" s="31"/>
      <c r="E2459" s="31"/>
      <c r="F2459" s="31"/>
      <c r="G2459" s="31"/>
      <c r="H2459" s="187">
        <f>H2460</f>
        <v>36700</v>
      </c>
    </row>
    <row r="2460" spans="1:8" s="3" customFormat="1" x14ac:dyDescent="0.25">
      <c r="A2460" s="29">
        <v>1</v>
      </c>
      <c r="B2460" s="35" t="s">
        <v>482</v>
      </c>
      <c r="C2460" s="12" t="s">
        <v>938</v>
      </c>
      <c r="D2460" s="12" t="s">
        <v>566</v>
      </c>
      <c r="E2460" s="10"/>
      <c r="F2460" s="42"/>
      <c r="G2460" s="12"/>
      <c r="H2460" s="53">
        <f>H2461</f>
        <v>36700</v>
      </c>
    </row>
    <row r="2461" spans="1:8" s="3" customFormat="1" x14ac:dyDescent="0.25">
      <c r="A2461" s="29">
        <v>114</v>
      </c>
      <c r="B2461" s="26" t="s">
        <v>287</v>
      </c>
      <c r="C2461" s="12" t="s">
        <v>938</v>
      </c>
      <c r="D2461" s="12" t="s">
        <v>566</v>
      </c>
      <c r="E2461" s="12">
        <v>14</v>
      </c>
      <c r="F2461" s="12"/>
      <c r="G2461" s="12"/>
      <c r="H2461" s="53">
        <f>H2462</f>
        <v>36700</v>
      </c>
    </row>
    <row r="2462" spans="1:8" s="28" customFormat="1" ht="47.25" x14ac:dyDescent="0.25">
      <c r="A2462" s="27">
        <v>114002</v>
      </c>
      <c r="B2462" s="26" t="s">
        <v>1657</v>
      </c>
      <c r="C2462" s="12" t="s">
        <v>938</v>
      </c>
      <c r="D2462" s="12" t="s">
        <v>566</v>
      </c>
      <c r="E2462" s="12">
        <v>14</v>
      </c>
      <c r="F2462" s="12" t="s">
        <v>200</v>
      </c>
      <c r="G2462" s="12"/>
      <c r="H2462" s="53">
        <f>H2463</f>
        <v>36700</v>
      </c>
    </row>
    <row r="2463" spans="1:8" s="28" customFormat="1" x14ac:dyDescent="0.25">
      <c r="A2463" s="27">
        <v>11400204</v>
      </c>
      <c r="B2463" s="26" t="s">
        <v>638</v>
      </c>
      <c r="C2463" s="12" t="s">
        <v>938</v>
      </c>
      <c r="D2463" s="12" t="s">
        <v>566</v>
      </c>
      <c r="E2463" s="12">
        <v>14</v>
      </c>
      <c r="F2463" s="12" t="s">
        <v>797</v>
      </c>
      <c r="G2463" s="12"/>
      <c r="H2463" s="53">
        <f>H2464</f>
        <v>36700</v>
      </c>
    </row>
    <row r="2464" spans="1:8" s="3" customFormat="1" x14ac:dyDescent="0.25">
      <c r="A2464" s="27">
        <v>11400204012</v>
      </c>
      <c r="B2464" s="65" t="s">
        <v>1012</v>
      </c>
      <c r="C2464" s="12" t="s">
        <v>938</v>
      </c>
      <c r="D2464" s="12" t="s">
        <v>566</v>
      </c>
      <c r="E2464" s="12">
        <v>14</v>
      </c>
      <c r="F2464" s="12" t="s">
        <v>797</v>
      </c>
      <c r="G2464" s="12" t="s">
        <v>1224</v>
      </c>
      <c r="H2464" s="53">
        <v>36700</v>
      </c>
    </row>
    <row r="2465" spans="1:8" s="28" customFormat="1" x14ac:dyDescent="0.25">
      <c r="A2465" s="29"/>
      <c r="B2465" s="26"/>
      <c r="C2465" s="12"/>
      <c r="D2465" s="10"/>
      <c r="E2465" s="10"/>
      <c r="F2465" s="10"/>
      <c r="G2465" s="10"/>
      <c r="H2465" s="53"/>
    </row>
    <row r="2466" spans="1:8" s="3" customFormat="1" ht="31.5" customHeight="1" x14ac:dyDescent="0.25">
      <c r="A2466" s="40">
        <v>0</v>
      </c>
      <c r="B2466" s="30" t="s">
        <v>375</v>
      </c>
      <c r="C2466" s="42" t="s">
        <v>1385</v>
      </c>
      <c r="D2466" s="31"/>
      <c r="E2466" s="31"/>
      <c r="F2466" s="31"/>
      <c r="G2466" s="31"/>
      <c r="H2466" s="187">
        <f>H2467</f>
        <v>203000</v>
      </c>
    </row>
    <row r="2467" spans="1:8" s="28" customFormat="1" x14ac:dyDescent="0.25">
      <c r="A2467" s="29">
        <v>9</v>
      </c>
      <c r="B2467" s="35" t="s">
        <v>450</v>
      </c>
      <c r="C2467" s="12" t="s">
        <v>1385</v>
      </c>
      <c r="D2467" s="12" t="s">
        <v>406</v>
      </c>
      <c r="E2467" s="12"/>
      <c r="F2467" s="12"/>
      <c r="G2467" s="12"/>
      <c r="H2467" s="53">
        <f>H2468</f>
        <v>203000</v>
      </c>
    </row>
    <row r="2468" spans="1:8" s="28" customFormat="1" x14ac:dyDescent="0.25">
      <c r="A2468" s="29">
        <v>908</v>
      </c>
      <c r="B2468" s="37" t="s">
        <v>504</v>
      </c>
      <c r="C2468" s="12" t="s">
        <v>1385</v>
      </c>
      <c r="D2468" s="12" t="s">
        <v>406</v>
      </c>
      <c r="E2468" s="12" t="s">
        <v>290</v>
      </c>
      <c r="F2468" s="12"/>
      <c r="G2468" s="12"/>
      <c r="H2468" s="53">
        <f>H2469</f>
        <v>203000</v>
      </c>
    </row>
    <row r="2469" spans="1:8" s="28" customFormat="1" x14ac:dyDescent="0.25">
      <c r="A2469" s="27">
        <v>908482</v>
      </c>
      <c r="B2469" s="37" t="s">
        <v>1324</v>
      </c>
      <c r="C2469" s="12" t="s">
        <v>1385</v>
      </c>
      <c r="D2469" s="12" t="s">
        <v>406</v>
      </c>
      <c r="E2469" s="12" t="s">
        <v>290</v>
      </c>
      <c r="F2469" s="10" t="s">
        <v>1369</v>
      </c>
      <c r="G2469" s="39"/>
      <c r="H2469" s="53">
        <f>H2470</f>
        <v>203000</v>
      </c>
    </row>
    <row r="2470" spans="1:8" s="28" customFormat="1" x14ac:dyDescent="0.25">
      <c r="A2470" s="27">
        <v>90848299</v>
      </c>
      <c r="B2470" s="190" t="s">
        <v>624</v>
      </c>
      <c r="C2470" s="12" t="s">
        <v>1385</v>
      </c>
      <c r="D2470" s="12" t="s">
        <v>406</v>
      </c>
      <c r="E2470" s="12" t="s">
        <v>290</v>
      </c>
      <c r="F2470" s="10" t="s">
        <v>85</v>
      </c>
      <c r="G2470" s="39"/>
      <c r="H2470" s="53">
        <f>H2471</f>
        <v>203000</v>
      </c>
    </row>
    <row r="2471" spans="1:8" s="28" customFormat="1" x14ac:dyDescent="0.25">
      <c r="A2471" s="27">
        <v>90848299001</v>
      </c>
      <c r="B2471" s="190" t="s">
        <v>1435</v>
      </c>
      <c r="C2471" s="12" t="s">
        <v>1385</v>
      </c>
      <c r="D2471" s="12" t="s">
        <v>406</v>
      </c>
      <c r="E2471" s="12" t="s">
        <v>290</v>
      </c>
      <c r="F2471" s="10" t="s">
        <v>85</v>
      </c>
      <c r="G2471" s="12" t="s">
        <v>1394</v>
      </c>
      <c r="H2471" s="53">
        <v>203000</v>
      </c>
    </row>
    <row r="2472" spans="1:8" s="28" customFormat="1" x14ac:dyDescent="0.25">
      <c r="A2472" s="29"/>
      <c r="B2472" s="37"/>
      <c r="C2472" s="12"/>
      <c r="D2472" s="10"/>
      <c r="E2472" s="10"/>
      <c r="F2472" s="10"/>
      <c r="G2472" s="10"/>
      <c r="H2472" s="53"/>
    </row>
    <row r="2473" spans="1:8" s="3" customFormat="1" ht="30" customHeight="1" x14ac:dyDescent="0.25">
      <c r="A2473" s="40">
        <v>0</v>
      </c>
      <c r="B2473" s="41" t="s">
        <v>374</v>
      </c>
      <c r="C2473" s="42" t="s">
        <v>1386</v>
      </c>
      <c r="D2473" s="31"/>
      <c r="E2473" s="31"/>
      <c r="F2473" s="31"/>
      <c r="G2473" s="31"/>
      <c r="H2473" s="187">
        <f>H2474</f>
        <v>170245</v>
      </c>
    </row>
    <row r="2474" spans="1:8" s="28" customFormat="1" x14ac:dyDescent="0.25">
      <c r="A2474" s="29">
        <v>9</v>
      </c>
      <c r="B2474" s="35" t="s">
        <v>450</v>
      </c>
      <c r="C2474" s="12" t="s">
        <v>1386</v>
      </c>
      <c r="D2474" s="12" t="s">
        <v>406</v>
      </c>
      <c r="E2474" s="12"/>
      <c r="F2474" s="12"/>
      <c r="G2474" s="12"/>
      <c r="H2474" s="53">
        <f>H2475</f>
        <v>170245</v>
      </c>
    </row>
    <row r="2475" spans="1:8" s="28" customFormat="1" x14ac:dyDescent="0.25">
      <c r="A2475" s="29">
        <v>908</v>
      </c>
      <c r="B2475" s="37" t="s">
        <v>504</v>
      </c>
      <c r="C2475" s="12" t="s">
        <v>1386</v>
      </c>
      <c r="D2475" s="12" t="s">
        <v>406</v>
      </c>
      <c r="E2475" s="12" t="s">
        <v>290</v>
      </c>
      <c r="F2475" s="12"/>
      <c r="G2475" s="12"/>
      <c r="H2475" s="53">
        <f>H2476</f>
        <v>170245</v>
      </c>
    </row>
    <row r="2476" spans="1:8" s="28" customFormat="1" x14ac:dyDescent="0.25">
      <c r="A2476" s="27">
        <v>908482</v>
      </c>
      <c r="B2476" s="37" t="s">
        <v>1324</v>
      </c>
      <c r="C2476" s="12" t="s">
        <v>1386</v>
      </c>
      <c r="D2476" s="12" t="s">
        <v>406</v>
      </c>
      <c r="E2476" s="12" t="s">
        <v>290</v>
      </c>
      <c r="F2476" s="10" t="s">
        <v>1369</v>
      </c>
      <c r="G2476" s="39"/>
      <c r="H2476" s="53">
        <f>H2477</f>
        <v>170245</v>
      </c>
    </row>
    <row r="2477" spans="1:8" s="28" customFormat="1" x14ac:dyDescent="0.25">
      <c r="A2477" s="27">
        <v>90848299</v>
      </c>
      <c r="B2477" s="190" t="s">
        <v>624</v>
      </c>
      <c r="C2477" s="12" t="s">
        <v>1386</v>
      </c>
      <c r="D2477" s="12" t="s">
        <v>406</v>
      </c>
      <c r="E2477" s="12" t="s">
        <v>290</v>
      </c>
      <c r="F2477" s="10" t="s">
        <v>85</v>
      </c>
      <c r="G2477" s="39"/>
      <c r="H2477" s="53">
        <f>H2478</f>
        <v>170245</v>
      </c>
    </row>
    <row r="2478" spans="1:8" s="28" customFormat="1" x14ac:dyDescent="0.25">
      <c r="A2478" s="27">
        <v>90848299001</v>
      </c>
      <c r="B2478" s="190" t="s">
        <v>1435</v>
      </c>
      <c r="C2478" s="12" t="s">
        <v>1386</v>
      </c>
      <c r="D2478" s="12" t="s">
        <v>406</v>
      </c>
      <c r="E2478" s="12" t="s">
        <v>290</v>
      </c>
      <c r="F2478" s="10" t="s">
        <v>85</v>
      </c>
      <c r="G2478" s="12" t="s">
        <v>1394</v>
      </c>
      <c r="H2478" s="53">
        <v>170245</v>
      </c>
    </row>
    <row r="2479" spans="1:8" s="28" customFormat="1" ht="15.75" customHeight="1" x14ac:dyDescent="0.25">
      <c r="A2479" s="29"/>
      <c r="B2479" s="37"/>
      <c r="C2479" s="12"/>
      <c r="D2479" s="10"/>
      <c r="E2479" s="10"/>
      <c r="F2479" s="10"/>
      <c r="G2479" s="10"/>
      <c r="H2479" s="53"/>
    </row>
    <row r="2480" spans="1:8" s="3" customFormat="1" ht="36.75" hidden="1" customHeight="1" x14ac:dyDescent="0.25">
      <c r="A2480" s="40">
        <v>0</v>
      </c>
      <c r="B2480" s="30" t="s">
        <v>1580</v>
      </c>
      <c r="C2480" s="42" t="s">
        <v>354</v>
      </c>
      <c r="D2480" s="31"/>
      <c r="E2480" s="31"/>
      <c r="F2480" s="31"/>
      <c r="G2480" s="31"/>
      <c r="H2480" s="187">
        <f>H2481</f>
        <v>0</v>
      </c>
    </row>
    <row r="2481" spans="1:8" s="3" customFormat="1" ht="21" hidden="1" customHeight="1" x14ac:dyDescent="0.25">
      <c r="A2481" s="29">
        <v>3</v>
      </c>
      <c r="B2481" s="35" t="s">
        <v>1049</v>
      </c>
      <c r="C2481" s="12" t="s">
        <v>354</v>
      </c>
      <c r="D2481" s="6" t="s">
        <v>193</v>
      </c>
      <c r="E2481" s="31"/>
      <c r="F2481" s="31"/>
      <c r="G2481" s="31"/>
      <c r="H2481" s="53">
        <f>H2482+H2485</f>
        <v>0</v>
      </c>
    </row>
    <row r="2482" spans="1:8" s="3" customFormat="1" ht="30.75" hidden="1" customHeight="1" x14ac:dyDescent="0.25">
      <c r="A2482" s="29">
        <v>309</v>
      </c>
      <c r="B2482" s="26" t="s">
        <v>1180</v>
      </c>
      <c r="C2482" s="12" t="s">
        <v>356</v>
      </c>
      <c r="D2482" s="6" t="s">
        <v>193</v>
      </c>
      <c r="E2482" s="12" t="s">
        <v>406</v>
      </c>
      <c r="F2482" s="19"/>
      <c r="G2482" s="31"/>
      <c r="H2482" s="53">
        <f>H2483</f>
        <v>0</v>
      </c>
    </row>
    <row r="2483" spans="1:8" s="28" customFormat="1" hidden="1" x14ac:dyDescent="0.25">
      <c r="A2483" s="27">
        <v>309219</v>
      </c>
      <c r="B2483" s="26" t="s">
        <v>1098</v>
      </c>
      <c r="C2483" s="12" t="s">
        <v>354</v>
      </c>
      <c r="D2483" s="12" t="s">
        <v>193</v>
      </c>
      <c r="E2483" s="12" t="s">
        <v>406</v>
      </c>
      <c r="F2483" s="10" t="s">
        <v>620</v>
      </c>
      <c r="G2483" s="12"/>
      <c r="H2483" s="53">
        <f>H2484</f>
        <v>0</v>
      </c>
    </row>
    <row r="2484" spans="1:8" s="28" customFormat="1" ht="31.5" hidden="1" x14ac:dyDescent="0.25">
      <c r="A2484" s="27">
        <v>309219261</v>
      </c>
      <c r="B2484" s="26" t="s">
        <v>591</v>
      </c>
      <c r="C2484" s="12" t="s">
        <v>354</v>
      </c>
      <c r="D2484" s="12" t="s">
        <v>193</v>
      </c>
      <c r="E2484" s="12" t="s">
        <v>406</v>
      </c>
      <c r="F2484" s="10" t="s">
        <v>620</v>
      </c>
      <c r="G2484" s="12">
        <v>261</v>
      </c>
      <c r="H2484" s="53"/>
    </row>
    <row r="2485" spans="1:8" s="3" customFormat="1" ht="18.75" hidden="1" customHeight="1" x14ac:dyDescent="0.25">
      <c r="A2485" s="29">
        <v>310</v>
      </c>
      <c r="B2485" s="26" t="s">
        <v>1162</v>
      </c>
      <c r="C2485" s="12" t="s">
        <v>354</v>
      </c>
      <c r="D2485" s="6" t="s">
        <v>193</v>
      </c>
      <c r="E2485" s="19">
        <v>10</v>
      </c>
      <c r="F2485" s="19"/>
      <c r="G2485" s="31"/>
      <c r="H2485" s="53">
        <f>H2486</f>
        <v>0</v>
      </c>
    </row>
    <row r="2486" spans="1:8" s="3" customFormat="1" ht="32.25" hidden="1" customHeight="1" x14ac:dyDescent="0.25">
      <c r="A2486" s="27">
        <v>310247</v>
      </c>
      <c r="B2486" s="26" t="s">
        <v>1566</v>
      </c>
      <c r="C2486" s="12" t="s">
        <v>354</v>
      </c>
      <c r="D2486" s="6" t="s">
        <v>193</v>
      </c>
      <c r="E2486" s="19">
        <v>10</v>
      </c>
      <c r="F2486" s="19" t="s">
        <v>635</v>
      </c>
      <c r="G2486" s="31"/>
      <c r="H2486" s="53">
        <f>H2487</f>
        <v>0</v>
      </c>
    </row>
    <row r="2487" spans="1:8" s="28" customFormat="1" ht="16.5" hidden="1" customHeight="1" x14ac:dyDescent="0.25">
      <c r="A2487" s="27">
        <v>310247327</v>
      </c>
      <c r="B2487" s="37" t="s">
        <v>624</v>
      </c>
      <c r="C2487" s="12" t="s">
        <v>354</v>
      </c>
      <c r="D2487" s="6" t="s">
        <v>193</v>
      </c>
      <c r="E2487" s="19">
        <v>10</v>
      </c>
      <c r="F2487" s="19" t="s">
        <v>635</v>
      </c>
      <c r="G2487" s="12">
        <v>327</v>
      </c>
      <c r="H2487" s="53"/>
    </row>
    <row r="2488" spans="1:8" s="28" customFormat="1" hidden="1" x14ac:dyDescent="0.25">
      <c r="A2488" s="27"/>
      <c r="B2488" s="37"/>
      <c r="C2488" s="12"/>
      <c r="D2488" s="12"/>
      <c r="E2488" s="12"/>
      <c r="F2488" s="10"/>
      <c r="G2488" s="20"/>
      <c r="H2488" s="53"/>
    </row>
    <row r="2489" spans="1:8" s="3" customFormat="1" ht="35.25" hidden="1" customHeight="1" x14ac:dyDescent="0.25">
      <c r="A2489" s="40">
        <v>0</v>
      </c>
      <c r="B2489" s="30" t="s">
        <v>319</v>
      </c>
      <c r="C2489" s="42" t="s">
        <v>355</v>
      </c>
      <c r="D2489" s="31"/>
      <c r="E2489" s="31"/>
      <c r="F2489" s="31"/>
      <c r="G2489" s="31"/>
      <c r="H2489" s="187">
        <f>H2490</f>
        <v>0</v>
      </c>
    </row>
    <row r="2490" spans="1:8" s="3" customFormat="1" ht="21" hidden="1" customHeight="1" x14ac:dyDescent="0.25">
      <c r="A2490" s="29">
        <v>3</v>
      </c>
      <c r="B2490" s="35" t="s">
        <v>1049</v>
      </c>
      <c r="C2490" s="12" t="s">
        <v>355</v>
      </c>
      <c r="D2490" s="6" t="s">
        <v>193</v>
      </c>
      <c r="E2490" s="31"/>
      <c r="F2490" s="31"/>
      <c r="G2490" s="31"/>
      <c r="H2490" s="53">
        <f>H2491</f>
        <v>0</v>
      </c>
    </row>
    <row r="2491" spans="1:8" s="3" customFormat="1" ht="34.5" hidden="1" customHeight="1" x14ac:dyDescent="0.25">
      <c r="A2491" s="29">
        <v>309</v>
      </c>
      <c r="B2491" s="26" t="s">
        <v>1180</v>
      </c>
      <c r="C2491" s="12" t="s">
        <v>355</v>
      </c>
      <c r="D2491" s="6" t="s">
        <v>193</v>
      </c>
      <c r="E2491" s="12" t="s">
        <v>406</v>
      </c>
      <c r="F2491" s="19"/>
      <c r="G2491" s="31"/>
      <c r="H2491" s="53">
        <f>H2492</f>
        <v>0</v>
      </c>
    </row>
    <row r="2492" spans="1:8" s="3" customFormat="1" ht="19.5" hidden="1" customHeight="1" x14ac:dyDescent="0.25">
      <c r="A2492" s="27">
        <v>309302</v>
      </c>
      <c r="B2492" s="26" t="s">
        <v>1400</v>
      </c>
      <c r="C2492" s="12" t="s">
        <v>355</v>
      </c>
      <c r="D2492" s="6" t="s">
        <v>193</v>
      </c>
      <c r="E2492" s="12" t="s">
        <v>406</v>
      </c>
      <c r="F2492" s="19" t="s">
        <v>999</v>
      </c>
      <c r="G2492" s="31"/>
      <c r="H2492" s="53">
        <f>H2493</f>
        <v>0</v>
      </c>
    </row>
    <row r="2493" spans="1:8" s="28" customFormat="1" ht="19.5" hidden="1" customHeight="1" x14ac:dyDescent="0.25">
      <c r="A2493" s="27">
        <v>309302327</v>
      </c>
      <c r="B2493" s="37" t="s">
        <v>624</v>
      </c>
      <c r="C2493" s="12" t="s">
        <v>355</v>
      </c>
      <c r="D2493" s="6" t="s">
        <v>193</v>
      </c>
      <c r="E2493" s="12" t="s">
        <v>406</v>
      </c>
      <c r="F2493" s="19" t="s">
        <v>999</v>
      </c>
      <c r="G2493" s="12">
        <v>327</v>
      </c>
      <c r="H2493" s="53"/>
    </row>
    <row r="2494" spans="1:8" s="28" customFormat="1" hidden="1" x14ac:dyDescent="0.25">
      <c r="A2494" s="27"/>
      <c r="B2494" s="37"/>
      <c r="C2494" s="12"/>
      <c r="D2494" s="12"/>
      <c r="E2494" s="12"/>
      <c r="F2494" s="10"/>
      <c r="G2494" s="20"/>
      <c r="H2494" s="53"/>
    </row>
    <row r="2495" spans="1:8" s="3" customFormat="1" ht="35.25" customHeight="1" x14ac:dyDescent="0.25">
      <c r="A2495" s="40">
        <v>0</v>
      </c>
      <c r="B2495" s="30" t="s">
        <v>1582</v>
      </c>
      <c r="C2495" s="42" t="s">
        <v>356</v>
      </c>
      <c r="D2495" s="31"/>
      <c r="E2495" s="31"/>
      <c r="F2495" s="31"/>
      <c r="G2495" s="31"/>
      <c r="H2495" s="187">
        <f>H2496</f>
        <v>184963</v>
      </c>
    </row>
    <row r="2496" spans="1:8" s="3" customFormat="1" ht="21" customHeight="1" x14ac:dyDescent="0.25">
      <c r="A2496" s="29">
        <v>3</v>
      </c>
      <c r="B2496" s="35" t="s">
        <v>1049</v>
      </c>
      <c r="C2496" s="12" t="s">
        <v>356</v>
      </c>
      <c r="D2496" s="6" t="s">
        <v>193</v>
      </c>
      <c r="E2496" s="31"/>
      <c r="F2496" s="31"/>
      <c r="G2496" s="31"/>
      <c r="H2496" s="53">
        <f>H2497</f>
        <v>184963</v>
      </c>
    </row>
    <row r="2497" spans="1:8" s="3" customFormat="1" ht="47.25" x14ac:dyDescent="0.25">
      <c r="A2497" s="29">
        <v>309</v>
      </c>
      <c r="B2497" s="26" t="s">
        <v>133</v>
      </c>
      <c r="C2497" s="12" t="s">
        <v>356</v>
      </c>
      <c r="D2497" s="6" t="s">
        <v>193</v>
      </c>
      <c r="E2497" s="12" t="s">
        <v>406</v>
      </c>
      <c r="F2497" s="19"/>
      <c r="G2497" s="31"/>
      <c r="H2497" s="53">
        <f>H2498+H2501</f>
        <v>184963</v>
      </c>
    </row>
    <row r="2498" spans="1:8" s="28" customFormat="1" x14ac:dyDescent="0.25">
      <c r="A2498" s="27">
        <v>309219</v>
      </c>
      <c r="B2498" s="26" t="s">
        <v>1098</v>
      </c>
      <c r="C2498" s="12" t="s">
        <v>356</v>
      </c>
      <c r="D2498" s="12" t="s">
        <v>193</v>
      </c>
      <c r="E2498" s="12" t="s">
        <v>406</v>
      </c>
      <c r="F2498" s="10" t="s">
        <v>620</v>
      </c>
      <c r="G2498" s="12"/>
      <c r="H2498" s="53">
        <f>H2499</f>
        <v>2670</v>
      </c>
    </row>
    <row r="2499" spans="1:8" s="28" customFormat="1" ht="31.5" x14ac:dyDescent="0.25">
      <c r="A2499" s="27">
        <v>30921901</v>
      </c>
      <c r="B2499" s="26" t="s">
        <v>591</v>
      </c>
      <c r="C2499" s="12" t="s">
        <v>356</v>
      </c>
      <c r="D2499" s="12" t="s">
        <v>193</v>
      </c>
      <c r="E2499" s="12" t="s">
        <v>406</v>
      </c>
      <c r="F2499" s="10" t="s">
        <v>269</v>
      </c>
      <c r="G2499" s="12"/>
      <c r="H2499" s="53">
        <f>H2500</f>
        <v>2670</v>
      </c>
    </row>
    <row r="2500" spans="1:8" s="28" customFormat="1" x14ac:dyDescent="0.25">
      <c r="A2500" s="27">
        <v>30921901001</v>
      </c>
      <c r="B2500" s="65" t="s">
        <v>1435</v>
      </c>
      <c r="C2500" s="12" t="s">
        <v>356</v>
      </c>
      <c r="D2500" s="12" t="s">
        <v>193</v>
      </c>
      <c r="E2500" s="12" t="s">
        <v>406</v>
      </c>
      <c r="F2500" s="10" t="s">
        <v>269</v>
      </c>
      <c r="G2500" s="12" t="s">
        <v>1394</v>
      </c>
      <c r="H2500" s="53">
        <v>2670</v>
      </c>
    </row>
    <row r="2501" spans="1:8" s="28" customFormat="1" ht="33" customHeight="1" x14ac:dyDescent="0.25">
      <c r="A2501" s="27">
        <v>309247</v>
      </c>
      <c r="B2501" s="26" t="s">
        <v>220</v>
      </c>
      <c r="C2501" s="12" t="s">
        <v>356</v>
      </c>
      <c r="D2501" s="12" t="s">
        <v>193</v>
      </c>
      <c r="E2501" s="12" t="s">
        <v>406</v>
      </c>
      <c r="F2501" s="10" t="s">
        <v>635</v>
      </c>
      <c r="G2501" s="197"/>
      <c r="H2501" s="53">
        <f>H2502+H2504</f>
        <v>182293</v>
      </c>
    </row>
    <row r="2502" spans="1:8" s="28" customFormat="1" x14ac:dyDescent="0.25">
      <c r="A2502" s="27">
        <v>30924766</v>
      </c>
      <c r="B2502" s="26" t="s">
        <v>1427</v>
      </c>
      <c r="C2502" s="12" t="s">
        <v>356</v>
      </c>
      <c r="D2502" s="12" t="s">
        <v>193</v>
      </c>
      <c r="E2502" s="12" t="s">
        <v>406</v>
      </c>
      <c r="F2502" s="10" t="s">
        <v>346</v>
      </c>
      <c r="G2502" s="197"/>
      <c r="H2502" s="53">
        <f>H2503</f>
        <v>74560</v>
      </c>
    </row>
    <row r="2503" spans="1:8" s="28" customFormat="1" x14ac:dyDescent="0.25">
      <c r="A2503" s="27">
        <v>30924766001</v>
      </c>
      <c r="B2503" s="65" t="s">
        <v>1435</v>
      </c>
      <c r="C2503" s="12" t="s">
        <v>356</v>
      </c>
      <c r="D2503" s="12" t="s">
        <v>193</v>
      </c>
      <c r="E2503" s="12" t="s">
        <v>406</v>
      </c>
      <c r="F2503" s="10" t="s">
        <v>346</v>
      </c>
      <c r="G2503" s="12" t="s">
        <v>1394</v>
      </c>
      <c r="H2503" s="53">
        <v>74560</v>
      </c>
    </row>
    <row r="2504" spans="1:8" s="28" customFormat="1" x14ac:dyDescent="0.25">
      <c r="A2504" s="27">
        <v>30924799</v>
      </c>
      <c r="B2504" s="26" t="s">
        <v>624</v>
      </c>
      <c r="C2504" s="12" t="s">
        <v>356</v>
      </c>
      <c r="D2504" s="12" t="s">
        <v>193</v>
      </c>
      <c r="E2504" s="12" t="s">
        <v>406</v>
      </c>
      <c r="F2504" s="10" t="s">
        <v>728</v>
      </c>
      <c r="G2504" s="197"/>
      <c r="H2504" s="53">
        <f>H2505</f>
        <v>107733</v>
      </c>
    </row>
    <row r="2505" spans="1:8" s="28" customFormat="1" x14ac:dyDescent="0.25">
      <c r="A2505" s="27">
        <v>30924799001</v>
      </c>
      <c r="B2505" s="65" t="s">
        <v>1435</v>
      </c>
      <c r="C2505" s="12" t="s">
        <v>356</v>
      </c>
      <c r="D2505" s="12" t="s">
        <v>193</v>
      </c>
      <c r="E2505" s="12" t="s">
        <v>406</v>
      </c>
      <c r="F2505" s="10" t="s">
        <v>728</v>
      </c>
      <c r="G2505" s="12" t="s">
        <v>1394</v>
      </c>
      <c r="H2505" s="53">
        <v>107733</v>
      </c>
    </row>
    <row r="2506" spans="1:8" s="28" customFormat="1" x14ac:dyDescent="0.25">
      <c r="A2506" s="27"/>
      <c r="B2506" s="37"/>
      <c r="C2506" s="12"/>
      <c r="D2506" s="12"/>
      <c r="E2506" s="12"/>
      <c r="F2506" s="10"/>
      <c r="G2506" s="20"/>
      <c r="H2506" s="53"/>
    </row>
    <row r="2507" spans="1:8" s="3" customFormat="1" ht="31.5" x14ac:dyDescent="0.25">
      <c r="A2507" s="40">
        <v>0</v>
      </c>
      <c r="B2507" s="41" t="s">
        <v>411</v>
      </c>
      <c r="C2507" s="42" t="s">
        <v>1387</v>
      </c>
      <c r="D2507" s="31"/>
      <c r="E2507" s="31"/>
      <c r="F2507" s="31"/>
      <c r="G2507" s="31"/>
      <c r="H2507" s="187">
        <f>H2508</f>
        <v>15158639</v>
      </c>
    </row>
    <row r="2508" spans="1:8" s="28" customFormat="1" x14ac:dyDescent="0.25">
      <c r="A2508" s="29">
        <v>9</v>
      </c>
      <c r="B2508" s="35" t="s">
        <v>450</v>
      </c>
      <c r="C2508" s="12" t="s">
        <v>1387</v>
      </c>
      <c r="D2508" s="12" t="s">
        <v>406</v>
      </c>
      <c r="E2508" s="12"/>
      <c r="F2508" s="12"/>
      <c r="G2508" s="12"/>
      <c r="H2508" s="53">
        <f>H2509</f>
        <v>15158639</v>
      </c>
    </row>
    <row r="2509" spans="1:8" s="28" customFormat="1" ht="31.5" x14ac:dyDescent="0.25">
      <c r="A2509" s="29">
        <v>910</v>
      </c>
      <c r="B2509" s="26" t="s">
        <v>877</v>
      </c>
      <c r="C2509" s="12" t="s">
        <v>1387</v>
      </c>
      <c r="D2509" s="12" t="s">
        <v>406</v>
      </c>
      <c r="E2509" s="12">
        <v>10</v>
      </c>
      <c r="F2509" s="12"/>
      <c r="G2509" s="12"/>
      <c r="H2509" s="53">
        <f>H2510</f>
        <v>15158639</v>
      </c>
    </row>
    <row r="2510" spans="1:8" s="28" customFormat="1" ht="31.5" x14ac:dyDescent="0.25">
      <c r="A2510" s="27">
        <v>910771</v>
      </c>
      <c r="B2510" s="26" t="s">
        <v>1316</v>
      </c>
      <c r="C2510" s="12" t="s">
        <v>1387</v>
      </c>
      <c r="D2510" s="12" t="s">
        <v>406</v>
      </c>
      <c r="E2510" s="12">
        <v>10</v>
      </c>
      <c r="F2510" s="10" t="s">
        <v>511</v>
      </c>
      <c r="G2510" s="10"/>
      <c r="H2510" s="53">
        <f>H2511</f>
        <v>15158639</v>
      </c>
    </row>
    <row r="2511" spans="1:8" s="28" customFormat="1" ht="31.5" x14ac:dyDescent="0.25">
      <c r="A2511" s="27">
        <v>91077101</v>
      </c>
      <c r="B2511" s="26" t="s">
        <v>8</v>
      </c>
      <c r="C2511" s="12" t="s">
        <v>1387</v>
      </c>
      <c r="D2511" s="12" t="s">
        <v>406</v>
      </c>
      <c r="E2511" s="12">
        <v>10</v>
      </c>
      <c r="F2511" s="10" t="s">
        <v>1004</v>
      </c>
      <c r="G2511" s="12"/>
      <c r="H2511" s="53">
        <f>H2512</f>
        <v>15158639</v>
      </c>
    </row>
    <row r="2512" spans="1:8" s="28" customFormat="1" ht="31.5" x14ac:dyDescent="0.25">
      <c r="A2512" s="27">
        <v>91077101905</v>
      </c>
      <c r="B2512" s="26" t="s">
        <v>419</v>
      </c>
      <c r="C2512" s="12" t="s">
        <v>1387</v>
      </c>
      <c r="D2512" s="12" t="s">
        <v>406</v>
      </c>
      <c r="E2512" s="12">
        <v>10</v>
      </c>
      <c r="F2512" s="10" t="s">
        <v>1004</v>
      </c>
      <c r="G2512" s="12">
        <v>905</v>
      </c>
      <c r="H2512" s="53">
        <v>15158639</v>
      </c>
    </row>
    <row r="2513" spans="1:8" s="28" customFormat="1" x14ac:dyDescent="0.25">
      <c r="A2513" s="29"/>
      <c r="B2513" s="30"/>
      <c r="C2513" s="12"/>
      <c r="D2513" s="42"/>
      <c r="E2513" s="42"/>
      <c r="F2513" s="42"/>
      <c r="G2513" s="12"/>
      <c r="H2513" s="53"/>
    </row>
    <row r="2514" spans="1:8" s="3" customFormat="1" ht="19.5" customHeight="1" x14ac:dyDescent="0.25">
      <c r="A2514" s="40">
        <v>0</v>
      </c>
      <c r="B2514" s="30" t="s">
        <v>697</v>
      </c>
      <c r="C2514" s="42" t="s">
        <v>353</v>
      </c>
      <c r="D2514" s="31"/>
      <c r="E2514" s="31"/>
      <c r="F2514" s="31"/>
      <c r="G2514" s="31"/>
      <c r="H2514" s="187">
        <f>H2515+H2520+H2525+H2535</f>
        <v>910342</v>
      </c>
    </row>
    <row r="2515" spans="1:8" s="28" customFormat="1" x14ac:dyDescent="0.25">
      <c r="A2515" s="27">
        <v>2</v>
      </c>
      <c r="B2515" s="35" t="s">
        <v>271</v>
      </c>
      <c r="C2515" s="12" t="s">
        <v>353</v>
      </c>
      <c r="D2515" s="12" t="s">
        <v>567</v>
      </c>
      <c r="E2515" s="31"/>
      <c r="F2515" s="31"/>
      <c r="G2515" s="31"/>
      <c r="H2515" s="53">
        <f>H2516</f>
        <v>620</v>
      </c>
    </row>
    <row r="2516" spans="1:8" s="28" customFormat="1" x14ac:dyDescent="0.25">
      <c r="A2516" s="27">
        <v>204</v>
      </c>
      <c r="B2516" s="26" t="s">
        <v>1054</v>
      </c>
      <c r="C2516" s="12" t="s">
        <v>353</v>
      </c>
      <c r="D2516" s="12" t="s">
        <v>567</v>
      </c>
      <c r="E2516" s="12" t="s">
        <v>1181</v>
      </c>
      <c r="F2516" s="31"/>
      <c r="G2516" s="31"/>
      <c r="H2516" s="53">
        <f>H2517</f>
        <v>620</v>
      </c>
    </row>
    <row r="2517" spans="1:8" s="28" customFormat="1" ht="31.5" x14ac:dyDescent="0.25">
      <c r="A2517" s="27">
        <v>204209</v>
      </c>
      <c r="B2517" s="26" t="s">
        <v>141</v>
      </c>
      <c r="C2517" s="12" t="s">
        <v>353</v>
      </c>
      <c r="D2517" s="12" t="s">
        <v>567</v>
      </c>
      <c r="E2517" s="12" t="s">
        <v>1181</v>
      </c>
      <c r="F2517" s="10" t="s">
        <v>270</v>
      </c>
      <c r="G2517" s="31"/>
      <c r="H2517" s="53">
        <f>H2518</f>
        <v>620</v>
      </c>
    </row>
    <row r="2518" spans="1:8" s="28" customFormat="1" ht="31.5" x14ac:dyDescent="0.25">
      <c r="A2518" s="27">
        <v>20420901</v>
      </c>
      <c r="B2518" s="26" t="s">
        <v>1408</v>
      </c>
      <c r="C2518" s="12" t="s">
        <v>353</v>
      </c>
      <c r="D2518" s="12" t="s">
        <v>567</v>
      </c>
      <c r="E2518" s="12" t="s">
        <v>1181</v>
      </c>
      <c r="F2518" s="10" t="s">
        <v>956</v>
      </c>
      <c r="G2518" s="31"/>
      <c r="H2518" s="53">
        <f>H2519</f>
        <v>620</v>
      </c>
    </row>
    <row r="2519" spans="1:8" s="28" customFormat="1" x14ac:dyDescent="0.25">
      <c r="A2519" s="27">
        <v>20420901012</v>
      </c>
      <c r="B2519" s="65" t="s">
        <v>1012</v>
      </c>
      <c r="C2519" s="12" t="s">
        <v>353</v>
      </c>
      <c r="D2519" s="12" t="s">
        <v>567</v>
      </c>
      <c r="E2519" s="12" t="s">
        <v>1181</v>
      </c>
      <c r="F2519" s="10" t="s">
        <v>956</v>
      </c>
      <c r="G2519" s="12" t="s">
        <v>1224</v>
      </c>
      <c r="H2519" s="53">
        <v>620</v>
      </c>
    </row>
    <row r="2520" spans="1:8" s="28" customFormat="1" ht="18" customHeight="1" x14ac:dyDescent="0.25">
      <c r="A2520" s="27">
        <v>3</v>
      </c>
      <c r="B2520" s="35" t="s">
        <v>1049</v>
      </c>
      <c r="C2520" s="12" t="s">
        <v>353</v>
      </c>
      <c r="D2520" s="12" t="s">
        <v>193</v>
      </c>
      <c r="E2520" s="12"/>
      <c r="F2520" s="10"/>
      <c r="G2520" s="12"/>
      <c r="H2520" s="53">
        <f>H2521</f>
        <v>40</v>
      </c>
    </row>
    <row r="2521" spans="1:8" s="28" customFormat="1" ht="47.25" x14ac:dyDescent="0.25">
      <c r="A2521" s="27">
        <v>309</v>
      </c>
      <c r="B2521" s="26" t="s">
        <v>133</v>
      </c>
      <c r="C2521" s="12" t="s">
        <v>353</v>
      </c>
      <c r="D2521" s="12" t="s">
        <v>193</v>
      </c>
      <c r="E2521" s="12" t="s">
        <v>406</v>
      </c>
      <c r="F2521" s="10"/>
      <c r="G2521" s="12"/>
      <c r="H2521" s="53">
        <f>H2522</f>
        <v>40</v>
      </c>
    </row>
    <row r="2522" spans="1:8" s="28" customFormat="1" x14ac:dyDescent="0.25">
      <c r="A2522" s="27">
        <v>309219</v>
      </c>
      <c r="B2522" s="26" t="s">
        <v>1098</v>
      </c>
      <c r="C2522" s="12" t="s">
        <v>353</v>
      </c>
      <c r="D2522" s="12" t="s">
        <v>193</v>
      </c>
      <c r="E2522" s="12" t="s">
        <v>406</v>
      </c>
      <c r="F2522" s="10" t="s">
        <v>620</v>
      </c>
      <c r="G2522" s="12"/>
      <c r="H2522" s="53">
        <f>H2523</f>
        <v>40</v>
      </c>
    </row>
    <row r="2523" spans="1:8" s="28" customFormat="1" ht="31.5" x14ac:dyDescent="0.25">
      <c r="A2523" s="27">
        <v>30921901</v>
      </c>
      <c r="B2523" s="26" t="s">
        <v>591</v>
      </c>
      <c r="C2523" s="12" t="s">
        <v>353</v>
      </c>
      <c r="D2523" s="12" t="s">
        <v>193</v>
      </c>
      <c r="E2523" s="12" t="s">
        <v>406</v>
      </c>
      <c r="F2523" s="10" t="s">
        <v>269</v>
      </c>
      <c r="G2523" s="12"/>
      <c r="H2523" s="53">
        <f>H2524</f>
        <v>40</v>
      </c>
    </row>
    <row r="2524" spans="1:8" s="28" customFormat="1" x14ac:dyDescent="0.25">
      <c r="A2524" s="27">
        <v>30921901012</v>
      </c>
      <c r="B2524" s="65" t="s">
        <v>1012</v>
      </c>
      <c r="C2524" s="12" t="s">
        <v>353</v>
      </c>
      <c r="D2524" s="12" t="s">
        <v>193</v>
      </c>
      <c r="E2524" s="12" t="s">
        <v>406</v>
      </c>
      <c r="F2524" s="10" t="s">
        <v>269</v>
      </c>
      <c r="G2524" s="12" t="s">
        <v>1224</v>
      </c>
      <c r="H2524" s="53">
        <v>40</v>
      </c>
    </row>
    <row r="2525" spans="1:8" s="28" customFormat="1" x14ac:dyDescent="0.25">
      <c r="A2525" s="29">
        <v>4</v>
      </c>
      <c r="B2525" s="35" t="s">
        <v>993</v>
      </c>
      <c r="C2525" s="12" t="s">
        <v>353</v>
      </c>
      <c r="D2525" s="12" t="s">
        <v>1181</v>
      </c>
      <c r="E2525" s="12"/>
      <c r="F2525" s="12"/>
      <c r="G2525" s="12"/>
      <c r="H2525" s="53">
        <f>H2526+H2531</f>
        <v>909589</v>
      </c>
    </row>
    <row r="2526" spans="1:8" s="28" customFormat="1" x14ac:dyDescent="0.25">
      <c r="A2526" s="29">
        <v>402</v>
      </c>
      <c r="B2526" s="26" t="s">
        <v>1144</v>
      </c>
      <c r="C2526" s="12" t="s">
        <v>353</v>
      </c>
      <c r="D2526" s="12" t="s">
        <v>1181</v>
      </c>
      <c r="E2526" s="12" t="s">
        <v>567</v>
      </c>
      <c r="F2526" s="12"/>
      <c r="G2526" s="12"/>
      <c r="H2526" s="53">
        <f>H2527</f>
        <v>139333</v>
      </c>
    </row>
    <row r="2527" spans="1:8" s="28" customFormat="1" ht="47.25" x14ac:dyDescent="0.25">
      <c r="A2527" s="27">
        <v>402002</v>
      </c>
      <c r="B2527" s="26" t="s">
        <v>1657</v>
      </c>
      <c r="C2527" s="12" t="s">
        <v>353</v>
      </c>
      <c r="D2527" s="12" t="s">
        <v>1181</v>
      </c>
      <c r="E2527" s="12" t="s">
        <v>567</v>
      </c>
      <c r="F2527" s="12" t="s">
        <v>200</v>
      </c>
      <c r="G2527" s="12"/>
      <c r="H2527" s="53">
        <f>H2528</f>
        <v>139333</v>
      </c>
    </row>
    <row r="2528" spans="1:8" s="28" customFormat="1" x14ac:dyDescent="0.25">
      <c r="A2528" s="27">
        <v>40200204</v>
      </c>
      <c r="B2528" s="26" t="s">
        <v>638</v>
      </c>
      <c r="C2528" s="12" t="s">
        <v>353</v>
      </c>
      <c r="D2528" s="12" t="s">
        <v>1181</v>
      </c>
      <c r="E2528" s="12" t="s">
        <v>567</v>
      </c>
      <c r="F2528" s="12" t="s">
        <v>797</v>
      </c>
      <c r="G2528" s="12"/>
      <c r="H2528" s="53">
        <f>SUM(H2529:H2530)</f>
        <v>139333</v>
      </c>
    </row>
    <row r="2529" spans="1:8" s="3" customFormat="1" x14ac:dyDescent="0.25">
      <c r="A2529" s="27">
        <v>40200204012</v>
      </c>
      <c r="B2529" s="65" t="s">
        <v>1012</v>
      </c>
      <c r="C2529" s="12" t="s">
        <v>353</v>
      </c>
      <c r="D2529" s="12" t="s">
        <v>1181</v>
      </c>
      <c r="E2529" s="12" t="s">
        <v>567</v>
      </c>
      <c r="F2529" s="12" t="s">
        <v>797</v>
      </c>
      <c r="G2529" s="12" t="s">
        <v>1224</v>
      </c>
      <c r="H2529" s="53">
        <v>139180</v>
      </c>
    </row>
    <row r="2530" spans="1:8" s="3" customFormat="1" ht="63" x14ac:dyDescent="0.25">
      <c r="A2530" s="27">
        <v>40200204902</v>
      </c>
      <c r="B2530" s="65" t="s">
        <v>1100</v>
      </c>
      <c r="C2530" s="12" t="s">
        <v>353</v>
      </c>
      <c r="D2530" s="12" t="s">
        <v>1181</v>
      </c>
      <c r="E2530" s="12" t="s">
        <v>567</v>
      </c>
      <c r="F2530" s="12" t="s">
        <v>797</v>
      </c>
      <c r="G2530" s="12">
        <v>902</v>
      </c>
      <c r="H2530" s="53">
        <v>153</v>
      </c>
    </row>
    <row r="2531" spans="1:8" s="28" customFormat="1" x14ac:dyDescent="0.25">
      <c r="A2531" s="29">
        <v>412</v>
      </c>
      <c r="B2531" s="26" t="s">
        <v>1253</v>
      </c>
      <c r="C2531" s="12" t="s">
        <v>353</v>
      </c>
      <c r="D2531" s="12" t="s">
        <v>1181</v>
      </c>
      <c r="E2531" s="12">
        <v>12</v>
      </c>
      <c r="F2531" s="12"/>
      <c r="G2531" s="12"/>
      <c r="H2531" s="53">
        <f>H2532</f>
        <v>770256</v>
      </c>
    </row>
    <row r="2532" spans="1:8" s="28" customFormat="1" ht="31.5" x14ac:dyDescent="0.25">
      <c r="A2532" s="27">
        <v>412340</v>
      </c>
      <c r="B2532" s="26" t="s">
        <v>481</v>
      </c>
      <c r="C2532" s="12" t="s">
        <v>353</v>
      </c>
      <c r="D2532" s="12" t="s">
        <v>1181</v>
      </c>
      <c r="E2532" s="12">
        <v>12</v>
      </c>
      <c r="F2532" s="10" t="s">
        <v>1015</v>
      </c>
      <c r="G2532" s="12"/>
      <c r="H2532" s="53">
        <f>H2533</f>
        <v>770256</v>
      </c>
    </row>
    <row r="2533" spans="1:8" s="28" customFormat="1" x14ac:dyDescent="0.25">
      <c r="A2533" s="27">
        <v>41234004</v>
      </c>
      <c r="B2533" s="65" t="s">
        <v>1215</v>
      </c>
      <c r="C2533" s="12" t="s">
        <v>353</v>
      </c>
      <c r="D2533" s="12" t="s">
        <v>1181</v>
      </c>
      <c r="E2533" s="12">
        <v>12</v>
      </c>
      <c r="F2533" s="10" t="s">
        <v>1753</v>
      </c>
      <c r="G2533" s="10"/>
      <c r="H2533" s="53">
        <f>H2534</f>
        <v>770256</v>
      </c>
    </row>
    <row r="2534" spans="1:8" s="28" customFormat="1" x14ac:dyDescent="0.25">
      <c r="A2534" s="27">
        <v>41234004013</v>
      </c>
      <c r="B2534" s="65" t="s">
        <v>1335</v>
      </c>
      <c r="C2534" s="12" t="s">
        <v>353</v>
      </c>
      <c r="D2534" s="12" t="s">
        <v>1181</v>
      </c>
      <c r="E2534" s="12">
        <v>12</v>
      </c>
      <c r="F2534" s="10" t="s">
        <v>1753</v>
      </c>
      <c r="G2534" s="12" t="s">
        <v>972</v>
      </c>
      <c r="H2534" s="53">
        <v>770256</v>
      </c>
    </row>
    <row r="2535" spans="1:8" s="128" customFormat="1" x14ac:dyDescent="0.25">
      <c r="A2535" s="29">
        <v>7</v>
      </c>
      <c r="B2535" s="35" t="s">
        <v>174</v>
      </c>
      <c r="C2535" s="12" t="s">
        <v>353</v>
      </c>
      <c r="D2535" s="12" t="s">
        <v>205</v>
      </c>
      <c r="E2535" s="10"/>
      <c r="F2535" s="10"/>
      <c r="G2535" s="10"/>
      <c r="H2535" s="53">
        <f>H2536</f>
        <v>93</v>
      </c>
    </row>
    <row r="2536" spans="1:8" s="128" customFormat="1" x14ac:dyDescent="0.25">
      <c r="A2536" s="29">
        <v>707</v>
      </c>
      <c r="B2536" s="26" t="s">
        <v>699</v>
      </c>
      <c r="C2536" s="12" t="s">
        <v>353</v>
      </c>
      <c r="D2536" s="12" t="s">
        <v>205</v>
      </c>
      <c r="E2536" s="12" t="s">
        <v>205</v>
      </c>
      <c r="F2536" s="10"/>
      <c r="G2536" s="10"/>
      <c r="H2536" s="53">
        <f>H2537</f>
        <v>93</v>
      </c>
    </row>
    <row r="2537" spans="1:8" s="128" customFormat="1" ht="21" customHeight="1" x14ac:dyDescent="0.25">
      <c r="A2537" s="27">
        <v>707432</v>
      </c>
      <c r="B2537" s="26" t="s">
        <v>1482</v>
      </c>
      <c r="C2537" s="12" t="s">
        <v>353</v>
      </c>
      <c r="D2537" s="12" t="s">
        <v>205</v>
      </c>
      <c r="E2537" s="12" t="s">
        <v>205</v>
      </c>
      <c r="F2537" s="10" t="s">
        <v>965</v>
      </c>
      <c r="G2537" s="12"/>
      <c r="H2537" s="53">
        <f>H2538</f>
        <v>93</v>
      </c>
    </row>
    <row r="2538" spans="1:8" s="128" customFormat="1" x14ac:dyDescent="0.25">
      <c r="A2538" s="27">
        <v>70743202</v>
      </c>
      <c r="B2538" s="26" t="s">
        <v>541</v>
      </c>
      <c r="C2538" s="12" t="s">
        <v>353</v>
      </c>
      <c r="D2538" s="12" t="s">
        <v>205</v>
      </c>
      <c r="E2538" s="12" t="s">
        <v>205</v>
      </c>
      <c r="F2538" s="10" t="s">
        <v>262</v>
      </c>
      <c r="G2538" s="12"/>
      <c r="H2538" s="53">
        <f>H2539</f>
        <v>93</v>
      </c>
    </row>
    <row r="2539" spans="1:8" s="128" customFormat="1" x14ac:dyDescent="0.25">
      <c r="A2539" s="27">
        <v>70743202001</v>
      </c>
      <c r="B2539" s="26" t="s">
        <v>1435</v>
      </c>
      <c r="C2539" s="12" t="s">
        <v>353</v>
      </c>
      <c r="D2539" s="12" t="s">
        <v>205</v>
      </c>
      <c r="E2539" s="12" t="s">
        <v>205</v>
      </c>
      <c r="F2539" s="10" t="s">
        <v>262</v>
      </c>
      <c r="G2539" s="12" t="s">
        <v>1394</v>
      </c>
      <c r="H2539" s="53">
        <v>93</v>
      </c>
    </row>
    <row r="2540" spans="1:8" s="28" customFormat="1" x14ac:dyDescent="0.25">
      <c r="A2540" s="27"/>
      <c r="B2540" s="37"/>
      <c r="C2540" s="12"/>
      <c r="D2540" s="12"/>
      <c r="E2540" s="12"/>
      <c r="F2540" s="10"/>
      <c r="G2540" s="20"/>
      <c r="H2540" s="53"/>
    </row>
    <row r="2541" spans="1:8" s="3" customFormat="1" x14ac:dyDescent="0.25">
      <c r="A2541" s="40">
        <v>0</v>
      </c>
      <c r="B2541" s="30" t="s">
        <v>1188</v>
      </c>
      <c r="C2541" s="42" t="s">
        <v>1189</v>
      </c>
      <c r="D2541" s="42"/>
      <c r="E2541" s="42"/>
      <c r="F2541" s="42"/>
      <c r="G2541" s="42"/>
      <c r="H2541" s="187">
        <f>H2542+H2547+H2552</f>
        <v>74920</v>
      </c>
    </row>
    <row r="2542" spans="1:8" s="28" customFormat="1" x14ac:dyDescent="0.25">
      <c r="A2542" s="27">
        <v>2</v>
      </c>
      <c r="B2542" s="35" t="s">
        <v>271</v>
      </c>
      <c r="C2542" s="12" t="s">
        <v>1189</v>
      </c>
      <c r="D2542" s="12" t="s">
        <v>567</v>
      </c>
      <c r="E2542" s="31"/>
      <c r="F2542" s="31"/>
      <c r="G2542" s="31"/>
      <c r="H2542" s="53">
        <f>H2543</f>
        <v>50</v>
      </c>
    </row>
    <row r="2543" spans="1:8" s="28" customFormat="1" x14ac:dyDescent="0.25">
      <c r="A2543" s="27">
        <v>204</v>
      </c>
      <c r="B2543" s="26" t="s">
        <v>1054</v>
      </c>
      <c r="C2543" s="12" t="s">
        <v>1189</v>
      </c>
      <c r="D2543" s="12" t="s">
        <v>567</v>
      </c>
      <c r="E2543" s="12" t="s">
        <v>1181</v>
      </c>
      <c r="F2543" s="31"/>
      <c r="G2543" s="31"/>
      <c r="H2543" s="53">
        <f>H2544</f>
        <v>50</v>
      </c>
    </row>
    <row r="2544" spans="1:8" s="28" customFormat="1" ht="31.5" x14ac:dyDescent="0.25">
      <c r="A2544" s="27">
        <v>204209</v>
      </c>
      <c r="B2544" s="26" t="s">
        <v>141</v>
      </c>
      <c r="C2544" s="12" t="s">
        <v>1189</v>
      </c>
      <c r="D2544" s="12" t="s">
        <v>567</v>
      </c>
      <c r="E2544" s="12" t="s">
        <v>1181</v>
      </c>
      <c r="F2544" s="10" t="s">
        <v>270</v>
      </c>
      <c r="G2544" s="31"/>
      <c r="H2544" s="53">
        <f>H2545</f>
        <v>50</v>
      </c>
    </row>
    <row r="2545" spans="1:8" s="28" customFormat="1" ht="31.5" x14ac:dyDescent="0.25">
      <c r="A2545" s="27">
        <v>20420901</v>
      </c>
      <c r="B2545" s="26" t="s">
        <v>1408</v>
      </c>
      <c r="C2545" s="12" t="s">
        <v>1189</v>
      </c>
      <c r="D2545" s="12" t="s">
        <v>567</v>
      </c>
      <c r="E2545" s="12" t="s">
        <v>1181</v>
      </c>
      <c r="F2545" s="10" t="s">
        <v>956</v>
      </c>
      <c r="G2545" s="31"/>
      <c r="H2545" s="53">
        <f>H2546</f>
        <v>50</v>
      </c>
    </row>
    <row r="2546" spans="1:8" s="28" customFormat="1" x14ac:dyDescent="0.25">
      <c r="A2546" s="27">
        <v>20420901012</v>
      </c>
      <c r="B2546" s="65" t="s">
        <v>1012</v>
      </c>
      <c r="C2546" s="12" t="s">
        <v>1189</v>
      </c>
      <c r="D2546" s="12" t="s">
        <v>567</v>
      </c>
      <c r="E2546" s="12" t="s">
        <v>1181</v>
      </c>
      <c r="F2546" s="10" t="s">
        <v>956</v>
      </c>
      <c r="G2546" s="12" t="s">
        <v>1224</v>
      </c>
      <c r="H2546" s="53">
        <v>50</v>
      </c>
    </row>
    <row r="2547" spans="1:8" s="28" customFormat="1" ht="18" customHeight="1" x14ac:dyDescent="0.25">
      <c r="A2547" s="27">
        <v>3</v>
      </c>
      <c r="B2547" s="35" t="s">
        <v>1049</v>
      </c>
      <c r="C2547" s="12" t="s">
        <v>1189</v>
      </c>
      <c r="D2547" s="12" t="s">
        <v>193</v>
      </c>
      <c r="E2547" s="12"/>
      <c r="F2547" s="10"/>
      <c r="G2547" s="12"/>
      <c r="H2547" s="53">
        <f>H2548</f>
        <v>104</v>
      </c>
    </row>
    <row r="2548" spans="1:8" s="28" customFormat="1" ht="47.25" x14ac:dyDescent="0.25">
      <c r="A2548" s="27">
        <v>309</v>
      </c>
      <c r="B2548" s="26" t="s">
        <v>133</v>
      </c>
      <c r="C2548" s="12" t="s">
        <v>1189</v>
      </c>
      <c r="D2548" s="12" t="s">
        <v>193</v>
      </c>
      <c r="E2548" s="12" t="s">
        <v>406</v>
      </c>
      <c r="F2548" s="10"/>
      <c r="G2548" s="12"/>
      <c r="H2548" s="53">
        <f>H2549</f>
        <v>104</v>
      </c>
    </row>
    <row r="2549" spans="1:8" s="28" customFormat="1" x14ac:dyDescent="0.25">
      <c r="A2549" s="27">
        <v>309219</v>
      </c>
      <c r="B2549" s="26" t="s">
        <v>1098</v>
      </c>
      <c r="C2549" s="12" t="s">
        <v>1189</v>
      </c>
      <c r="D2549" s="12" t="s">
        <v>193</v>
      </c>
      <c r="E2549" s="12" t="s">
        <v>406</v>
      </c>
      <c r="F2549" s="10" t="s">
        <v>620</v>
      </c>
      <c r="G2549" s="12"/>
      <c r="H2549" s="53">
        <f>H2550</f>
        <v>104</v>
      </c>
    </row>
    <row r="2550" spans="1:8" s="28" customFormat="1" ht="31.5" x14ac:dyDescent="0.25">
      <c r="A2550" s="27">
        <v>30921901</v>
      </c>
      <c r="B2550" s="26" t="s">
        <v>591</v>
      </c>
      <c r="C2550" s="12" t="s">
        <v>1189</v>
      </c>
      <c r="D2550" s="12" t="s">
        <v>193</v>
      </c>
      <c r="E2550" s="12" t="s">
        <v>406</v>
      </c>
      <c r="F2550" s="10" t="s">
        <v>269</v>
      </c>
      <c r="G2550" s="12"/>
      <c r="H2550" s="53">
        <f>H2551</f>
        <v>104</v>
      </c>
    </row>
    <row r="2551" spans="1:8" s="28" customFormat="1" x14ac:dyDescent="0.25">
      <c r="A2551" s="27">
        <v>30921901012</v>
      </c>
      <c r="B2551" s="65" t="s">
        <v>1012</v>
      </c>
      <c r="C2551" s="12" t="s">
        <v>1189</v>
      </c>
      <c r="D2551" s="12" t="s">
        <v>193</v>
      </c>
      <c r="E2551" s="12" t="s">
        <v>406</v>
      </c>
      <c r="F2551" s="10" t="s">
        <v>269</v>
      </c>
      <c r="G2551" s="12" t="s">
        <v>1224</v>
      </c>
      <c r="H2551" s="53">
        <v>104</v>
      </c>
    </row>
    <row r="2552" spans="1:8" s="28" customFormat="1" x14ac:dyDescent="0.25">
      <c r="A2552" s="29">
        <v>9</v>
      </c>
      <c r="B2552" s="35" t="s">
        <v>450</v>
      </c>
      <c r="C2552" s="12" t="s">
        <v>1189</v>
      </c>
      <c r="D2552" s="12" t="s">
        <v>406</v>
      </c>
      <c r="E2552" s="10"/>
      <c r="F2552" s="10"/>
      <c r="G2552" s="10"/>
      <c r="H2552" s="53">
        <f>H2553</f>
        <v>74766</v>
      </c>
    </row>
    <row r="2553" spans="1:8" s="28" customFormat="1" ht="31.5" x14ac:dyDescent="0.25">
      <c r="A2553" s="29">
        <v>910</v>
      </c>
      <c r="B2553" s="26" t="s">
        <v>877</v>
      </c>
      <c r="C2553" s="12" t="s">
        <v>1189</v>
      </c>
      <c r="D2553" s="6" t="s">
        <v>406</v>
      </c>
      <c r="E2553" s="6">
        <v>10</v>
      </c>
      <c r="F2553" s="10"/>
      <c r="G2553" s="10"/>
      <c r="H2553" s="53">
        <f>H2554</f>
        <v>74766</v>
      </c>
    </row>
    <row r="2554" spans="1:8" s="28" customFormat="1" ht="47.25" x14ac:dyDescent="0.25">
      <c r="A2554" s="27">
        <v>910002</v>
      </c>
      <c r="B2554" s="26" t="s">
        <v>1657</v>
      </c>
      <c r="C2554" s="12" t="s">
        <v>1189</v>
      </c>
      <c r="D2554" s="6" t="s">
        <v>406</v>
      </c>
      <c r="E2554" s="6">
        <v>10</v>
      </c>
      <c r="F2554" s="12" t="s">
        <v>200</v>
      </c>
      <c r="G2554" s="12"/>
      <c r="H2554" s="53">
        <f>H2555</f>
        <v>74766</v>
      </c>
    </row>
    <row r="2555" spans="1:8" s="28" customFormat="1" x14ac:dyDescent="0.25">
      <c r="A2555" s="27">
        <v>91000204</v>
      </c>
      <c r="B2555" s="26" t="s">
        <v>638</v>
      </c>
      <c r="C2555" s="12" t="s">
        <v>1189</v>
      </c>
      <c r="D2555" s="6" t="s">
        <v>406</v>
      </c>
      <c r="E2555" s="6">
        <v>10</v>
      </c>
      <c r="F2555" s="12" t="s">
        <v>797</v>
      </c>
      <c r="G2555" s="12"/>
      <c r="H2555" s="53">
        <f>H2556</f>
        <v>74766</v>
      </c>
    </row>
    <row r="2556" spans="1:8" s="3" customFormat="1" x14ac:dyDescent="0.25">
      <c r="A2556" s="27">
        <v>91000204012</v>
      </c>
      <c r="B2556" s="65" t="s">
        <v>1012</v>
      </c>
      <c r="C2556" s="12" t="s">
        <v>1189</v>
      </c>
      <c r="D2556" s="6" t="s">
        <v>406</v>
      </c>
      <c r="E2556" s="6">
        <v>10</v>
      </c>
      <c r="F2556" s="12" t="s">
        <v>797</v>
      </c>
      <c r="G2556" s="12" t="s">
        <v>1224</v>
      </c>
      <c r="H2556" s="53">
        <v>74766</v>
      </c>
    </row>
    <row r="2557" spans="1:8" s="28" customFormat="1" x14ac:dyDescent="0.25">
      <c r="A2557" s="29"/>
      <c r="B2557" s="41"/>
      <c r="C2557" s="12"/>
      <c r="D2557" s="12"/>
      <c r="E2557" s="12"/>
      <c r="F2557" s="12"/>
      <c r="G2557" s="12"/>
      <c r="H2557" s="53"/>
    </row>
    <row r="2558" spans="1:8" s="28" customFormat="1" ht="31.5" x14ac:dyDescent="0.25">
      <c r="A2558" s="40">
        <v>0</v>
      </c>
      <c r="B2558" s="30" t="s">
        <v>693</v>
      </c>
      <c r="C2558" s="42" t="s">
        <v>451</v>
      </c>
      <c r="D2558" s="12"/>
      <c r="E2558" s="12"/>
      <c r="F2558" s="10"/>
      <c r="G2558" s="12"/>
      <c r="H2558" s="187">
        <f>H2559</f>
        <v>46650</v>
      </c>
    </row>
    <row r="2559" spans="1:8" s="28" customFormat="1" x14ac:dyDescent="0.25">
      <c r="A2559" s="29">
        <v>9</v>
      </c>
      <c r="B2559" s="35" t="s">
        <v>450</v>
      </c>
      <c r="C2559" s="12" t="s">
        <v>451</v>
      </c>
      <c r="D2559" s="12" t="s">
        <v>406</v>
      </c>
      <c r="E2559" s="12"/>
      <c r="F2559" s="12"/>
      <c r="G2559" s="12"/>
      <c r="H2559" s="53">
        <f>H2560</f>
        <v>46650</v>
      </c>
    </row>
    <row r="2560" spans="1:8" s="28" customFormat="1" x14ac:dyDescent="0.25">
      <c r="A2560" s="29">
        <v>908</v>
      </c>
      <c r="B2560" s="37" t="s">
        <v>504</v>
      </c>
      <c r="C2560" s="12" t="s">
        <v>451</v>
      </c>
      <c r="D2560" s="12" t="s">
        <v>406</v>
      </c>
      <c r="E2560" s="12" t="s">
        <v>290</v>
      </c>
      <c r="F2560" s="12"/>
      <c r="G2560" s="12"/>
      <c r="H2560" s="53">
        <f>H2561</f>
        <v>46650</v>
      </c>
    </row>
    <row r="2561" spans="1:8" s="28" customFormat="1" x14ac:dyDescent="0.25">
      <c r="A2561" s="27">
        <v>908482</v>
      </c>
      <c r="B2561" s="37" t="s">
        <v>1324</v>
      </c>
      <c r="C2561" s="12" t="s">
        <v>451</v>
      </c>
      <c r="D2561" s="12" t="s">
        <v>406</v>
      </c>
      <c r="E2561" s="12" t="s">
        <v>290</v>
      </c>
      <c r="F2561" s="10" t="s">
        <v>1369</v>
      </c>
      <c r="G2561" s="39"/>
      <c r="H2561" s="53">
        <f>H2562</f>
        <v>46650</v>
      </c>
    </row>
    <row r="2562" spans="1:8" s="28" customFormat="1" x14ac:dyDescent="0.25">
      <c r="A2562" s="27">
        <v>90848299</v>
      </c>
      <c r="B2562" s="190" t="s">
        <v>624</v>
      </c>
      <c r="C2562" s="12" t="s">
        <v>451</v>
      </c>
      <c r="D2562" s="12" t="s">
        <v>406</v>
      </c>
      <c r="E2562" s="12" t="s">
        <v>290</v>
      </c>
      <c r="F2562" s="10" t="s">
        <v>85</v>
      </c>
      <c r="G2562" s="39"/>
      <c r="H2562" s="53">
        <f>H2563</f>
        <v>46650</v>
      </c>
    </row>
    <row r="2563" spans="1:8" s="28" customFormat="1" x14ac:dyDescent="0.25">
      <c r="A2563" s="27">
        <v>90848299001</v>
      </c>
      <c r="B2563" s="190" t="s">
        <v>1435</v>
      </c>
      <c r="C2563" s="12" t="s">
        <v>451</v>
      </c>
      <c r="D2563" s="12" t="s">
        <v>406</v>
      </c>
      <c r="E2563" s="12" t="s">
        <v>290</v>
      </c>
      <c r="F2563" s="10" t="s">
        <v>85</v>
      </c>
      <c r="G2563" s="12" t="s">
        <v>1394</v>
      </c>
      <c r="H2563" s="53">
        <v>46650</v>
      </c>
    </row>
    <row r="2564" spans="1:8" s="28" customFormat="1" x14ac:dyDescent="0.25">
      <c r="A2564" s="29"/>
      <c r="B2564" s="26"/>
      <c r="C2564" s="12"/>
      <c r="D2564" s="12"/>
      <c r="E2564" s="12"/>
      <c r="F2564" s="12"/>
      <c r="G2564" s="12"/>
      <c r="H2564" s="53"/>
    </row>
    <row r="2565" spans="1:8" s="28" customFormat="1" ht="31.5" x14ac:dyDescent="0.25">
      <c r="A2565" s="40">
        <v>0</v>
      </c>
      <c r="B2565" s="30" t="s">
        <v>1190</v>
      </c>
      <c r="C2565" s="42" t="s">
        <v>1703</v>
      </c>
      <c r="D2565" s="12"/>
      <c r="E2565" s="12"/>
      <c r="F2565" s="12"/>
      <c r="G2565" s="12"/>
      <c r="H2565" s="187">
        <f>H2566+H2571+H2576+H2586</f>
        <v>440190</v>
      </c>
    </row>
    <row r="2566" spans="1:8" s="28" customFormat="1" x14ac:dyDescent="0.25">
      <c r="A2566" s="27">
        <v>2</v>
      </c>
      <c r="B2566" s="35" t="s">
        <v>271</v>
      </c>
      <c r="C2566" s="12" t="s">
        <v>1703</v>
      </c>
      <c r="D2566" s="12" t="s">
        <v>567</v>
      </c>
      <c r="E2566" s="31"/>
      <c r="F2566" s="31"/>
      <c r="G2566" s="31"/>
      <c r="H2566" s="53">
        <f>H2567</f>
        <v>8</v>
      </c>
    </row>
    <row r="2567" spans="1:8" s="28" customFormat="1" x14ac:dyDescent="0.25">
      <c r="A2567" s="27">
        <v>204</v>
      </c>
      <c r="B2567" s="26" t="s">
        <v>1054</v>
      </c>
      <c r="C2567" s="12" t="s">
        <v>1703</v>
      </c>
      <c r="D2567" s="12" t="s">
        <v>567</v>
      </c>
      <c r="E2567" s="12" t="s">
        <v>1181</v>
      </c>
      <c r="F2567" s="31"/>
      <c r="G2567" s="31"/>
      <c r="H2567" s="53">
        <f>H2568</f>
        <v>8</v>
      </c>
    </row>
    <row r="2568" spans="1:8" s="28" customFormat="1" ht="31.5" x14ac:dyDescent="0.25">
      <c r="A2568" s="27">
        <v>204209</v>
      </c>
      <c r="B2568" s="26" t="s">
        <v>141</v>
      </c>
      <c r="C2568" s="12" t="s">
        <v>1703</v>
      </c>
      <c r="D2568" s="12" t="s">
        <v>567</v>
      </c>
      <c r="E2568" s="12" t="s">
        <v>1181</v>
      </c>
      <c r="F2568" s="10" t="s">
        <v>270</v>
      </c>
      <c r="G2568" s="31"/>
      <c r="H2568" s="53">
        <f>H2569</f>
        <v>8</v>
      </c>
    </row>
    <row r="2569" spans="1:8" s="28" customFormat="1" ht="31.5" x14ac:dyDescent="0.25">
      <c r="A2569" s="27">
        <v>20420901</v>
      </c>
      <c r="B2569" s="26" t="s">
        <v>1408</v>
      </c>
      <c r="C2569" s="12" t="s">
        <v>1703</v>
      </c>
      <c r="D2569" s="12" t="s">
        <v>567</v>
      </c>
      <c r="E2569" s="12" t="s">
        <v>1181</v>
      </c>
      <c r="F2569" s="10" t="s">
        <v>956</v>
      </c>
      <c r="G2569" s="31"/>
      <c r="H2569" s="53">
        <f>H2570</f>
        <v>8</v>
      </c>
    </row>
    <row r="2570" spans="1:8" s="28" customFormat="1" x14ac:dyDescent="0.25">
      <c r="A2570" s="27">
        <v>20420901012</v>
      </c>
      <c r="B2570" s="65" t="s">
        <v>1012</v>
      </c>
      <c r="C2570" s="12" t="s">
        <v>1703</v>
      </c>
      <c r="D2570" s="12" t="s">
        <v>567</v>
      </c>
      <c r="E2570" s="12" t="s">
        <v>1181</v>
      </c>
      <c r="F2570" s="10" t="s">
        <v>956</v>
      </c>
      <c r="G2570" s="12" t="s">
        <v>1224</v>
      </c>
      <c r="H2570" s="53">
        <v>8</v>
      </c>
    </row>
    <row r="2571" spans="1:8" s="28" customFormat="1" ht="19.5" customHeight="1" x14ac:dyDescent="0.25">
      <c r="A2571" s="27">
        <v>3</v>
      </c>
      <c r="B2571" s="35" t="s">
        <v>1049</v>
      </c>
      <c r="C2571" s="12" t="s">
        <v>1703</v>
      </c>
      <c r="D2571" s="12" t="s">
        <v>193</v>
      </c>
      <c r="E2571" s="12"/>
      <c r="F2571" s="10"/>
      <c r="G2571" s="12"/>
      <c r="H2571" s="53">
        <f>H2572</f>
        <v>352</v>
      </c>
    </row>
    <row r="2572" spans="1:8" s="28" customFormat="1" ht="47.25" x14ac:dyDescent="0.25">
      <c r="A2572" s="27">
        <v>309</v>
      </c>
      <c r="B2572" s="26" t="s">
        <v>133</v>
      </c>
      <c r="C2572" s="12" t="s">
        <v>1703</v>
      </c>
      <c r="D2572" s="12" t="s">
        <v>193</v>
      </c>
      <c r="E2572" s="12" t="s">
        <v>406</v>
      </c>
      <c r="F2572" s="10"/>
      <c r="G2572" s="12"/>
      <c r="H2572" s="53">
        <f>H2573</f>
        <v>352</v>
      </c>
    </row>
    <row r="2573" spans="1:8" s="28" customFormat="1" x14ac:dyDescent="0.25">
      <c r="A2573" s="27">
        <v>309219</v>
      </c>
      <c r="B2573" s="26" t="s">
        <v>1098</v>
      </c>
      <c r="C2573" s="12" t="s">
        <v>1703</v>
      </c>
      <c r="D2573" s="12" t="s">
        <v>193</v>
      </c>
      <c r="E2573" s="12" t="s">
        <v>406</v>
      </c>
      <c r="F2573" s="10" t="s">
        <v>620</v>
      </c>
      <c r="G2573" s="12"/>
      <c r="H2573" s="53">
        <f>H2574</f>
        <v>352</v>
      </c>
    </row>
    <row r="2574" spans="1:8" s="28" customFormat="1" ht="31.5" x14ac:dyDescent="0.25">
      <c r="A2574" s="27">
        <v>30921901</v>
      </c>
      <c r="B2574" s="26" t="s">
        <v>591</v>
      </c>
      <c r="C2574" s="12" t="s">
        <v>1703</v>
      </c>
      <c r="D2574" s="12" t="s">
        <v>193</v>
      </c>
      <c r="E2574" s="12" t="s">
        <v>406</v>
      </c>
      <c r="F2574" s="10" t="s">
        <v>269</v>
      </c>
      <c r="G2574" s="12"/>
      <c r="H2574" s="53">
        <f>H2575</f>
        <v>352</v>
      </c>
    </row>
    <row r="2575" spans="1:8" s="28" customFormat="1" x14ac:dyDescent="0.25">
      <c r="A2575" s="27">
        <v>30921901012</v>
      </c>
      <c r="B2575" s="65" t="s">
        <v>1012</v>
      </c>
      <c r="C2575" s="12" t="s">
        <v>1703</v>
      </c>
      <c r="D2575" s="12" t="s">
        <v>193</v>
      </c>
      <c r="E2575" s="12" t="s">
        <v>406</v>
      </c>
      <c r="F2575" s="10" t="s">
        <v>269</v>
      </c>
      <c r="G2575" s="12" t="s">
        <v>1224</v>
      </c>
      <c r="H2575" s="53">
        <v>352</v>
      </c>
    </row>
    <row r="2576" spans="1:8" s="28" customFormat="1" x14ac:dyDescent="0.25">
      <c r="A2576" s="29">
        <v>5</v>
      </c>
      <c r="B2576" s="35" t="s">
        <v>173</v>
      </c>
      <c r="C2576" s="12" t="s">
        <v>1703</v>
      </c>
      <c r="D2576" s="12" t="s">
        <v>175</v>
      </c>
      <c r="E2576" s="10"/>
      <c r="F2576" s="10"/>
      <c r="G2576" s="10"/>
      <c r="H2576" s="53">
        <f>H2577</f>
        <v>439662</v>
      </c>
    </row>
    <row r="2577" spans="1:8" s="28" customFormat="1" x14ac:dyDescent="0.25">
      <c r="A2577" s="29">
        <v>505</v>
      </c>
      <c r="B2577" s="26" t="s">
        <v>551</v>
      </c>
      <c r="C2577" s="12" t="s">
        <v>1703</v>
      </c>
      <c r="D2577" s="12" t="s">
        <v>175</v>
      </c>
      <c r="E2577" s="12" t="s">
        <v>175</v>
      </c>
      <c r="F2577" s="10"/>
      <c r="G2577" s="10"/>
      <c r="H2577" s="53">
        <f>H2578+H2581</f>
        <v>439662</v>
      </c>
    </row>
    <row r="2578" spans="1:8" s="28" customFormat="1" ht="47.25" x14ac:dyDescent="0.25">
      <c r="A2578" s="27">
        <v>505002</v>
      </c>
      <c r="B2578" s="26" t="s">
        <v>1657</v>
      </c>
      <c r="C2578" s="12" t="s">
        <v>1703</v>
      </c>
      <c r="D2578" s="12" t="s">
        <v>175</v>
      </c>
      <c r="E2578" s="12" t="s">
        <v>175</v>
      </c>
      <c r="F2578" s="12" t="s">
        <v>200</v>
      </c>
      <c r="G2578" s="12"/>
      <c r="H2578" s="53">
        <f>H2579</f>
        <v>435693</v>
      </c>
    </row>
    <row r="2579" spans="1:8" s="28" customFormat="1" x14ac:dyDescent="0.25">
      <c r="A2579" s="27">
        <v>50500204</v>
      </c>
      <c r="B2579" s="26" t="s">
        <v>638</v>
      </c>
      <c r="C2579" s="12" t="s">
        <v>1703</v>
      </c>
      <c r="D2579" s="12" t="s">
        <v>175</v>
      </c>
      <c r="E2579" s="12" t="s">
        <v>175</v>
      </c>
      <c r="F2579" s="12" t="s">
        <v>797</v>
      </c>
      <c r="G2579" s="12"/>
      <c r="H2579" s="53">
        <f>H2580</f>
        <v>435693</v>
      </c>
    </row>
    <row r="2580" spans="1:8" s="3" customFormat="1" x14ac:dyDescent="0.25">
      <c r="A2580" s="27">
        <v>50500204012</v>
      </c>
      <c r="B2580" s="65" t="s">
        <v>1012</v>
      </c>
      <c r="C2580" s="12" t="s">
        <v>1703</v>
      </c>
      <c r="D2580" s="12" t="s">
        <v>175</v>
      </c>
      <c r="E2580" s="12" t="s">
        <v>175</v>
      </c>
      <c r="F2580" s="12" t="s">
        <v>797</v>
      </c>
      <c r="G2580" s="12" t="s">
        <v>1224</v>
      </c>
      <c r="H2580" s="53">
        <v>435693</v>
      </c>
    </row>
    <row r="2581" spans="1:8" s="28" customFormat="1" x14ac:dyDescent="0.25">
      <c r="A2581" s="27">
        <v>505803</v>
      </c>
      <c r="B2581" s="65" t="s">
        <v>1226</v>
      </c>
      <c r="C2581" s="12" t="s">
        <v>1703</v>
      </c>
      <c r="D2581" s="12" t="s">
        <v>175</v>
      </c>
      <c r="E2581" s="12" t="s">
        <v>175</v>
      </c>
      <c r="F2581" s="10" t="s">
        <v>1045</v>
      </c>
      <c r="G2581" s="12"/>
      <c r="H2581" s="53">
        <f>H2582+H2584</f>
        <v>3969</v>
      </c>
    </row>
    <row r="2582" spans="1:8" ht="31.5" x14ac:dyDescent="0.25">
      <c r="A2582" s="27">
        <v>5058030001</v>
      </c>
      <c r="B2582" s="26" t="s">
        <v>546</v>
      </c>
      <c r="C2582" s="12" t="s">
        <v>1703</v>
      </c>
      <c r="D2582" s="12" t="s">
        <v>175</v>
      </c>
      <c r="E2582" s="12" t="s">
        <v>175</v>
      </c>
      <c r="F2582" s="10" t="s">
        <v>1310</v>
      </c>
      <c r="G2582" s="4"/>
      <c r="H2582" s="185">
        <f>H2583</f>
        <v>2886</v>
      </c>
    </row>
    <row r="2583" spans="1:8" x14ac:dyDescent="0.25">
      <c r="A2583" s="27">
        <v>5058030001013</v>
      </c>
      <c r="B2583" s="26" t="s">
        <v>1335</v>
      </c>
      <c r="C2583" s="12" t="s">
        <v>1703</v>
      </c>
      <c r="D2583" s="6" t="s">
        <v>175</v>
      </c>
      <c r="E2583" s="12" t="s">
        <v>175</v>
      </c>
      <c r="F2583" s="10" t="s">
        <v>1310</v>
      </c>
      <c r="G2583" s="12" t="s">
        <v>972</v>
      </c>
      <c r="H2583" s="185">
        <v>2886</v>
      </c>
    </row>
    <row r="2584" spans="1:8" ht="31.5" x14ac:dyDescent="0.25">
      <c r="A2584" s="27">
        <v>5058030003</v>
      </c>
      <c r="B2584" s="26" t="s">
        <v>915</v>
      </c>
      <c r="C2584" s="12" t="s">
        <v>1703</v>
      </c>
      <c r="D2584" s="12" t="s">
        <v>175</v>
      </c>
      <c r="E2584" s="12" t="s">
        <v>175</v>
      </c>
      <c r="F2584" s="10" t="s">
        <v>916</v>
      </c>
      <c r="G2584" s="4"/>
      <c r="H2584" s="185">
        <f>H2585</f>
        <v>1083</v>
      </c>
    </row>
    <row r="2585" spans="1:8" x14ac:dyDescent="0.25">
      <c r="A2585" s="27">
        <v>5058030003013</v>
      </c>
      <c r="B2585" s="26" t="s">
        <v>1335</v>
      </c>
      <c r="C2585" s="12" t="s">
        <v>1703</v>
      </c>
      <c r="D2585" s="6" t="s">
        <v>175</v>
      </c>
      <c r="E2585" s="12" t="s">
        <v>175</v>
      </c>
      <c r="F2585" s="10" t="s">
        <v>916</v>
      </c>
      <c r="G2585" s="12" t="s">
        <v>972</v>
      </c>
      <c r="H2585" s="185">
        <v>1083</v>
      </c>
    </row>
    <row r="2586" spans="1:8" s="128" customFormat="1" x14ac:dyDescent="0.25">
      <c r="A2586" s="29">
        <v>7</v>
      </c>
      <c r="B2586" s="35" t="s">
        <v>174</v>
      </c>
      <c r="C2586" s="12" t="s">
        <v>1703</v>
      </c>
      <c r="D2586" s="12" t="s">
        <v>205</v>
      </c>
      <c r="E2586" s="10"/>
      <c r="F2586" s="10"/>
      <c r="G2586" s="10"/>
      <c r="H2586" s="53">
        <f>H2587</f>
        <v>168</v>
      </c>
    </row>
    <row r="2587" spans="1:8" s="128" customFormat="1" x14ac:dyDescent="0.25">
      <c r="A2587" s="29">
        <v>707</v>
      </c>
      <c r="B2587" s="26" t="s">
        <v>699</v>
      </c>
      <c r="C2587" s="12" t="s">
        <v>1703</v>
      </c>
      <c r="D2587" s="12" t="s">
        <v>205</v>
      </c>
      <c r="E2587" s="12" t="s">
        <v>205</v>
      </c>
      <c r="F2587" s="10"/>
      <c r="G2587" s="10"/>
      <c r="H2587" s="53">
        <f>H2588</f>
        <v>168</v>
      </c>
    </row>
    <row r="2588" spans="1:8" s="128" customFormat="1" ht="21" customHeight="1" x14ac:dyDescent="0.25">
      <c r="A2588" s="27">
        <v>707432</v>
      </c>
      <c r="B2588" s="26" t="s">
        <v>1482</v>
      </c>
      <c r="C2588" s="12" t="s">
        <v>1703</v>
      </c>
      <c r="D2588" s="12" t="s">
        <v>205</v>
      </c>
      <c r="E2588" s="12" t="s">
        <v>205</v>
      </c>
      <c r="F2588" s="10" t="s">
        <v>965</v>
      </c>
      <c r="G2588" s="12"/>
      <c r="H2588" s="53">
        <f>H2589</f>
        <v>168</v>
      </c>
    </row>
    <row r="2589" spans="1:8" s="128" customFormat="1" x14ac:dyDescent="0.25">
      <c r="A2589" s="27">
        <v>70743202</v>
      </c>
      <c r="B2589" s="26" t="s">
        <v>541</v>
      </c>
      <c r="C2589" s="12" t="s">
        <v>1703</v>
      </c>
      <c r="D2589" s="12" t="s">
        <v>205</v>
      </c>
      <c r="E2589" s="12" t="s">
        <v>205</v>
      </c>
      <c r="F2589" s="10" t="s">
        <v>262</v>
      </c>
      <c r="G2589" s="12"/>
      <c r="H2589" s="53">
        <f>H2590</f>
        <v>168</v>
      </c>
    </row>
    <row r="2590" spans="1:8" s="128" customFormat="1" x14ac:dyDescent="0.25">
      <c r="A2590" s="27">
        <v>70743202001</v>
      </c>
      <c r="B2590" s="26" t="s">
        <v>1435</v>
      </c>
      <c r="C2590" s="12" t="s">
        <v>1703</v>
      </c>
      <c r="D2590" s="12" t="s">
        <v>205</v>
      </c>
      <c r="E2590" s="12" t="s">
        <v>205</v>
      </c>
      <c r="F2590" s="10" t="s">
        <v>262</v>
      </c>
      <c r="G2590" s="12" t="s">
        <v>1394</v>
      </c>
      <c r="H2590" s="53">
        <v>168</v>
      </c>
    </row>
    <row r="2591" spans="1:8" s="28" customFormat="1" x14ac:dyDescent="0.25">
      <c r="A2591" s="29"/>
      <c r="B2591" s="37"/>
      <c r="C2591" s="12"/>
      <c r="D2591" s="12"/>
      <c r="E2591" s="12"/>
      <c r="F2591" s="12"/>
      <c r="G2591" s="12"/>
      <c r="H2591" s="53"/>
    </row>
    <row r="2592" spans="1:8" s="28" customFormat="1" ht="33.75" customHeight="1" x14ac:dyDescent="0.25">
      <c r="A2592" s="40">
        <v>0</v>
      </c>
      <c r="B2592" s="30" t="s">
        <v>1407</v>
      </c>
      <c r="C2592" s="42" t="s">
        <v>1347</v>
      </c>
      <c r="D2592" s="12"/>
      <c r="E2592" s="12"/>
      <c r="F2592" s="12"/>
      <c r="G2592" s="12"/>
      <c r="H2592" s="187">
        <f>H2593+H2598</f>
        <v>172949</v>
      </c>
    </row>
    <row r="2593" spans="1:8" s="28" customFormat="1" ht="19.5" customHeight="1" x14ac:dyDescent="0.25">
      <c r="A2593" s="29">
        <v>3</v>
      </c>
      <c r="B2593" s="35" t="s">
        <v>1049</v>
      </c>
      <c r="C2593" s="12" t="s">
        <v>1347</v>
      </c>
      <c r="D2593" s="12" t="s">
        <v>193</v>
      </c>
      <c r="E2593" s="12"/>
      <c r="F2593" s="12"/>
      <c r="G2593" s="12"/>
      <c r="H2593" s="53">
        <f>H2594</f>
        <v>220</v>
      </c>
    </row>
    <row r="2594" spans="1:8" s="28" customFormat="1" ht="47.25" x14ac:dyDescent="0.25">
      <c r="A2594" s="27">
        <v>309</v>
      </c>
      <c r="B2594" s="26" t="s">
        <v>133</v>
      </c>
      <c r="C2594" s="12" t="s">
        <v>1347</v>
      </c>
      <c r="D2594" s="12" t="s">
        <v>193</v>
      </c>
      <c r="E2594" s="12" t="s">
        <v>406</v>
      </c>
      <c r="F2594" s="10"/>
      <c r="G2594" s="12"/>
      <c r="H2594" s="53">
        <f>H2595</f>
        <v>220</v>
      </c>
    </row>
    <row r="2595" spans="1:8" s="28" customFormat="1" x14ac:dyDescent="0.25">
      <c r="A2595" s="27">
        <v>309219</v>
      </c>
      <c r="B2595" s="26" t="s">
        <v>1098</v>
      </c>
      <c r="C2595" s="12" t="s">
        <v>1347</v>
      </c>
      <c r="D2595" s="12" t="s">
        <v>193</v>
      </c>
      <c r="E2595" s="12" t="s">
        <v>406</v>
      </c>
      <c r="F2595" s="10" t="s">
        <v>620</v>
      </c>
      <c r="G2595" s="12"/>
      <c r="H2595" s="53">
        <f>H2596</f>
        <v>220</v>
      </c>
    </row>
    <row r="2596" spans="1:8" s="28" customFormat="1" ht="31.5" x14ac:dyDescent="0.25">
      <c r="A2596" s="27">
        <v>30921901</v>
      </c>
      <c r="B2596" s="26" t="s">
        <v>591</v>
      </c>
      <c r="C2596" s="12" t="s">
        <v>1347</v>
      </c>
      <c r="D2596" s="12" t="s">
        <v>193</v>
      </c>
      <c r="E2596" s="12" t="s">
        <v>406</v>
      </c>
      <c r="F2596" s="10" t="s">
        <v>269</v>
      </c>
      <c r="G2596" s="12"/>
      <c r="H2596" s="53">
        <f>H2597</f>
        <v>220</v>
      </c>
    </row>
    <row r="2597" spans="1:8" s="28" customFormat="1" x14ac:dyDescent="0.25">
      <c r="A2597" s="27">
        <v>30921901012</v>
      </c>
      <c r="B2597" s="65" t="s">
        <v>1012</v>
      </c>
      <c r="C2597" s="12" t="s">
        <v>1347</v>
      </c>
      <c r="D2597" s="12" t="s">
        <v>193</v>
      </c>
      <c r="E2597" s="12" t="s">
        <v>406</v>
      </c>
      <c r="F2597" s="10" t="s">
        <v>269</v>
      </c>
      <c r="G2597" s="12" t="s">
        <v>1224</v>
      </c>
      <c r="H2597" s="53">
        <v>220</v>
      </c>
    </row>
    <row r="2598" spans="1:8" s="28" customFormat="1" x14ac:dyDescent="0.25">
      <c r="A2598" s="29">
        <v>5</v>
      </c>
      <c r="B2598" s="35" t="s">
        <v>173</v>
      </c>
      <c r="C2598" s="12" t="s">
        <v>1347</v>
      </c>
      <c r="D2598" s="12" t="s">
        <v>175</v>
      </c>
      <c r="E2598" s="10"/>
      <c r="F2598" s="10"/>
      <c r="G2598" s="10"/>
      <c r="H2598" s="53">
        <f>H2599</f>
        <v>172729</v>
      </c>
    </row>
    <row r="2599" spans="1:8" s="28" customFormat="1" x14ac:dyDescent="0.25">
      <c r="A2599" s="29">
        <v>505</v>
      </c>
      <c r="B2599" s="26" t="s">
        <v>551</v>
      </c>
      <c r="C2599" s="12" t="s">
        <v>1347</v>
      </c>
      <c r="D2599" s="12" t="s">
        <v>175</v>
      </c>
      <c r="E2599" s="12" t="s">
        <v>175</v>
      </c>
      <c r="F2599" s="10"/>
      <c r="G2599" s="10"/>
      <c r="H2599" s="53">
        <f>H2600</f>
        <v>172729</v>
      </c>
    </row>
    <row r="2600" spans="1:8" s="28" customFormat="1" ht="47.25" x14ac:dyDescent="0.25">
      <c r="A2600" s="27">
        <v>505002</v>
      </c>
      <c r="B2600" s="26" t="s">
        <v>1657</v>
      </c>
      <c r="C2600" s="12" t="s">
        <v>1347</v>
      </c>
      <c r="D2600" s="12" t="s">
        <v>175</v>
      </c>
      <c r="E2600" s="12" t="s">
        <v>175</v>
      </c>
      <c r="F2600" s="12" t="s">
        <v>200</v>
      </c>
      <c r="G2600" s="12"/>
      <c r="H2600" s="53">
        <f>H2601</f>
        <v>172729</v>
      </c>
    </row>
    <row r="2601" spans="1:8" s="28" customFormat="1" x14ac:dyDescent="0.25">
      <c r="A2601" s="27">
        <v>50500204</v>
      </c>
      <c r="B2601" s="26" t="s">
        <v>638</v>
      </c>
      <c r="C2601" s="12" t="s">
        <v>1347</v>
      </c>
      <c r="D2601" s="12" t="s">
        <v>175</v>
      </c>
      <c r="E2601" s="12" t="s">
        <v>175</v>
      </c>
      <c r="F2601" s="12" t="s">
        <v>797</v>
      </c>
      <c r="G2601" s="12"/>
      <c r="H2601" s="53">
        <f>H2602</f>
        <v>172729</v>
      </c>
    </row>
    <row r="2602" spans="1:8" s="3" customFormat="1" x14ac:dyDescent="0.25">
      <c r="A2602" s="27">
        <v>50500204012</v>
      </c>
      <c r="B2602" s="65" t="s">
        <v>1012</v>
      </c>
      <c r="C2602" s="12" t="s">
        <v>1347</v>
      </c>
      <c r="D2602" s="12" t="s">
        <v>175</v>
      </c>
      <c r="E2602" s="12" t="s">
        <v>175</v>
      </c>
      <c r="F2602" s="12" t="s">
        <v>797</v>
      </c>
      <c r="G2602" s="12" t="s">
        <v>1224</v>
      </c>
      <c r="H2602" s="53">
        <v>172729</v>
      </c>
    </row>
    <row r="2603" spans="1:8" s="28" customFormat="1" x14ac:dyDescent="0.25">
      <c r="A2603" s="29"/>
      <c r="B2603" s="37"/>
      <c r="C2603" s="12"/>
      <c r="D2603" s="12"/>
      <c r="E2603" s="12"/>
      <c r="F2603" s="12"/>
      <c r="G2603" s="12"/>
      <c r="H2603" s="53"/>
    </row>
    <row r="2604" spans="1:8" s="28" customFormat="1" ht="47.25" x14ac:dyDescent="0.25">
      <c r="A2604" s="48">
        <v>0</v>
      </c>
      <c r="B2604" s="30" t="s">
        <v>31</v>
      </c>
      <c r="C2604" s="42" t="s">
        <v>168</v>
      </c>
      <c r="D2604" s="12"/>
      <c r="E2604" s="12"/>
      <c r="F2604" s="12"/>
      <c r="G2604" s="12"/>
      <c r="H2604" s="187">
        <f>H2605</f>
        <v>8400</v>
      </c>
    </row>
    <row r="2605" spans="1:8" s="28" customFormat="1" x14ac:dyDescent="0.25">
      <c r="A2605" s="29">
        <v>1</v>
      </c>
      <c r="B2605" s="35" t="s">
        <v>482</v>
      </c>
      <c r="C2605" s="12" t="s">
        <v>168</v>
      </c>
      <c r="D2605" s="12" t="s">
        <v>566</v>
      </c>
      <c r="E2605" s="10"/>
      <c r="F2605" s="10"/>
      <c r="G2605" s="10"/>
      <c r="H2605" s="53">
        <f>H2606</f>
        <v>8400</v>
      </c>
    </row>
    <row r="2606" spans="1:8" s="28" customFormat="1" x14ac:dyDescent="0.25">
      <c r="A2606" s="29">
        <v>114</v>
      </c>
      <c r="B2606" s="26" t="s">
        <v>287</v>
      </c>
      <c r="C2606" s="12" t="s">
        <v>168</v>
      </c>
      <c r="D2606" s="12" t="s">
        <v>566</v>
      </c>
      <c r="E2606" s="12">
        <v>14</v>
      </c>
      <c r="F2606" s="10"/>
      <c r="G2606" s="10"/>
      <c r="H2606" s="53">
        <f>H2607</f>
        <v>8400</v>
      </c>
    </row>
    <row r="2607" spans="1:8" s="28" customFormat="1" ht="47.25" x14ac:dyDescent="0.25">
      <c r="A2607" s="27">
        <v>114002</v>
      </c>
      <c r="B2607" s="26" t="s">
        <v>1657</v>
      </c>
      <c r="C2607" s="12" t="s">
        <v>168</v>
      </c>
      <c r="D2607" s="12" t="s">
        <v>566</v>
      </c>
      <c r="E2607" s="12">
        <v>14</v>
      </c>
      <c r="F2607" s="12" t="s">
        <v>200</v>
      </c>
      <c r="G2607" s="12"/>
      <c r="H2607" s="53">
        <f>H2608</f>
        <v>8400</v>
      </c>
    </row>
    <row r="2608" spans="1:8" s="28" customFormat="1" x14ac:dyDescent="0.25">
      <c r="A2608" s="27">
        <v>11400204</v>
      </c>
      <c r="B2608" s="26" t="s">
        <v>638</v>
      </c>
      <c r="C2608" s="12" t="s">
        <v>168</v>
      </c>
      <c r="D2608" s="12" t="s">
        <v>566</v>
      </c>
      <c r="E2608" s="12">
        <v>14</v>
      </c>
      <c r="F2608" s="12" t="s">
        <v>797</v>
      </c>
      <c r="G2608" s="12"/>
      <c r="H2608" s="53">
        <f>H2609</f>
        <v>8400</v>
      </c>
    </row>
    <row r="2609" spans="1:9" s="3" customFormat="1" x14ac:dyDescent="0.25">
      <c r="A2609" s="27">
        <v>11400204012</v>
      </c>
      <c r="B2609" s="65" t="s">
        <v>1012</v>
      </c>
      <c r="C2609" s="12" t="s">
        <v>168</v>
      </c>
      <c r="D2609" s="12" t="s">
        <v>566</v>
      </c>
      <c r="E2609" s="12">
        <v>14</v>
      </c>
      <c r="F2609" s="12" t="s">
        <v>797</v>
      </c>
      <c r="G2609" s="12" t="s">
        <v>1224</v>
      </c>
      <c r="H2609" s="53">
        <v>8400</v>
      </c>
    </row>
    <row r="2610" spans="1:9" s="28" customFormat="1" x14ac:dyDescent="0.25">
      <c r="A2610" s="29"/>
      <c r="B2610" s="39"/>
      <c r="C2610" s="12"/>
      <c r="D2610" s="12"/>
      <c r="E2610" s="12"/>
      <c r="F2610" s="12"/>
      <c r="G2610" s="12"/>
      <c r="H2610" s="53"/>
    </row>
    <row r="2611" spans="1:9" s="28" customFormat="1" ht="32.25" customHeight="1" x14ac:dyDescent="0.25">
      <c r="A2611" s="40">
        <v>0</v>
      </c>
      <c r="B2611" s="30" t="s">
        <v>1545</v>
      </c>
      <c r="C2611" s="42" t="s">
        <v>1401</v>
      </c>
      <c r="D2611" s="42"/>
      <c r="E2611" s="42"/>
      <c r="F2611" s="42"/>
      <c r="G2611" s="42"/>
      <c r="H2611" s="187">
        <f>H2612</f>
        <v>210000</v>
      </c>
    </row>
    <row r="2612" spans="1:9" s="28" customFormat="1" x14ac:dyDescent="0.25">
      <c r="A2612" s="29">
        <v>9</v>
      </c>
      <c r="B2612" s="35" t="s">
        <v>450</v>
      </c>
      <c r="C2612" s="12" t="s">
        <v>1401</v>
      </c>
      <c r="D2612" s="12" t="s">
        <v>406</v>
      </c>
      <c r="E2612" s="10"/>
      <c r="F2612" s="10"/>
      <c r="G2612" s="12"/>
      <c r="H2612" s="53">
        <f>H2613</f>
        <v>210000</v>
      </c>
    </row>
    <row r="2613" spans="1:9" s="28" customFormat="1" x14ac:dyDescent="0.25">
      <c r="A2613" s="29">
        <v>908</v>
      </c>
      <c r="B2613" s="37" t="s">
        <v>504</v>
      </c>
      <c r="C2613" s="12" t="s">
        <v>1401</v>
      </c>
      <c r="D2613" s="12" t="s">
        <v>406</v>
      </c>
      <c r="E2613" s="12" t="s">
        <v>290</v>
      </c>
      <c r="F2613" s="10"/>
      <c r="G2613" s="10"/>
      <c r="H2613" s="53">
        <f>H2614</f>
        <v>210000</v>
      </c>
    </row>
    <row r="2614" spans="1:9" s="28" customFormat="1" x14ac:dyDescent="0.25">
      <c r="A2614" s="27">
        <v>908482</v>
      </c>
      <c r="B2614" s="37" t="s">
        <v>1324</v>
      </c>
      <c r="C2614" s="12" t="s">
        <v>1401</v>
      </c>
      <c r="D2614" s="12" t="s">
        <v>406</v>
      </c>
      <c r="E2614" s="12" t="s">
        <v>290</v>
      </c>
      <c r="F2614" s="10" t="s">
        <v>1369</v>
      </c>
      <c r="G2614" s="39"/>
      <c r="H2614" s="53">
        <f>H2615</f>
        <v>210000</v>
      </c>
    </row>
    <row r="2615" spans="1:9" s="28" customFormat="1" x14ac:dyDescent="0.25">
      <c r="A2615" s="27">
        <v>90848299</v>
      </c>
      <c r="B2615" s="190" t="s">
        <v>624</v>
      </c>
      <c r="C2615" s="12" t="s">
        <v>1401</v>
      </c>
      <c r="D2615" s="12" t="s">
        <v>406</v>
      </c>
      <c r="E2615" s="12" t="s">
        <v>290</v>
      </c>
      <c r="F2615" s="10" t="s">
        <v>85</v>
      </c>
      <c r="G2615" s="39"/>
      <c r="H2615" s="53">
        <f>H2616</f>
        <v>210000</v>
      </c>
    </row>
    <row r="2616" spans="1:9" s="28" customFormat="1" x14ac:dyDescent="0.25">
      <c r="A2616" s="27">
        <v>90848299001</v>
      </c>
      <c r="B2616" s="190" t="s">
        <v>1435</v>
      </c>
      <c r="C2616" s="12" t="s">
        <v>1401</v>
      </c>
      <c r="D2616" s="12" t="s">
        <v>406</v>
      </c>
      <c r="E2616" s="12" t="s">
        <v>290</v>
      </c>
      <c r="F2616" s="10" t="s">
        <v>85</v>
      </c>
      <c r="G2616" s="12" t="s">
        <v>1394</v>
      </c>
      <c r="H2616" s="53">
        <v>210000</v>
      </c>
    </row>
    <row r="2617" spans="1:9" s="28" customFormat="1" x14ac:dyDescent="0.25">
      <c r="A2617" s="29"/>
      <c r="B2617" s="38"/>
      <c r="C2617" s="12"/>
      <c r="D2617" s="12"/>
      <c r="E2617" s="12"/>
      <c r="F2617" s="12"/>
      <c r="G2617" s="12"/>
      <c r="H2617" s="53"/>
    </row>
    <row r="2618" spans="1:9" s="28" customFormat="1" x14ac:dyDescent="0.25">
      <c r="A2618" s="49"/>
      <c r="B2618" s="15"/>
      <c r="D2618" s="6"/>
      <c r="E2618" s="6"/>
      <c r="F2618" s="19"/>
      <c r="G2618" s="6"/>
      <c r="H2618" s="185"/>
    </row>
    <row r="2619" spans="1:9" s="28" customFormat="1" x14ac:dyDescent="0.25">
      <c r="A2619" s="29"/>
      <c r="B2619" s="30" t="s">
        <v>745</v>
      </c>
      <c r="C2619" s="12"/>
      <c r="D2619" s="10"/>
      <c r="E2619" s="10"/>
      <c r="F2619" s="10"/>
      <c r="G2619" s="10"/>
      <c r="H2619" s="187">
        <f>SUMIF($A$17:$A$2618,"=0",H17:H2618)</f>
        <v>250120048</v>
      </c>
    </row>
    <row r="2620" spans="1:9" s="28" customFormat="1" ht="13.5" customHeight="1" x14ac:dyDescent="0.25">
      <c r="A2620" s="29"/>
      <c r="B2620" s="21"/>
      <c r="C2620" s="19"/>
      <c r="D2620" s="19"/>
      <c r="E2620" s="19"/>
      <c r="F2620" s="19"/>
      <c r="G2620" s="19"/>
      <c r="H2620" s="82"/>
    </row>
    <row r="2621" spans="1:9" s="28" customFormat="1" ht="18.75" customHeight="1" x14ac:dyDescent="0.25">
      <c r="A2621" s="29"/>
      <c r="B2621" s="50" t="s">
        <v>1564</v>
      </c>
      <c r="C2621" s="51"/>
      <c r="D2621" s="19"/>
      <c r="E2621" s="19"/>
      <c r="F2621" s="19"/>
      <c r="G2621" s="19"/>
      <c r="H2621" s="82"/>
    </row>
    <row r="2622" spans="1:9" s="52" customFormat="1" ht="64.5" customHeight="1" x14ac:dyDescent="0.25">
      <c r="A2622" s="29"/>
      <c r="B2622" s="838" t="s">
        <v>108</v>
      </c>
      <c r="C2622" s="838"/>
      <c r="D2622" s="838"/>
      <c r="E2622" s="838"/>
      <c r="F2622" s="838"/>
      <c r="G2622" s="838"/>
      <c r="H2622" s="838"/>
    </row>
    <row r="2623" spans="1:9" s="52" customFormat="1" ht="22.5" customHeight="1" x14ac:dyDescent="0.25">
      <c r="A2623" s="29"/>
      <c r="B2623" s="838" t="s">
        <v>548</v>
      </c>
      <c r="C2623" s="838"/>
      <c r="D2623" s="838"/>
      <c r="E2623" s="838"/>
      <c r="F2623" s="838"/>
      <c r="G2623" s="838"/>
      <c r="H2623" s="838"/>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25">
      <c r="A2624" s="29"/>
      <c r="B2624" s="15"/>
      <c r="C2624" s="19"/>
      <c r="D2624" s="19"/>
      <c r="E2624" s="19"/>
      <c r="F2624" s="19"/>
      <c r="G2624" s="19"/>
      <c r="H2624" s="82"/>
      <c r="I2624" s="43"/>
    </row>
    <row r="2625" spans="1:8" s="28" customFormat="1" x14ac:dyDescent="0.25">
      <c r="A2625" s="29"/>
      <c r="B2625" s="15"/>
      <c r="C2625" s="19"/>
      <c r="D2625" s="19"/>
      <c r="E2625" s="19"/>
      <c r="F2625" s="19"/>
      <c r="G2625" s="19"/>
      <c r="H2625" s="82"/>
    </row>
    <row r="2626" spans="1:8" s="28" customFormat="1" x14ac:dyDescent="0.25">
      <c r="A2626" s="29"/>
      <c r="B2626" s="15"/>
      <c r="C2626" s="19"/>
      <c r="D2626" s="19"/>
      <c r="E2626" s="19"/>
      <c r="F2626" s="19"/>
      <c r="G2626" s="19"/>
      <c r="H2626" s="82"/>
    </row>
    <row r="2627" spans="1:8" s="28" customFormat="1" x14ac:dyDescent="0.25">
      <c r="A2627" s="29"/>
      <c r="B2627" s="15"/>
      <c r="C2627" s="19"/>
      <c r="D2627" s="19"/>
      <c r="E2627" s="19"/>
      <c r="F2627" s="19"/>
      <c r="G2627" s="19"/>
      <c r="H2627" s="82"/>
    </row>
    <row r="2628" spans="1:8" s="28" customFormat="1" x14ac:dyDescent="0.25">
      <c r="A2628" s="29"/>
      <c r="B2628" s="15"/>
      <c r="C2628" s="19"/>
      <c r="D2628" s="19"/>
      <c r="E2628" s="19"/>
      <c r="F2628" s="19"/>
      <c r="G2628" s="19"/>
      <c r="H2628" s="82"/>
    </row>
    <row r="2629" spans="1:8" s="28" customFormat="1" x14ac:dyDescent="0.25">
      <c r="A2629" s="29"/>
      <c r="B2629" s="15"/>
      <c r="C2629" s="19"/>
      <c r="D2629" s="19"/>
      <c r="E2629" s="19"/>
      <c r="F2629" s="19"/>
      <c r="G2629" s="19"/>
      <c r="H2629" s="82"/>
    </row>
    <row r="2630" spans="1:8" s="28" customFormat="1" x14ac:dyDescent="0.25">
      <c r="A2630" s="29"/>
      <c r="B2630" s="15"/>
      <c r="C2630" s="19"/>
      <c r="D2630" s="19"/>
      <c r="E2630" s="19"/>
      <c r="F2630" s="19"/>
      <c r="G2630" s="19"/>
      <c r="H2630" s="82"/>
    </row>
    <row r="2631" spans="1:8" s="28" customFormat="1" x14ac:dyDescent="0.25">
      <c r="A2631" s="29"/>
      <c r="B2631" s="15"/>
      <c r="C2631" s="19"/>
      <c r="D2631" s="19"/>
      <c r="E2631" s="19"/>
      <c r="F2631" s="19"/>
      <c r="G2631" s="19"/>
      <c r="H2631" s="82"/>
    </row>
    <row r="2632" spans="1:8" s="28" customFormat="1" x14ac:dyDescent="0.25">
      <c r="A2632" s="29"/>
      <c r="B2632" s="15"/>
      <c r="C2632" s="19"/>
      <c r="D2632" s="19"/>
      <c r="E2632" s="19"/>
      <c r="F2632" s="19"/>
      <c r="G2632" s="19"/>
      <c r="H2632" s="82"/>
    </row>
    <row r="2633" spans="1:8" s="28" customFormat="1" x14ac:dyDescent="0.25">
      <c r="A2633" s="29"/>
      <c r="B2633" s="15"/>
      <c r="C2633" s="19"/>
      <c r="D2633" s="19"/>
      <c r="E2633" s="19"/>
      <c r="F2633" s="19"/>
      <c r="G2633" s="19"/>
      <c r="H2633" s="82"/>
    </row>
    <row r="2634" spans="1:8" s="28" customFormat="1" x14ac:dyDescent="0.25">
      <c r="A2634" s="29"/>
      <c r="B2634" s="15"/>
      <c r="C2634" s="19"/>
      <c r="D2634" s="19"/>
      <c r="E2634" s="19"/>
      <c r="F2634" s="19"/>
      <c r="G2634" s="19"/>
      <c r="H2634" s="82"/>
    </row>
    <row r="2635" spans="1:8" s="28" customFormat="1" x14ac:dyDescent="0.25">
      <c r="A2635" s="29"/>
      <c r="B2635" s="15"/>
      <c r="C2635" s="19"/>
      <c r="D2635" s="19"/>
      <c r="E2635" s="19"/>
      <c r="F2635" s="19"/>
      <c r="G2635" s="19"/>
      <c r="H2635" s="82"/>
    </row>
    <row r="2636" spans="1:8" s="28" customFormat="1" x14ac:dyDescent="0.25">
      <c r="A2636" s="29"/>
      <c r="B2636" s="15"/>
      <c r="C2636" s="19"/>
      <c r="D2636" s="19"/>
      <c r="E2636" s="19"/>
      <c r="F2636" s="19"/>
      <c r="G2636" s="19"/>
      <c r="H2636" s="82"/>
    </row>
    <row r="2637" spans="1:8" s="28" customFormat="1" x14ac:dyDescent="0.25">
      <c r="A2637" s="29"/>
      <c r="B2637" s="15"/>
      <c r="C2637" s="19"/>
      <c r="D2637" s="19"/>
      <c r="E2637" s="19"/>
      <c r="F2637" s="19"/>
      <c r="G2637" s="19"/>
      <c r="H2637" s="82"/>
    </row>
    <row r="2638" spans="1:8" s="28" customFormat="1" x14ac:dyDescent="0.25">
      <c r="A2638" s="29"/>
      <c r="B2638" s="15"/>
      <c r="C2638" s="19"/>
      <c r="D2638" s="19"/>
      <c r="E2638" s="19"/>
      <c r="F2638" s="19"/>
      <c r="G2638" s="19"/>
      <c r="H2638" s="82"/>
    </row>
    <row r="2639" spans="1:8" s="28" customFormat="1" x14ac:dyDescent="0.25">
      <c r="A2639" s="29"/>
      <c r="B2639" s="15"/>
      <c r="C2639" s="19"/>
      <c r="D2639" s="19"/>
      <c r="E2639" s="19"/>
      <c r="F2639" s="19"/>
      <c r="G2639" s="19"/>
      <c r="H2639" s="82"/>
    </row>
    <row r="2640" spans="1:8" s="28" customFormat="1" x14ac:dyDescent="0.25">
      <c r="A2640" s="29"/>
      <c r="B2640" s="15"/>
      <c r="C2640" s="19"/>
      <c r="D2640" s="19"/>
      <c r="E2640" s="19"/>
      <c r="F2640" s="19"/>
      <c r="G2640" s="19"/>
      <c r="H2640" s="82"/>
    </row>
    <row r="2641" spans="1:8" s="28" customFormat="1" x14ac:dyDescent="0.25">
      <c r="A2641" s="29"/>
      <c r="B2641" s="15"/>
      <c r="C2641" s="19"/>
      <c r="D2641" s="19"/>
      <c r="E2641" s="19"/>
      <c r="F2641" s="19"/>
      <c r="G2641" s="19"/>
      <c r="H2641" s="82"/>
    </row>
    <row r="2642" spans="1:8" s="28" customFormat="1" x14ac:dyDescent="0.25">
      <c r="A2642" s="29"/>
      <c r="B2642" s="15"/>
      <c r="C2642" s="19"/>
      <c r="D2642" s="19"/>
      <c r="E2642" s="19"/>
      <c r="F2642" s="19"/>
      <c r="G2642" s="19"/>
      <c r="H2642" s="82"/>
    </row>
    <row r="2643" spans="1:8" s="28" customFormat="1" x14ac:dyDescent="0.25">
      <c r="A2643" s="29"/>
      <c r="B2643" s="15"/>
      <c r="C2643" s="19"/>
      <c r="D2643" s="19"/>
      <c r="E2643" s="19"/>
      <c r="F2643" s="19"/>
      <c r="G2643" s="19"/>
      <c r="H2643" s="82"/>
    </row>
    <row r="2644" spans="1:8" s="28" customFormat="1" x14ac:dyDescent="0.25">
      <c r="A2644" s="29"/>
      <c r="B2644" s="15"/>
      <c r="C2644" s="19"/>
      <c r="D2644" s="19"/>
      <c r="E2644" s="19"/>
      <c r="F2644" s="19"/>
      <c r="G2644" s="19"/>
      <c r="H2644" s="82"/>
    </row>
    <row r="2645" spans="1:8" s="28" customFormat="1" x14ac:dyDescent="0.25">
      <c r="A2645" s="29"/>
      <c r="B2645" s="15"/>
      <c r="C2645" s="19"/>
      <c r="D2645" s="19"/>
      <c r="E2645" s="19"/>
      <c r="F2645" s="19"/>
      <c r="G2645" s="19"/>
      <c r="H2645" s="82"/>
    </row>
    <row r="2646" spans="1:8" s="28" customFormat="1" x14ac:dyDescent="0.25">
      <c r="A2646" s="29"/>
      <c r="B2646" s="15"/>
      <c r="C2646" s="19"/>
      <c r="D2646" s="19"/>
      <c r="E2646" s="19"/>
      <c r="F2646" s="19"/>
      <c r="G2646" s="19"/>
      <c r="H2646" s="82"/>
    </row>
    <row r="2647" spans="1:8" s="28" customFormat="1" x14ac:dyDescent="0.25">
      <c r="A2647" s="29"/>
      <c r="B2647" s="15"/>
      <c r="C2647" s="19"/>
      <c r="D2647" s="19"/>
      <c r="E2647" s="19"/>
      <c r="F2647" s="19"/>
      <c r="G2647" s="19"/>
      <c r="H2647" s="82"/>
    </row>
    <row r="2648" spans="1:8" s="28" customFormat="1" x14ac:dyDescent="0.25">
      <c r="A2648" s="29"/>
      <c r="B2648" s="15"/>
      <c r="C2648" s="19"/>
      <c r="D2648" s="19"/>
      <c r="E2648" s="19"/>
      <c r="F2648" s="19"/>
      <c r="G2648" s="19"/>
      <c r="H2648" s="82"/>
    </row>
    <row r="2649" spans="1:8" s="28" customFormat="1" x14ac:dyDescent="0.25">
      <c r="A2649" s="29"/>
      <c r="B2649" s="15"/>
      <c r="C2649" s="19"/>
      <c r="D2649" s="19"/>
      <c r="E2649" s="19"/>
      <c r="F2649" s="19"/>
      <c r="G2649" s="19"/>
      <c r="H2649" s="82"/>
    </row>
    <row r="2650" spans="1:8" s="28" customFormat="1" x14ac:dyDescent="0.25">
      <c r="A2650" s="29"/>
      <c r="B2650" s="15"/>
      <c r="C2650" s="19"/>
      <c r="D2650" s="19"/>
      <c r="E2650" s="19"/>
      <c r="F2650" s="19"/>
      <c r="G2650" s="19"/>
      <c r="H2650" s="82"/>
    </row>
    <row r="2651" spans="1:8" s="28" customFormat="1" x14ac:dyDescent="0.25">
      <c r="A2651" s="29"/>
      <c r="B2651" s="15"/>
      <c r="C2651" s="19"/>
      <c r="D2651" s="19"/>
      <c r="E2651" s="19"/>
      <c r="F2651" s="19"/>
      <c r="G2651" s="19"/>
      <c r="H2651" s="82"/>
    </row>
    <row r="2652" spans="1:8" s="28" customFormat="1" x14ac:dyDescent="0.25">
      <c r="A2652" s="29"/>
      <c r="B2652" s="15"/>
      <c r="C2652" s="19"/>
      <c r="D2652" s="19"/>
      <c r="E2652" s="19"/>
      <c r="F2652" s="19"/>
      <c r="G2652" s="19"/>
      <c r="H2652" s="82"/>
    </row>
    <row r="2653" spans="1:8" s="28" customFormat="1" x14ac:dyDescent="0.25">
      <c r="A2653" s="29"/>
      <c r="B2653" s="15"/>
      <c r="C2653" s="19"/>
      <c r="D2653" s="19"/>
      <c r="E2653" s="19"/>
      <c r="F2653" s="19"/>
      <c r="G2653" s="19"/>
      <c r="H2653" s="82"/>
    </row>
    <row r="2654" spans="1:8" s="28" customFormat="1" x14ac:dyDescent="0.25">
      <c r="A2654" s="29"/>
      <c r="B2654" s="15"/>
      <c r="C2654" s="19"/>
      <c r="D2654" s="19"/>
      <c r="E2654" s="19"/>
      <c r="F2654" s="19"/>
      <c r="G2654" s="19"/>
      <c r="H2654" s="82"/>
    </row>
    <row r="2655" spans="1:8" s="28" customFormat="1" x14ac:dyDescent="0.25">
      <c r="A2655" s="29"/>
      <c r="B2655" s="15"/>
      <c r="C2655" s="19"/>
      <c r="D2655" s="19"/>
      <c r="E2655" s="19"/>
      <c r="F2655" s="19"/>
      <c r="G2655" s="19"/>
      <c r="H2655" s="82"/>
    </row>
    <row r="2656" spans="1:8" s="28" customFormat="1" x14ac:dyDescent="0.25">
      <c r="A2656" s="29"/>
      <c r="B2656" s="15"/>
      <c r="C2656" s="19"/>
      <c r="D2656" s="19"/>
      <c r="E2656" s="19"/>
      <c r="F2656" s="19"/>
      <c r="G2656" s="19"/>
      <c r="H2656" s="82"/>
    </row>
    <row r="2657" spans="1:8" s="28" customFormat="1" x14ac:dyDescent="0.25">
      <c r="A2657" s="29"/>
      <c r="B2657" s="15"/>
      <c r="C2657" s="19"/>
      <c r="D2657" s="19"/>
      <c r="E2657" s="19"/>
      <c r="F2657" s="19"/>
      <c r="G2657" s="19"/>
      <c r="H2657" s="82"/>
    </row>
    <row r="2658" spans="1:8" s="28" customFormat="1" x14ac:dyDescent="0.25">
      <c r="A2658" s="29"/>
      <c r="B2658" s="15"/>
      <c r="C2658" s="19"/>
      <c r="D2658" s="19"/>
      <c r="E2658" s="19"/>
      <c r="F2658" s="19"/>
      <c r="G2658" s="19"/>
      <c r="H2658" s="82"/>
    </row>
    <row r="2659" spans="1:8" s="28" customFormat="1" x14ac:dyDescent="0.25">
      <c r="A2659" s="29"/>
      <c r="B2659" s="15"/>
      <c r="C2659" s="19"/>
      <c r="D2659" s="19"/>
      <c r="E2659" s="19"/>
      <c r="F2659" s="19"/>
      <c r="G2659" s="19"/>
      <c r="H2659" s="82"/>
    </row>
    <row r="2660" spans="1:8" s="28" customFormat="1" x14ac:dyDescent="0.25">
      <c r="A2660" s="29"/>
      <c r="B2660" s="15"/>
      <c r="C2660" s="19"/>
      <c r="D2660" s="19"/>
      <c r="E2660" s="19"/>
      <c r="F2660" s="19"/>
      <c r="G2660" s="19"/>
      <c r="H2660" s="82"/>
    </row>
    <row r="2661" spans="1:8" s="28" customFormat="1" x14ac:dyDescent="0.25">
      <c r="A2661" s="29"/>
      <c r="B2661" s="15"/>
      <c r="C2661" s="19"/>
      <c r="D2661" s="19"/>
      <c r="E2661" s="19"/>
      <c r="F2661" s="19"/>
      <c r="G2661" s="19"/>
      <c r="H2661" s="82"/>
    </row>
    <row r="2662" spans="1:8" s="28" customFormat="1" x14ac:dyDescent="0.25">
      <c r="A2662" s="29"/>
      <c r="B2662" s="15"/>
      <c r="C2662" s="19"/>
      <c r="D2662" s="19"/>
      <c r="E2662" s="19"/>
      <c r="F2662" s="19"/>
      <c r="G2662" s="19"/>
      <c r="H2662" s="82"/>
    </row>
    <row r="2663" spans="1:8" s="28" customFormat="1" x14ac:dyDescent="0.25">
      <c r="A2663" s="29"/>
      <c r="B2663" s="15"/>
      <c r="C2663" s="19"/>
      <c r="D2663" s="19"/>
      <c r="E2663" s="19"/>
      <c r="F2663" s="19"/>
      <c r="G2663" s="19"/>
      <c r="H2663" s="82"/>
    </row>
    <row r="2664" spans="1:8" s="28" customFormat="1" x14ac:dyDescent="0.25">
      <c r="A2664" s="29"/>
      <c r="B2664" s="15"/>
      <c r="C2664" s="19"/>
      <c r="D2664" s="19"/>
      <c r="E2664" s="19"/>
      <c r="F2664" s="19"/>
      <c r="G2664" s="19"/>
      <c r="H2664" s="82"/>
    </row>
    <row r="2665" spans="1:8" s="28" customFormat="1" x14ac:dyDescent="0.25">
      <c r="A2665" s="29"/>
      <c r="B2665" s="15"/>
      <c r="C2665" s="19"/>
      <c r="D2665" s="19"/>
      <c r="E2665" s="19"/>
      <c r="F2665" s="19"/>
      <c r="G2665" s="19"/>
      <c r="H2665" s="82"/>
    </row>
    <row r="2666" spans="1:8" s="28" customFormat="1" x14ac:dyDescent="0.25">
      <c r="A2666" s="29"/>
      <c r="B2666" s="15"/>
      <c r="C2666" s="19"/>
      <c r="D2666" s="19"/>
      <c r="E2666" s="19"/>
      <c r="F2666" s="19"/>
      <c r="G2666" s="19"/>
      <c r="H2666" s="82"/>
    </row>
    <row r="2667" spans="1:8" s="28" customFormat="1" x14ac:dyDescent="0.25">
      <c r="A2667" s="29"/>
      <c r="B2667" s="15"/>
      <c r="C2667" s="19"/>
      <c r="D2667" s="19"/>
      <c r="E2667" s="19"/>
      <c r="F2667" s="19"/>
      <c r="G2667" s="19"/>
      <c r="H2667" s="82"/>
    </row>
    <row r="2668" spans="1:8" s="28" customFormat="1" x14ac:dyDescent="0.25">
      <c r="A2668" s="29"/>
      <c r="B2668" s="15"/>
      <c r="C2668" s="19"/>
      <c r="D2668" s="19"/>
      <c r="E2668" s="19"/>
      <c r="F2668" s="19"/>
      <c r="G2668" s="19"/>
      <c r="H2668" s="82"/>
    </row>
    <row r="2669" spans="1:8" s="28" customFormat="1" x14ac:dyDescent="0.25">
      <c r="A2669" s="29"/>
      <c r="B2669" s="15"/>
      <c r="C2669" s="19"/>
      <c r="D2669" s="19"/>
      <c r="E2669" s="19"/>
      <c r="F2669" s="19"/>
      <c r="G2669" s="19"/>
      <c r="H2669" s="82"/>
    </row>
    <row r="2670" spans="1:8" s="28" customFormat="1" x14ac:dyDescent="0.25">
      <c r="A2670" s="29"/>
      <c r="B2670" s="15"/>
      <c r="C2670" s="19"/>
      <c r="D2670" s="19"/>
      <c r="E2670" s="19"/>
      <c r="F2670" s="19"/>
      <c r="G2670" s="19"/>
      <c r="H2670" s="82"/>
    </row>
    <row r="2671" spans="1:8" s="28" customFormat="1" x14ac:dyDescent="0.25">
      <c r="A2671" s="29"/>
      <c r="B2671" s="15"/>
      <c r="C2671" s="19"/>
      <c r="D2671" s="19"/>
      <c r="E2671" s="19"/>
      <c r="F2671" s="19"/>
      <c r="G2671" s="19"/>
      <c r="H2671" s="82"/>
    </row>
    <row r="2672" spans="1:8" s="28" customFormat="1" x14ac:dyDescent="0.25">
      <c r="A2672" s="29"/>
      <c r="B2672" s="15"/>
      <c r="C2672" s="19"/>
      <c r="D2672" s="19"/>
      <c r="E2672" s="19"/>
      <c r="F2672" s="19"/>
      <c r="G2672" s="19"/>
      <c r="H2672" s="82"/>
    </row>
    <row r="2673" spans="1:8" s="28" customFormat="1" x14ac:dyDescent="0.25">
      <c r="A2673" s="29"/>
      <c r="B2673" s="15"/>
      <c r="C2673" s="19"/>
      <c r="D2673" s="19"/>
      <c r="E2673" s="19"/>
      <c r="F2673" s="19"/>
      <c r="G2673" s="19"/>
      <c r="H2673" s="82"/>
    </row>
    <row r="2674" spans="1:8" s="28" customFormat="1" x14ac:dyDescent="0.25">
      <c r="A2674" s="29"/>
      <c r="B2674" s="15"/>
      <c r="C2674" s="19"/>
      <c r="D2674" s="19"/>
      <c r="E2674" s="19"/>
      <c r="F2674" s="19"/>
      <c r="G2674" s="19"/>
      <c r="H2674" s="82"/>
    </row>
    <row r="2675" spans="1:8" s="28" customFormat="1" x14ac:dyDescent="0.25">
      <c r="A2675" s="29"/>
      <c r="B2675" s="15"/>
      <c r="C2675" s="19"/>
      <c r="D2675" s="19"/>
      <c r="E2675" s="19"/>
      <c r="F2675" s="19"/>
      <c r="G2675" s="19"/>
      <c r="H2675" s="82"/>
    </row>
    <row r="2676" spans="1:8" s="28" customFormat="1" x14ac:dyDescent="0.25">
      <c r="A2676" s="29"/>
      <c r="B2676" s="15"/>
      <c r="C2676" s="19"/>
      <c r="D2676" s="19"/>
      <c r="E2676" s="19"/>
      <c r="F2676" s="19"/>
      <c r="G2676" s="19"/>
      <c r="H2676" s="82"/>
    </row>
    <row r="2677" spans="1:8" s="28" customFormat="1" x14ac:dyDescent="0.25">
      <c r="A2677" s="29"/>
      <c r="B2677" s="15"/>
      <c r="C2677" s="19"/>
      <c r="D2677" s="19"/>
      <c r="E2677" s="19"/>
      <c r="F2677" s="19"/>
      <c r="G2677" s="19"/>
      <c r="H2677" s="82"/>
    </row>
    <row r="2678" spans="1:8" s="28" customFormat="1" x14ac:dyDescent="0.25">
      <c r="A2678" s="29"/>
      <c r="B2678" s="15"/>
      <c r="C2678" s="19"/>
      <c r="D2678" s="19"/>
      <c r="E2678" s="19"/>
      <c r="F2678" s="19"/>
      <c r="G2678" s="19"/>
      <c r="H2678" s="82"/>
    </row>
    <row r="2679" spans="1:8" s="28" customFormat="1" x14ac:dyDescent="0.25">
      <c r="A2679" s="29"/>
      <c r="B2679" s="15"/>
      <c r="C2679" s="19"/>
      <c r="D2679" s="19"/>
      <c r="E2679" s="19"/>
      <c r="F2679" s="19"/>
      <c r="G2679" s="19"/>
      <c r="H2679" s="82"/>
    </row>
    <row r="2680" spans="1:8" s="28" customFormat="1" x14ac:dyDescent="0.25">
      <c r="A2680" s="29"/>
      <c r="B2680" s="15"/>
      <c r="C2680" s="19"/>
      <c r="D2680" s="19"/>
      <c r="E2680" s="19"/>
      <c r="F2680" s="19"/>
      <c r="G2680" s="19"/>
      <c r="H2680" s="82"/>
    </row>
    <row r="2681" spans="1:8" s="28" customFormat="1" x14ac:dyDescent="0.25">
      <c r="A2681" s="29"/>
      <c r="B2681" s="15"/>
      <c r="C2681" s="19"/>
      <c r="D2681" s="19"/>
      <c r="E2681" s="19"/>
      <c r="F2681" s="19"/>
      <c r="G2681" s="19"/>
      <c r="H2681" s="82"/>
    </row>
    <row r="2682" spans="1:8" s="28" customFormat="1" x14ac:dyDescent="0.25">
      <c r="A2682" s="29"/>
      <c r="B2682" s="15"/>
      <c r="C2682" s="19"/>
      <c r="D2682" s="19"/>
      <c r="E2682" s="19"/>
      <c r="F2682" s="19"/>
      <c r="G2682" s="19"/>
      <c r="H2682" s="82"/>
    </row>
    <row r="2683" spans="1:8" s="28" customFormat="1" x14ac:dyDescent="0.25">
      <c r="A2683" s="29"/>
      <c r="B2683" s="15"/>
      <c r="C2683" s="19"/>
      <c r="D2683" s="19"/>
      <c r="E2683" s="19"/>
      <c r="F2683" s="19"/>
      <c r="G2683" s="19"/>
      <c r="H2683" s="82"/>
    </row>
    <row r="2684" spans="1:8" s="28" customFormat="1" x14ac:dyDescent="0.25">
      <c r="A2684" s="29"/>
      <c r="B2684" s="15"/>
      <c r="C2684" s="19"/>
      <c r="D2684" s="19"/>
      <c r="E2684" s="19"/>
      <c r="F2684" s="19"/>
      <c r="G2684" s="19"/>
      <c r="H2684" s="82"/>
    </row>
    <row r="2685" spans="1:8" s="28" customFormat="1" x14ac:dyDescent="0.25">
      <c r="A2685" s="29"/>
      <c r="B2685" s="15"/>
      <c r="C2685" s="19"/>
      <c r="D2685" s="19"/>
      <c r="E2685" s="19"/>
      <c r="F2685" s="19"/>
      <c r="G2685" s="19"/>
      <c r="H2685" s="82"/>
    </row>
    <row r="2686" spans="1:8" s="28" customFormat="1" x14ac:dyDescent="0.25">
      <c r="A2686" s="29"/>
      <c r="B2686" s="15"/>
      <c r="C2686" s="19"/>
      <c r="D2686" s="19"/>
      <c r="E2686" s="19"/>
      <c r="F2686" s="19"/>
      <c r="G2686" s="19"/>
      <c r="H2686" s="82"/>
    </row>
    <row r="2687" spans="1:8" s="28" customFormat="1" x14ac:dyDescent="0.25">
      <c r="A2687" s="29"/>
      <c r="B2687" s="15"/>
      <c r="C2687" s="19"/>
      <c r="D2687" s="19"/>
      <c r="E2687" s="19"/>
      <c r="F2687" s="19"/>
      <c r="G2687" s="19"/>
      <c r="H2687" s="82"/>
    </row>
    <row r="2688" spans="1:8" s="28" customFormat="1" x14ac:dyDescent="0.25">
      <c r="A2688" s="29"/>
      <c r="B2688" s="15"/>
      <c r="C2688" s="19"/>
      <c r="D2688" s="19"/>
      <c r="E2688" s="19"/>
      <c r="F2688" s="19"/>
      <c r="G2688" s="19"/>
      <c r="H2688" s="82"/>
    </row>
    <row r="2689" spans="1:8" s="28" customFormat="1" x14ac:dyDescent="0.25">
      <c r="A2689" s="29"/>
      <c r="B2689" s="15"/>
      <c r="C2689" s="19"/>
      <c r="D2689" s="19"/>
      <c r="E2689" s="19"/>
      <c r="F2689" s="19"/>
      <c r="G2689" s="19"/>
      <c r="H2689" s="82"/>
    </row>
    <row r="2690" spans="1:8" s="28" customFormat="1" x14ac:dyDescent="0.25">
      <c r="A2690" s="29"/>
      <c r="B2690" s="15"/>
      <c r="C2690" s="19"/>
      <c r="D2690" s="19"/>
      <c r="E2690" s="19"/>
      <c r="F2690" s="19"/>
      <c r="G2690" s="19"/>
      <c r="H2690" s="82"/>
    </row>
    <row r="2691" spans="1:8" s="28" customFormat="1" x14ac:dyDescent="0.25">
      <c r="A2691" s="29"/>
      <c r="B2691" s="15"/>
      <c r="C2691" s="19"/>
      <c r="D2691" s="19"/>
      <c r="E2691" s="19"/>
      <c r="F2691" s="19"/>
      <c r="G2691" s="19"/>
      <c r="H2691" s="82"/>
    </row>
    <row r="2692" spans="1:8" s="28" customFormat="1" x14ac:dyDescent="0.25">
      <c r="A2692" s="29"/>
      <c r="B2692" s="15"/>
      <c r="C2692" s="19"/>
      <c r="D2692" s="19"/>
      <c r="E2692" s="19"/>
      <c r="F2692" s="19"/>
      <c r="G2692" s="19"/>
      <c r="H2692" s="82"/>
    </row>
    <row r="2693" spans="1:8" s="28" customFormat="1" x14ac:dyDescent="0.25">
      <c r="A2693" s="29"/>
      <c r="B2693" s="15"/>
      <c r="C2693" s="19"/>
      <c r="D2693" s="19"/>
      <c r="E2693" s="19"/>
      <c r="F2693" s="19"/>
      <c r="G2693" s="19"/>
      <c r="H2693" s="82"/>
    </row>
    <row r="2694" spans="1:8" s="28" customFormat="1" x14ac:dyDescent="0.25">
      <c r="A2694" s="29"/>
      <c r="B2694" s="15"/>
      <c r="C2694" s="19"/>
      <c r="D2694" s="19"/>
      <c r="E2694" s="19"/>
      <c r="F2694" s="19"/>
      <c r="G2694" s="19"/>
      <c r="H2694" s="82"/>
    </row>
    <row r="2695" spans="1:8" s="28" customFormat="1" x14ac:dyDescent="0.25">
      <c r="A2695" s="29"/>
      <c r="B2695" s="15"/>
      <c r="C2695" s="19"/>
      <c r="D2695" s="19"/>
      <c r="E2695" s="19"/>
      <c r="F2695" s="19"/>
      <c r="G2695" s="19"/>
      <c r="H2695" s="82"/>
    </row>
    <row r="2696" spans="1:8" s="28" customFormat="1" x14ac:dyDescent="0.25">
      <c r="A2696" s="29"/>
      <c r="B2696" s="15"/>
      <c r="C2696" s="19"/>
      <c r="D2696" s="19"/>
      <c r="E2696" s="19"/>
      <c r="F2696" s="19"/>
      <c r="G2696" s="19"/>
      <c r="H2696" s="82"/>
    </row>
    <row r="2697" spans="1:8" s="28" customFormat="1" x14ac:dyDescent="0.25">
      <c r="A2697" s="29"/>
      <c r="B2697" s="15"/>
      <c r="C2697" s="19"/>
      <c r="D2697" s="19"/>
      <c r="E2697" s="19"/>
      <c r="F2697" s="19"/>
      <c r="G2697" s="19"/>
      <c r="H2697" s="82"/>
    </row>
    <row r="2698" spans="1:8" s="28" customFormat="1" x14ac:dyDescent="0.25">
      <c r="A2698" s="29"/>
      <c r="B2698" s="15"/>
      <c r="C2698" s="19"/>
      <c r="D2698" s="19"/>
      <c r="E2698" s="19"/>
      <c r="F2698" s="19"/>
      <c r="G2698" s="19"/>
      <c r="H2698" s="82"/>
    </row>
    <row r="2699" spans="1:8" s="28" customFormat="1" x14ac:dyDescent="0.25">
      <c r="A2699" s="29"/>
      <c r="B2699" s="15"/>
      <c r="C2699" s="19"/>
      <c r="D2699" s="19"/>
      <c r="E2699" s="19"/>
      <c r="F2699" s="19"/>
      <c r="G2699" s="19"/>
      <c r="H2699" s="82"/>
    </row>
    <row r="2700" spans="1:8" s="28" customFormat="1" x14ac:dyDescent="0.25">
      <c r="A2700" s="29"/>
      <c r="B2700" s="15"/>
      <c r="C2700" s="19"/>
      <c r="D2700" s="19"/>
      <c r="E2700" s="19"/>
      <c r="F2700" s="19"/>
      <c r="G2700" s="19"/>
      <c r="H2700" s="82"/>
    </row>
    <row r="2701" spans="1:8" s="28" customFormat="1" x14ac:dyDescent="0.25">
      <c r="A2701" s="29"/>
      <c r="B2701" s="15"/>
      <c r="C2701" s="19"/>
      <c r="D2701" s="19"/>
      <c r="E2701" s="19"/>
      <c r="F2701" s="19"/>
      <c r="G2701" s="19"/>
      <c r="H2701" s="82"/>
    </row>
    <row r="2702" spans="1:8" s="28" customFormat="1" x14ac:dyDescent="0.25">
      <c r="A2702" s="29"/>
      <c r="B2702" s="15"/>
      <c r="C2702" s="19"/>
      <c r="D2702" s="19"/>
      <c r="E2702" s="19"/>
      <c r="F2702" s="19"/>
      <c r="G2702" s="19"/>
      <c r="H2702" s="82"/>
    </row>
    <row r="2703" spans="1:8" s="28" customFormat="1" x14ac:dyDescent="0.25">
      <c r="A2703" s="29"/>
      <c r="B2703" s="15"/>
      <c r="C2703" s="19"/>
      <c r="D2703" s="19"/>
      <c r="E2703" s="19"/>
      <c r="F2703" s="19"/>
      <c r="G2703" s="19"/>
      <c r="H2703" s="82"/>
    </row>
    <row r="2704" spans="1:8" s="28" customFormat="1" x14ac:dyDescent="0.25">
      <c r="A2704" s="29"/>
      <c r="B2704" s="15"/>
      <c r="C2704" s="19"/>
      <c r="D2704" s="19"/>
      <c r="E2704" s="19"/>
      <c r="F2704" s="19"/>
      <c r="G2704" s="19"/>
      <c r="H2704" s="82"/>
    </row>
    <row r="2705" spans="1:8" s="28" customFormat="1" x14ac:dyDescent="0.25">
      <c r="A2705" s="29"/>
      <c r="B2705" s="15"/>
      <c r="C2705" s="19"/>
      <c r="D2705" s="19"/>
      <c r="E2705" s="19"/>
      <c r="F2705" s="19"/>
      <c r="G2705" s="19"/>
      <c r="H2705" s="82"/>
    </row>
    <row r="2706" spans="1:8" s="28" customFormat="1" x14ac:dyDescent="0.25">
      <c r="A2706" s="29"/>
      <c r="B2706" s="15"/>
      <c r="C2706" s="19"/>
      <c r="D2706" s="19"/>
      <c r="E2706" s="19"/>
      <c r="F2706" s="19"/>
      <c r="G2706" s="19"/>
      <c r="H2706" s="82"/>
    </row>
    <row r="2707" spans="1:8" s="28" customFormat="1" x14ac:dyDescent="0.25">
      <c r="A2707" s="29"/>
      <c r="B2707" s="15"/>
      <c r="C2707" s="19"/>
      <c r="D2707" s="19"/>
      <c r="E2707" s="19"/>
      <c r="F2707" s="19"/>
      <c r="G2707" s="19"/>
      <c r="H2707" s="82"/>
    </row>
    <row r="2708" spans="1:8" s="28" customFormat="1" x14ac:dyDescent="0.25">
      <c r="A2708" s="29"/>
      <c r="B2708" s="15"/>
      <c r="C2708" s="19"/>
      <c r="D2708" s="19"/>
      <c r="E2708" s="19"/>
      <c r="F2708" s="19"/>
      <c r="G2708" s="19"/>
      <c r="H2708" s="82"/>
    </row>
    <row r="2709" spans="1:8" s="28" customFormat="1" x14ac:dyDescent="0.25">
      <c r="A2709" s="29"/>
      <c r="B2709" s="15"/>
      <c r="C2709" s="19"/>
      <c r="D2709" s="19"/>
      <c r="E2709" s="19"/>
      <c r="F2709" s="19"/>
      <c r="G2709" s="19"/>
      <c r="H2709" s="82"/>
    </row>
    <row r="2710" spans="1:8" s="28" customFormat="1" x14ac:dyDescent="0.25">
      <c r="A2710" s="29"/>
      <c r="B2710" s="15"/>
      <c r="C2710" s="19"/>
      <c r="D2710" s="19"/>
      <c r="E2710" s="19"/>
      <c r="F2710" s="19"/>
      <c r="G2710" s="19"/>
      <c r="H2710" s="82"/>
    </row>
    <row r="2711" spans="1:8" s="28" customFormat="1" x14ac:dyDescent="0.25">
      <c r="A2711" s="29"/>
      <c r="B2711" s="15"/>
      <c r="C2711" s="19"/>
      <c r="D2711" s="19"/>
      <c r="E2711" s="19"/>
      <c r="F2711" s="19"/>
      <c r="G2711" s="19"/>
      <c r="H2711" s="82"/>
    </row>
    <row r="2712" spans="1:8" s="28" customFormat="1" x14ac:dyDescent="0.25">
      <c r="A2712" s="29"/>
      <c r="B2712" s="15"/>
      <c r="C2712" s="19"/>
      <c r="D2712" s="19"/>
      <c r="E2712" s="19"/>
      <c r="F2712" s="19"/>
      <c r="G2712" s="19"/>
      <c r="H2712" s="82"/>
    </row>
    <row r="2713" spans="1:8" s="28" customFormat="1" x14ac:dyDescent="0.25">
      <c r="A2713" s="29"/>
      <c r="B2713" s="15"/>
      <c r="C2713" s="19"/>
      <c r="D2713" s="19"/>
      <c r="E2713" s="19"/>
      <c r="F2713" s="19"/>
      <c r="G2713" s="19"/>
      <c r="H2713" s="82"/>
    </row>
    <row r="2714" spans="1:8" s="28" customFormat="1" x14ac:dyDescent="0.25">
      <c r="A2714" s="29"/>
      <c r="B2714" s="15"/>
      <c r="C2714" s="19"/>
      <c r="D2714" s="19"/>
      <c r="E2714" s="19"/>
      <c r="F2714" s="19"/>
      <c r="G2714" s="19"/>
      <c r="H2714" s="82"/>
    </row>
    <row r="2715" spans="1:8" s="28" customFormat="1" x14ac:dyDescent="0.25">
      <c r="A2715" s="29"/>
      <c r="B2715" s="15"/>
      <c r="C2715" s="19"/>
      <c r="D2715" s="19"/>
      <c r="E2715" s="19"/>
      <c r="F2715" s="19"/>
      <c r="G2715" s="19"/>
      <c r="H2715" s="82"/>
    </row>
    <row r="2716" spans="1:8" s="28" customFormat="1" x14ac:dyDescent="0.25">
      <c r="A2716" s="29"/>
      <c r="B2716" s="15"/>
      <c r="C2716" s="19"/>
      <c r="D2716" s="19"/>
      <c r="E2716" s="19"/>
      <c r="F2716" s="19"/>
      <c r="G2716" s="19"/>
      <c r="H2716" s="82"/>
    </row>
    <row r="2717" spans="1:8" s="28" customFormat="1" x14ac:dyDescent="0.25">
      <c r="A2717" s="29"/>
      <c r="B2717" s="15"/>
      <c r="C2717" s="19"/>
      <c r="D2717" s="19"/>
      <c r="E2717" s="19"/>
      <c r="F2717" s="19"/>
      <c r="G2717" s="19"/>
      <c r="H2717" s="82"/>
    </row>
    <row r="2718" spans="1:8" s="28" customFormat="1" x14ac:dyDescent="0.25">
      <c r="A2718" s="29"/>
      <c r="B2718" s="15"/>
      <c r="C2718" s="19"/>
      <c r="D2718" s="19"/>
      <c r="E2718" s="19"/>
      <c r="F2718" s="19"/>
      <c r="G2718" s="19"/>
      <c r="H2718" s="82"/>
    </row>
    <row r="2719" spans="1:8" s="28" customFormat="1" x14ac:dyDescent="0.25">
      <c r="A2719" s="29"/>
      <c r="B2719" s="15"/>
      <c r="C2719" s="19"/>
      <c r="D2719" s="19"/>
      <c r="E2719" s="19"/>
      <c r="F2719" s="19"/>
      <c r="G2719" s="19"/>
      <c r="H2719" s="82"/>
    </row>
    <row r="2720" spans="1:8" s="28" customFormat="1" x14ac:dyDescent="0.25">
      <c r="A2720" s="29"/>
      <c r="B2720" s="15"/>
      <c r="C2720" s="19"/>
      <c r="D2720" s="19"/>
      <c r="E2720" s="19"/>
      <c r="F2720" s="19"/>
      <c r="G2720" s="19"/>
      <c r="H2720" s="82"/>
    </row>
    <row r="2721" spans="1:8" s="28" customFormat="1" x14ac:dyDescent="0.25">
      <c r="A2721" s="29"/>
      <c r="B2721" s="15"/>
      <c r="C2721" s="19"/>
      <c r="D2721" s="19"/>
      <c r="E2721" s="19"/>
      <c r="F2721" s="19"/>
      <c r="G2721" s="19"/>
      <c r="H2721" s="82"/>
    </row>
    <row r="2722" spans="1:8" s="28" customFormat="1" x14ac:dyDescent="0.25">
      <c r="A2722" s="29"/>
      <c r="B2722" s="15"/>
      <c r="C2722" s="19"/>
      <c r="D2722" s="19"/>
      <c r="E2722" s="19"/>
      <c r="F2722" s="19"/>
      <c r="G2722" s="19"/>
      <c r="H2722" s="82"/>
    </row>
    <row r="2723" spans="1:8" s="28" customFormat="1" x14ac:dyDescent="0.25">
      <c r="A2723" s="29"/>
      <c r="B2723" s="15"/>
      <c r="C2723" s="19"/>
      <c r="D2723" s="19"/>
      <c r="E2723" s="19"/>
      <c r="F2723" s="19"/>
      <c r="G2723" s="19"/>
      <c r="H2723" s="82"/>
    </row>
    <row r="2724" spans="1:8" s="28" customFormat="1" x14ac:dyDescent="0.25">
      <c r="A2724" s="29"/>
      <c r="B2724" s="15"/>
      <c r="C2724" s="19"/>
      <c r="D2724" s="19"/>
      <c r="E2724" s="19"/>
      <c r="F2724" s="19"/>
      <c r="G2724" s="19"/>
      <c r="H2724" s="82"/>
    </row>
    <row r="2725" spans="1:8" s="28" customFormat="1" x14ac:dyDescent="0.25">
      <c r="A2725" s="29"/>
      <c r="B2725" s="15"/>
      <c r="C2725" s="19"/>
      <c r="D2725" s="19"/>
      <c r="E2725" s="19"/>
      <c r="F2725" s="19"/>
      <c r="G2725" s="19"/>
      <c r="H2725" s="82"/>
    </row>
    <row r="2726" spans="1:8" s="28" customFormat="1" x14ac:dyDescent="0.25">
      <c r="A2726" s="29"/>
      <c r="B2726" s="15"/>
      <c r="C2726" s="19"/>
      <c r="D2726" s="19"/>
      <c r="E2726" s="19"/>
      <c r="F2726" s="19"/>
      <c r="G2726" s="19"/>
      <c r="H2726" s="82"/>
    </row>
    <row r="2727" spans="1:8" s="28" customFormat="1" x14ac:dyDescent="0.25">
      <c r="A2727" s="29"/>
      <c r="B2727" s="15"/>
      <c r="C2727" s="19"/>
      <c r="D2727" s="19"/>
      <c r="E2727" s="19"/>
      <c r="F2727" s="19"/>
      <c r="G2727" s="19"/>
      <c r="H2727" s="82"/>
    </row>
    <row r="2728" spans="1:8" s="28" customFormat="1" x14ac:dyDescent="0.25">
      <c r="A2728" s="29"/>
      <c r="B2728" s="15"/>
      <c r="C2728" s="19"/>
      <c r="D2728" s="19"/>
      <c r="E2728" s="19"/>
      <c r="F2728" s="19"/>
      <c r="G2728" s="19"/>
      <c r="H2728" s="82"/>
    </row>
    <row r="2729" spans="1:8" s="28" customFormat="1" x14ac:dyDescent="0.25">
      <c r="A2729" s="29"/>
      <c r="B2729" s="15"/>
      <c r="C2729" s="19"/>
      <c r="D2729" s="19"/>
      <c r="E2729" s="19"/>
      <c r="F2729" s="19"/>
      <c r="G2729" s="19"/>
      <c r="H2729" s="82"/>
    </row>
    <row r="2730" spans="1:8" s="28" customFormat="1" x14ac:dyDescent="0.25">
      <c r="A2730" s="29"/>
      <c r="B2730" s="15"/>
      <c r="C2730" s="19"/>
      <c r="D2730" s="19"/>
      <c r="E2730" s="19"/>
      <c r="F2730" s="19"/>
      <c r="G2730" s="19"/>
      <c r="H2730" s="82"/>
    </row>
    <row r="2731" spans="1:8" s="28" customFormat="1" x14ac:dyDescent="0.25">
      <c r="A2731" s="29"/>
      <c r="B2731" s="15"/>
      <c r="C2731" s="19"/>
      <c r="D2731" s="19"/>
      <c r="E2731" s="19"/>
      <c r="F2731" s="19"/>
      <c r="G2731" s="19"/>
      <c r="H2731" s="82"/>
    </row>
    <row r="2732" spans="1:8" s="28" customFormat="1" x14ac:dyDescent="0.25">
      <c r="A2732" s="29"/>
      <c r="B2732" s="15"/>
      <c r="C2732" s="19"/>
      <c r="D2732" s="19"/>
      <c r="E2732" s="19"/>
      <c r="F2732" s="19"/>
      <c r="G2732" s="19"/>
      <c r="H2732" s="82"/>
    </row>
    <row r="2733" spans="1:8" s="28" customFormat="1" x14ac:dyDescent="0.25">
      <c r="A2733" s="29"/>
      <c r="B2733" s="15"/>
      <c r="C2733" s="19"/>
      <c r="D2733" s="19"/>
      <c r="E2733" s="19"/>
      <c r="F2733" s="19"/>
      <c r="G2733" s="19"/>
      <c r="H2733" s="82"/>
    </row>
    <row r="2734" spans="1:8" s="28" customFormat="1" x14ac:dyDescent="0.25">
      <c r="A2734" s="29"/>
      <c r="B2734" s="15"/>
      <c r="C2734" s="19"/>
      <c r="D2734" s="19"/>
      <c r="E2734" s="19"/>
      <c r="F2734" s="19"/>
      <c r="G2734" s="19"/>
      <c r="H2734" s="82"/>
    </row>
    <row r="2735" spans="1:8" s="28" customFormat="1" x14ac:dyDescent="0.25">
      <c r="A2735" s="29"/>
      <c r="B2735" s="15"/>
      <c r="C2735" s="19"/>
      <c r="D2735" s="19"/>
      <c r="E2735" s="19"/>
      <c r="F2735" s="19"/>
      <c r="G2735" s="19"/>
      <c r="H2735" s="82"/>
    </row>
    <row r="2736" spans="1:8" s="28" customFormat="1" x14ac:dyDescent="0.25">
      <c r="A2736" s="29"/>
      <c r="B2736" s="15"/>
      <c r="C2736" s="19"/>
      <c r="D2736" s="19"/>
      <c r="E2736" s="19"/>
      <c r="F2736" s="19"/>
      <c r="G2736" s="19"/>
      <c r="H2736" s="82"/>
    </row>
    <row r="2737" spans="1:8" s="28" customFormat="1" x14ac:dyDescent="0.25">
      <c r="A2737" s="29"/>
      <c r="B2737" s="15"/>
      <c r="C2737" s="19"/>
      <c r="D2737" s="19"/>
      <c r="E2737" s="19"/>
      <c r="F2737" s="19"/>
      <c r="G2737" s="19"/>
      <c r="H2737" s="82"/>
    </row>
    <row r="2738" spans="1:8" s="28" customFormat="1" x14ac:dyDescent="0.25">
      <c r="A2738" s="29"/>
      <c r="B2738" s="15"/>
      <c r="C2738" s="19"/>
      <c r="D2738" s="19"/>
      <c r="E2738" s="19"/>
      <c r="F2738" s="19"/>
      <c r="G2738" s="19"/>
      <c r="H2738" s="82"/>
    </row>
    <row r="2739" spans="1:8" s="28" customFormat="1" x14ac:dyDescent="0.25">
      <c r="A2739" s="29"/>
      <c r="B2739" s="15"/>
      <c r="C2739" s="19"/>
      <c r="D2739" s="19"/>
      <c r="E2739" s="19"/>
      <c r="F2739" s="19"/>
      <c r="G2739" s="19"/>
      <c r="H2739" s="82"/>
    </row>
    <row r="2740" spans="1:8" s="28" customFormat="1" x14ac:dyDescent="0.25">
      <c r="A2740" s="29"/>
      <c r="B2740" s="15"/>
      <c r="C2740" s="19"/>
      <c r="D2740" s="19"/>
      <c r="E2740" s="19"/>
      <c r="F2740" s="19"/>
      <c r="G2740" s="19"/>
      <c r="H2740" s="82"/>
    </row>
    <row r="2741" spans="1:8" s="28" customFormat="1" x14ac:dyDescent="0.25">
      <c r="A2741" s="29"/>
      <c r="B2741" s="15"/>
      <c r="C2741" s="19"/>
      <c r="D2741" s="19"/>
      <c r="E2741" s="19"/>
      <c r="F2741" s="19"/>
      <c r="G2741" s="19"/>
      <c r="H2741" s="82"/>
    </row>
    <row r="2742" spans="1:8" s="28" customFormat="1" x14ac:dyDescent="0.25">
      <c r="A2742" s="29"/>
      <c r="B2742" s="15"/>
      <c r="C2742" s="19"/>
      <c r="D2742" s="19"/>
      <c r="E2742" s="19"/>
      <c r="F2742" s="19"/>
      <c r="G2742" s="19"/>
      <c r="H2742" s="82"/>
    </row>
    <row r="2743" spans="1:8" s="28" customFormat="1" x14ac:dyDescent="0.25">
      <c r="A2743" s="29"/>
      <c r="B2743" s="15"/>
      <c r="C2743" s="19"/>
      <c r="D2743" s="19"/>
      <c r="E2743" s="19"/>
      <c r="F2743" s="19"/>
      <c r="G2743" s="19"/>
      <c r="H2743" s="82"/>
    </row>
    <row r="2744" spans="1:8" s="28" customFormat="1" x14ac:dyDescent="0.25">
      <c r="A2744" s="29"/>
      <c r="B2744" s="15"/>
      <c r="C2744" s="19"/>
      <c r="D2744" s="19"/>
      <c r="E2744" s="19"/>
      <c r="F2744" s="19"/>
      <c r="G2744" s="19"/>
      <c r="H2744" s="82"/>
    </row>
    <row r="2745" spans="1:8" s="28" customFormat="1" x14ac:dyDescent="0.25">
      <c r="A2745" s="29"/>
      <c r="B2745" s="15"/>
      <c r="C2745" s="19"/>
      <c r="D2745" s="19"/>
      <c r="E2745" s="19"/>
      <c r="F2745" s="19"/>
      <c r="G2745" s="19"/>
      <c r="H2745" s="82"/>
    </row>
    <row r="2746" spans="1:8" s="28" customFormat="1" x14ac:dyDescent="0.25">
      <c r="A2746" s="29"/>
      <c r="B2746" s="15"/>
      <c r="C2746" s="19"/>
      <c r="D2746" s="19"/>
      <c r="E2746" s="19"/>
      <c r="F2746" s="19"/>
      <c r="G2746" s="19"/>
      <c r="H2746" s="82"/>
    </row>
    <row r="2747" spans="1:8" s="28" customFormat="1" x14ac:dyDescent="0.25">
      <c r="A2747" s="29"/>
      <c r="B2747" s="15"/>
      <c r="C2747" s="19"/>
      <c r="D2747" s="19"/>
      <c r="E2747" s="19"/>
      <c r="F2747" s="19"/>
      <c r="G2747" s="19"/>
      <c r="H2747" s="82"/>
    </row>
    <row r="2748" spans="1:8" s="28" customFormat="1" x14ac:dyDescent="0.25">
      <c r="A2748" s="29"/>
      <c r="B2748" s="15"/>
      <c r="C2748" s="19"/>
      <c r="D2748" s="19"/>
      <c r="E2748" s="19"/>
      <c r="F2748" s="19"/>
      <c r="G2748" s="19"/>
      <c r="H2748" s="82"/>
    </row>
    <row r="2749" spans="1:8" s="28" customFormat="1" x14ac:dyDescent="0.25">
      <c r="A2749" s="29"/>
      <c r="B2749" s="15"/>
      <c r="C2749" s="19"/>
      <c r="D2749" s="19"/>
      <c r="E2749" s="19"/>
      <c r="F2749" s="19"/>
      <c r="G2749" s="19"/>
      <c r="H2749" s="82"/>
    </row>
    <row r="2750" spans="1:8" s="28" customFormat="1" x14ac:dyDescent="0.25">
      <c r="A2750" s="29"/>
      <c r="B2750" s="15"/>
      <c r="C2750" s="19"/>
      <c r="D2750" s="19"/>
      <c r="E2750" s="19"/>
      <c r="F2750" s="19"/>
      <c r="G2750" s="19"/>
      <c r="H2750" s="82"/>
    </row>
    <row r="2751" spans="1:8" s="28" customFormat="1" x14ac:dyDescent="0.25">
      <c r="A2751" s="29"/>
      <c r="B2751" s="15"/>
      <c r="C2751" s="19"/>
      <c r="D2751" s="19"/>
      <c r="E2751" s="19"/>
      <c r="F2751" s="19"/>
      <c r="G2751" s="19"/>
      <c r="H2751" s="82"/>
    </row>
    <row r="2752" spans="1:8" s="28" customFormat="1" x14ac:dyDescent="0.25">
      <c r="A2752" s="29"/>
      <c r="B2752" s="15"/>
      <c r="C2752" s="19"/>
      <c r="D2752" s="19"/>
      <c r="E2752" s="19"/>
      <c r="F2752" s="19"/>
      <c r="G2752" s="19"/>
      <c r="H2752" s="82"/>
    </row>
    <row r="2753" spans="1:8" s="28" customFormat="1" x14ac:dyDescent="0.25">
      <c r="A2753" s="29"/>
      <c r="B2753" s="15"/>
      <c r="C2753" s="19"/>
      <c r="D2753" s="19"/>
      <c r="E2753" s="19"/>
      <c r="F2753" s="19"/>
      <c r="G2753" s="19"/>
      <c r="H2753" s="82"/>
    </row>
    <row r="2754" spans="1:8" s="28" customFormat="1" x14ac:dyDescent="0.25">
      <c r="A2754" s="29"/>
      <c r="B2754" s="15"/>
      <c r="C2754" s="19"/>
      <c r="D2754" s="19"/>
      <c r="E2754" s="19"/>
      <c r="F2754" s="19"/>
      <c r="G2754" s="19"/>
      <c r="H2754" s="82"/>
    </row>
    <row r="2755" spans="1:8" s="28" customFormat="1" x14ac:dyDescent="0.25">
      <c r="A2755" s="29"/>
      <c r="B2755" s="15"/>
      <c r="C2755" s="19"/>
      <c r="D2755" s="19"/>
      <c r="E2755" s="19"/>
      <c r="F2755" s="19"/>
      <c r="G2755" s="19"/>
      <c r="H2755" s="82"/>
    </row>
    <row r="2756" spans="1:8" s="28" customFormat="1" x14ac:dyDescent="0.25">
      <c r="A2756" s="29"/>
      <c r="B2756" s="15"/>
      <c r="C2756" s="19"/>
      <c r="D2756" s="19"/>
      <c r="E2756" s="19"/>
      <c r="F2756" s="19"/>
      <c r="G2756" s="19"/>
      <c r="H2756" s="82"/>
    </row>
    <row r="2757" spans="1:8" s="28" customFormat="1" x14ac:dyDescent="0.25">
      <c r="A2757" s="29"/>
      <c r="B2757" s="15"/>
      <c r="C2757" s="19"/>
      <c r="D2757" s="19"/>
      <c r="E2757" s="19"/>
      <c r="F2757" s="19"/>
      <c r="G2757" s="19"/>
      <c r="H2757" s="82"/>
    </row>
    <row r="2758" spans="1:8" s="28" customFormat="1" x14ac:dyDescent="0.25">
      <c r="A2758" s="29"/>
      <c r="B2758" s="15"/>
      <c r="C2758" s="19"/>
      <c r="D2758" s="19"/>
      <c r="E2758" s="19"/>
      <c r="F2758" s="19"/>
      <c r="G2758" s="19"/>
      <c r="H2758" s="82"/>
    </row>
    <row r="2759" spans="1:8" s="28" customFormat="1" x14ac:dyDescent="0.25">
      <c r="A2759" s="29"/>
      <c r="B2759" s="15"/>
      <c r="C2759" s="19"/>
      <c r="D2759" s="19"/>
      <c r="E2759" s="19"/>
      <c r="F2759" s="19"/>
      <c r="G2759" s="19"/>
      <c r="H2759" s="82"/>
    </row>
    <row r="2760" spans="1:8" s="28" customFormat="1" x14ac:dyDescent="0.25">
      <c r="A2760" s="29"/>
      <c r="B2760" s="15"/>
      <c r="C2760" s="19"/>
      <c r="D2760" s="19"/>
      <c r="E2760" s="19"/>
      <c r="F2760" s="19"/>
      <c r="G2760" s="19"/>
      <c r="H2760" s="82"/>
    </row>
    <row r="2761" spans="1:8" s="28" customFormat="1" x14ac:dyDescent="0.25">
      <c r="A2761" s="29"/>
      <c r="B2761" s="15"/>
      <c r="C2761" s="19"/>
      <c r="D2761" s="19"/>
      <c r="E2761" s="19"/>
      <c r="F2761" s="19"/>
      <c r="G2761" s="19"/>
      <c r="H2761" s="82"/>
    </row>
    <row r="2762" spans="1:8" s="28" customFormat="1" x14ac:dyDescent="0.25">
      <c r="A2762" s="29"/>
      <c r="B2762" s="15"/>
      <c r="C2762" s="19"/>
      <c r="D2762" s="19"/>
      <c r="E2762" s="19"/>
      <c r="F2762" s="19"/>
      <c r="G2762" s="19"/>
      <c r="H2762" s="82"/>
    </row>
    <row r="2763" spans="1:8" s="28" customFormat="1" x14ac:dyDescent="0.25">
      <c r="A2763" s="29"/>
      <c r="B2763" s="15"/>
      <c r="C2763" s="19"/>
      <c r="D2763" s="19"/>
      <c r="E2763" s="19"/>
      <c r="F2763" s="19"/>
      <c r="G2763" s="19"/>
      <c r="H2763" s="82"/>
    </row>
    <row r="2764" spans="1:8" s="28" customFormat="1" x14ac:dyDescent="0.25">
      <c r="A2764" s="29"/>
      <c r="B2764" s="15"/>
      <c r="C2764" s="19"/>
      <c r="D2764" s="19"/>
      <c r="E2764" s="19"/>
      <c r="F2764" s="19"/>
      <c r="G2764" s="19"/>
      <c r="H2764" s="82"/>
    </row>
    <row r="2765" spans="1:8" s="28" customFormat="1" x14ac:dyDescent="0.25">
      <c r="A2765" s="29"/>
      <c r="B2765" s="15"/>
      <c r="C2765" s="19"/>
      <c r="D2765" s="19"/>
      <c r="E2765" s="19"/>
      <c r="F2765" s="19"/>
      <c r="G2765" s="19"/>
      <c r="H2765" s="82"/>
    </row>
    <row r="2766" spans="1:8" s="28" customFormat="1" x14ac:dyDescent="0.25">
      <c r="A2766" s="29"/>
      <c r="B2766" s="15"/>
      <c r="C2766" s="19"/>
      <c r="D2766" s="19"/>
      <c r="E2766" s="19"/>
      <c r="F2766" s="19"/>
      <c r="G2766" s="19"/>
      <c r="H2766" s="82"/>
    </row>
    <row r="2767" spans="1:8" s="28" customFormat="1" x14ac:dyDescent="0.25">
      <c r="A2767" s="29"/>
      <c r="B2767" s="15"/>
      <c r="C2767" s="19"/>
      <c r="D2767" s="19"/>
      <c r="E2767" s="19"/>
      <c r="F2767" s="19"/>
      <c r="G2767" s="19"/>
      <c r="H2767" s="82"/>
    </row>
    <row r="2768" spans="1:8" s="28" customFormat="1" x14ac:dyDescent="0.25">
      <c r="A2768" s="29"/>
      <c r="B2768" s="15"/>
      <c r="C2768" s="19"/>
      <c r="D2768" s="19"/>
      <c r="E2768" s="19"/>
      <c r="F2768" s="19"/>
      <c r="G2768" s="19"/>
      <c r="H2768" s="82"/>
    </row>
    <row r="2769" spans="1:8" s="28" customFormat="1" x14ac:dyDescent="0.25">
      <c r="A2769" s="29"/>
      <c r="B2769" s="15"/>
      <c r="C2769" s="19"/>
      <c r="D2769" s="19"/>
      <c r="E2769" s="19"/>
      <c r="F2769" s="19"/>
      <c r="G2769" s="19"/>
      <c r="H2769" s="82"/>
    </row>
    <row r="2770" spans="1:8" s="28" customFormat="1" x14ac:dyDescent="0.25">
      <c r="A2770" s="29"/>
      <c r="B2770" s="15"/>
      <c r="C2770" s="19"/>
      <c r="D2770" s="19"/>
      <c r="E2770" s="19"/>
      <c r="F2770" s="19"/>
      <c r="G2770" s="19"/>
      <c r="H2770" s="82"/>
    </row>
    <row r="2771" spans="1:8" s="28" customFormat="1" x14ac:dyDescent="0.25">
      <c r="A2771" s="29"/>
      <c r="B2771" s="15"/>
      <c r="C2771" s="19"/>
      <c r="D2771" s="19"/>
      <c r="E2771" s="19"/>
      <c r="F2771" s="19"/>
      <c r="G2771" s="19"/>
      <c r="H2771" s="82"/>
    </row>
    <row r="2772" spans="1:8" s="28" customFormat="1" x14ac:dyDescent="0.25">
      <c r="A2772" s="29"/>
      <c r="B2772" s="15"/>
      <c r="C2772" s="19"/>
      <c r="D2772" s="19"/>
      <c r="E2772" s="19"/>
      <c r="F2772" s="19"/>
      <c r="G2772" s="19"/>
      <c r="H2772" s="82"/>
    </row>
    <row r="2773" spans="1:8" s="28" customFormat="1" x14ac:dyDescent="0.25">
      <c r="A2773" s="29"/>
      <c r="B2773" s="15"/>
      <c r="C2773" s="19"/>
      <c r="D2773" s="19"/>
      <c r="E2773" s="19"/>
      <c r="F2773" s="19"/>
      <c r="G2773" s="19"/>
      <c r="H2773" s="82"/>
    </row>
    <row r="2774" spans="1:8" s="28" customFormat="1" x14ac:dyDescent="0.25">
      <c r="A2774" s="29"/>
      <c r="B2774" s="15"/>
      <c r="C2774" s="19"/>
      <c r="D2774" s="19"/>
      <c r="E2774" s="19"/>
      <c r="F2774" s="19"/>
      <c r="G2774" s="19"/>
      <c r="H2774" s="82"/>
    </row>
    <row r="2775" spans="1:8" s="28" customFormat="1" x14ac:dyDescent="0.25">
      <c r="A2775" s="29"/>
      <c r="B2775" s="15"/>
      <c r="C2775" s="19"/>
      <c r="D2775" s="19"/>
      <c r="E2775" s="19"/>
      <c r="F2775" s="19"/>
      <c r="G2775" s="19"/>
      <c r="H2775" s="82"/>
    </row>
    <row r="2776" spans="1:8" s="28" customFormat="1" x14ac:dyDescent="0.25">
      <c r="A2776" s="29"/>
      <c r="B2776" s="15"/>
      <c r="C2776" s="19"/>
      <c r="D2776" s="19"/>
      <c r="E2776" s="19"/>
      <c r="F2776" s="19"/>
      <c r="G2776" s="19"/>
      <c r="H2776" s="82"/>
    </row>
    <row r="2777" spans="1:8" s="28" customFormat="1" x14ac:dyDescent="0.25">
      <c r="A2777" s="29"/>
      <c r="B2777" s="15"/>
      <c r="C2777" s="19"/>
      <c r="D2777" s="19"/>
      <c r="E2777" s="19"/>
      <c r="F2777" s="19"/>
      <c r="G2777" s="19"/>
      <c r="H2777" s="82"/>
    </row>
    <row r="2778" spans="1:8" s="28" customFormat="1" x14ac:dyDescent="0.25">
      <c r="A2778" s="29"/>
      <c r="B2778" s="15"/>
      <c r="C2778" s="19"/>
      <c r="D2778" s="19"/>
      <c r="E2778" s="19"/>
      <c r="F2778" s="19"/>
      <c r="G2778" s="19"/>
      <c r="H2778" s="82"/>
    </row>
    <row r="2779" spans="1:8" s="28" customFormat="1" x14ac:dyDescent="0.25">
      <c r="A2779" s="29"/>
      <c r="B2779" s="15"/>
      <c r="C2779" s="19"/>
      <c r="D2779" s="19"/>
      <c r="E2779" s="19"/>
      <c r="F2779" s="19"/>
      <c r="G2779" s="19"/>
      <c r="H2779" s="82"/>
    </row>
    <row r="2780" spans="1:8" s="28" customFormat="1" x14ac:dyDescent="0.25">
      <c r="A2780" s="29"/>
      <c r="B2780" s="15"/>
      <c r="C2780" s="19"/>
      <c r="D2780" s="19"/>
      <c r="E2780" s="19"/>
      <c r="F2780" s="19"/>
      <c r="G2780" s="19"/>
      <c r="H2780" s="82"/>
    </row>
    <row r="2781" spans="1:8" s="28" customFormat="1" x14ac:dyDescent="0.25">
      <c r="A2781" s="29"/>
      <c r="B2781" s="15"/>
      <c r="C2781" s="19"/>
      <c r="D2781" s="19"/>
      <c r="E2781" s="19"/>
      <c r="F2781" s="19"/>
      <c r="G2781" s="19"/>
      <c r="H2781" s="82"/>
    </row>
    <row r="2782" spans="1:8" s="28" customFormat="1" x14ac:dyDescent="0.25">
      <c r="A2782" s="29"/>
      <c r="B2782" s="15"/>
      <c r="C2782" s="19"/>
      <c r="D2782" s="19"/>
      <c r="E2782" s="19"/>
      <c r="F2782" s="19"/>
      <c r="G2782" s="19"/>
      <c r="H2782" s="82"/>
    </row>
    <row r="2783" spans="1:8" s="28" customFormat="1" x14ac:dyDescent="0.25">
      <c r="A2783" s="29"/>
      <c r="B2783" s="15"/>
      <c r="C2783" s="19"/>
      <c r="D2783" s="19"/>
      <c r="E2783" s="19"/>
      <c r="F2783" s="19"/>
      <c r="G2783" s="19"/>
      <c r="H2783" s="82"/>
    </row>
    <row r="2784" spans="1:8" s="28" customFormat="1" x14ac:dyDescent="0.25">
      <c r="A2784" s="29"/>
      <c r="B2784" s="15"/>
      <c r="C2784" s="19"/>
      <c r="D2784" s="19"/>
      <c r="E2784" s="19"/>
      <c r="F2784" s="19"/>
      <c r="G2784" s="19"/>
      <c r="H2784" s="82"/>
    </row>
    <row r="2785" spans="1:8" s="28" customFormat="1" x14ac:dyDescent="0.25">
      <c r="A2785" s="29"/>
      <c r="B2785" s="15"/>
      <c r="C2785" s="19"/>
      <c r="D2785" s="19"/>
      <c r="E2785" s="19"/>
      <c r="F2785" s="19"/>
      <c r="G2785" s="19"/>
      <c r="H2785" s="82"/>
    </row>
    <row r="2786" spans="1:8" s="28" customFormat="1" x14ac:dyDescent="0.25">
      <c r="A2786" s="29"/>
      <c r="B2786" s="15"/>
      <c r="C2786" s="19"/>
      <c r="D2786" s="19"/>
      <c r="E2786" s="19"/>
      <c r="F2786" s="19"/>
      <c r="G2786" s="19"/>
      <c r="H2786" s="82"/>
    </row>
    <row r="2787" spans="1:8" s="28" customFormat="1" x14ac:dyDescent="0.25">
      <c r="A2787" s="29"/>
      <c r="B2787" s="15"/>
      <c r="C2787" s="19"/>
      <c r="D2787" s="19"/>
      <c r="E2787" s="19"/>
      <c r="F2787" s="19"/>
      <c r="G2787" s="19"/>
      <c r="H2787" s="82"/>
    </row>
    <row r="2788" spans="1:8" s="28" customFormat="1" x14ac:dyDescent="0.25">
      <c r="A2788" s="29"/>
      <c r="B2788" s="15"/>
      <c r="C2788" s="19"/>
      <c r="D2788" s="19"/>
      <c r="E2788" s="19"/>
      <c r="F2788" s="19"/>
      <c r="G2788" s="19"/>
      <c r="H2788" s="82"/>
    </row>
    <row r="2789" spans="1:8" s="28" customFormat="1" x14ac:dyDescent="0.25">
      <c r="A2789" s="29"/>
      <c r="B2789" s="15"/>
      <c r="C2789" s="19"/>
      <c r="D2789" s="19"/>
      <c r="E2789" s="19"/>
      <c r="F2789" s="19"/>
      <c r="G2789" s="19"/>
      <c r="H2789" s="82"/>
    </row>
    <row r="2790" spans="1:8" s="28" customFormat="1" x14ac:dyDescent="0.25">
      <c r="A2790" s="29"/>
      <c r="B2790" s="15"/>
      <c r="C2790" s="19"/>
      <c r="D2790" s="19"/>
      <c r="E2790" s="19"/>
      <c r="F2790" s="19"/>
      <c r="G2790" s="19"/>
      <c r="H2790" s="82"/>
    </row>
    <row r="2791" spans="1:8" s="28" customFormat="1" x14ac:dyDescent="0.25">
      <c r="A2791" s="29"/>
      <c r="B2791" s="15"/>
      <c r="C2791" s="19"/>
      <c r="D2791" s="19"/>
      <c r="E2791" s="19"/>
      <c r="F2791" s="19"/>
      <c r="G2791" s="19"/>
      <c r="H2791" s="82"/>
    </row>
    <row r="2792" spans="1:8" s="28" customFormat="1" x14ac:dyDescent="0.25">
      <c r="A2792" s="29"/>
      <c r="B2792" s="15"/>
      <c r="C2792" s="19"/>
      <c r="D2792" s="19"/>
      <c r="E2792" s="19"/>
      <c r="F2792" s="19"/>
      <c r="G2792" s="19"/>
      <c r="H2792" s="82"/>
    </row>
    <row r="2793" spans="1:8" s="28" customFormat="1" x14ac:dyDescent="0.25">
      <c r="A2793" s="29"/>
      <c r="B2793" s="15"/>
      <c r="C2793" s="19"/>
      <c r="D2793" s="19"/>
      <c r="E2793" s="19"/>
      <c r="F2793" s="19"/>
      <c r="G2793" s="19"/>
      <c r="H2793" s="82"/>
    </row>
    <row r="2794" spans="1:8" s="28" customFormat="1" x14ac:dyDescent="0.25">
      <c r="A2794" s="29"/>
      <c r="B2794" s="15"/>
      <c r="C2794" s="19"/>
      <c r="D2794" s="19"/>
      <c r="E2794" s="19"/>
      <c r="F2794" s="19"/>
      <c r="G2794" s="19"/>
      <c r="H2794" s="82"/>
    </row>
    <row r="2795" spans="1:8" s="28" customFormat="1" x14ac:dyDescent="0.25">
      <c r="A2795" s="29"/>
      <c r="B2795" s="15"/>
      <c r="C2795" s="19"/>
      <c r="D2795" s="19"/>
      <c r="E2795" s="19"/>
      <c r="F2795" s="19"/>
      <c r="G2795" s="19"/>
      <c r="H2795" s="82"/>
    </row>
    <row r="2796" spans="1:8" s="28" customFormat="1" x14ac:dyDescent="0.25">
      <c r="A2796" s="29"/>
      <c r="B2796" s="15"/>
      <c r="C2796" s="19"/>
      <c r="D2796" s="19"/>
      <c r="E2796" s="19"/>
      <c r="F2796" s="19"/>
      <c r="G2796" s="19"/>
      <c r="H2796" s="82"/>
    </row>
    <row r="2797" spans="1:8" s="28" customFormat="1" x14ac:dyDescent="0.25">
      <c r="A2797" s="29"/>
      <c r="B2797" s="15"/>
      <c r="C2797" s="19"/>
      <c r="D2797" s="19"/>
      <c r="E2797" s="19"/>
      <c r="F2797" s="19"/>
      <c r="G2797" s="19"/>
      <c r="H2797" s="82"/>
    </row>
    <row r="2798" spans="1:8" s="28" customFormat="1" x14ac:dyDescent="0.25">
      <c r="A2798" s="29"/>
      <c r="B2798" s="15"/>
      <c r="C2798" s="19"/>
      <c r="D2798" s="19"/>
      <c r="E2798" s="19"/>
      <c r="F2798" s="19"/>
      <c r="G2798" s="19"/>
      <c r="H2798" s="82"/>
    </row>
    <row r="2799" spans="1:8" s="28" customFormat="1" x14ac:dyDescent="0.25">
      <c r="A2799" s="29"/>
      <c r="B2799" s="15"/>
      <c r="C2799" s="19"/>
      <c r="D2799" s="19"/>
      <c r="E2799" s="19"/>
      <c r="F2799" s="19"/>
      <c r="G2799" s="19"/>
      <c r="H2799" s="82"/>
    </row>
    <row r="2800" spans="1:8" s="28" customFormat="1" x14ac:dyDescent="0.25">
      <c r="A2800" s="29"/>
      <c r="B2800" s="15"/>
      <c r="C2800" s="19"/>
      <c r="D2800" s="19"/>
      <c r="E2800" s="19"/>
      <c r="F2800" s="19"/>
      <c r="G2800" s="19"/>
      <c r="H2800" s="82"/>
    </row>
    <row r="2801" spans="1:8" s="28" customFormat="1" x14ac:dyDescent="0.25">
      <c r="A2801" s="29"/>
      <c r="B2801" s="15"/>
      <c r="C2801" s="19"/>
      <c r="D2801" s="19"/>
      <c r="E2801" s="19"/>
      <c r="F2801" s="19"/>
      <c r="G2801" s="19"/>
      <c r="H2801" s="82"/>
    </row>
    <row r="2802" spans="1:8" s="28" customFormat="1" x14ac:dyDescent="0.25">
      <c r="A2802" s="29"/>
      <c r="B2802" s="15"/>
      <c r="C2802" s="19"/>
      <c r="D2802" s="19"/>
      <c r="E2802" s="19"/>
      <c r="F2802" s="19"/>
      <c r="G2802" s="19"/>
      <c r="H2802" s="82"/>
    </row>
    <row r="2803" spans="1:8" s="28" customFormat="1" x14ac:dyDescent="0.25">
      <c r="A2803" s="29"/>
      <c r="B2803" s="15"/>
      <c r="C2803" s="19"/>
      <c r="D2803" s="19"/>
      <c r="E2803" s="19"/>
      <c r="F2803" s="19"/>
      <c r="G2803" s="19"/>
      <c r="H2803" s="82"/>
    </row>
    <row r="2804" spans="1:8" s="28" customFormat="1" x14ac:dyDescent="0.25">
      <c r="A2804" s="29"/>
      <c r="B2804" s="15"/>
      <c r="C2804" s="19"/>
      <c r="D2804" s="19"/>
      <c r="E2804" s="19"/>
      <c r="F2804" s="19"/>
      <c r="G2804" s="19"/>
      <c r="H2804" s="82"/>
    </row>
    <row r="2805" spans="1:8" s="28" customFormat="1" x14ac:dyDescent="0.25">
      <c r="A2805" s="29"/>
      <c r="B2805" s="15"/>
      <c r="C2805" s="19"/>
      <c r="D2805" s="19"/>
      <c r="E2805" s="19"/>
      <c r="F2805" s="19"/>
      <c r="G2805" s="19"/>
      <c r="H2805" s="82"/>
    </row>
    <row r="2806" spans="1:8" s="28" customFormat="1" x14ac:dyDescent="0.25">
      <c r="A2806" s="29"/>
      <c r="B2806" s="15"/>
      <c r="C2806" s="19"/>
      <c r="D2806" s="19"/>
      <c r="E2806" s="19"/>
      <c r="F2806" s="19"/>
      <c r="G2806" s="19"/>
      <c r="H2806" s="82"/>
    </row>
    <row r="2807" spans="1:8" s="28" customFormat="1" x14ac:dyDescent="0.25">
      <c r="A2807" s="29"/>
      <c r="B2807" s="15"/>
      <c r="C2807" s="19"/>
      <c r="D2807" s="19"/>
      <c r="E2807" s="19"/>
      <c r="F2807" s="19"/>
      <c r="G2807" s="19"/>
      <c r="H2807" s="82"/>
    </row>
    <row r="2808" spans="1:8" s="28" customFormat="1" x14ac:dyDescent="0.25">
      <c r="A2808" s="29"/>
      <c r="B2808" s="15"/>
      <c r="C2808" s="19"/>
      <c r="D2808" s="19"/>
      <c r="E2808" s="19"/>
      <c r="F2808" s="19"/>
      <c r="G2808" s="19"/>
      <c r="H2808" s="82"/>
    </row>
    <row r="2809" spans="1:8" s="28" customFormat="1" x14ac:dyDescent="0.25">
      <c r="A2809" s="29"/>
      <c r="B2809" s="15"/>
      <c r="C2809" s="19"/>
      <c r="D2809" s="19"/>
      <c r="E2809" s="19"/>
      <c r="F2809" s="19"/>
      <c r="G2809" s="19"/>
      <c r="H2809" s="82"/>
    </row>
    <row r="2810" spans="1:8" s="28" customFormat="1" x14ac:dyDescent="0.25">
      <c r="A2810" s="29"/>
      <c r="B2810" s="15"/>
      <c r="C2810" s="19"/>
      <c r="D2810" s="19"/>
      <c r="E2810" s="19"/>
      <c r="F2810" s="19"/>
      <c r="G2810" s="19"/>
      <c r="H2810" s="82"/>
    </row>
    <row r="2811" spans="1:8" s="28" customFormat="1" x14ac:dyDescent="0.25">
      <c r="A2811" s="29"/>
      <c r="B2811" s="15"/>
      <c r="C2811" s="19"/>
      <c r="D2811" s="19"/>
      <c r="E2811" s="19"/>
      <c r="F2811" s="19"/>
      <c r="G2811" s="19"/>
      <c r="H2811" s="82"/>
    </row>
    <row r="2812" spans="1:8" s="28" customFormat="1" x14ac:dyDescent="0.25">
      <c r="A2812" s="29"/>
      <c r="B2812" s="15"/>
      <c r="C2812" s="19"/>
      <c r="D2812" s="19"/>
      <c r="E2812" s="19"/>
      <c r="F2812" s="19"/>
      <c r="G2812" s="19"/>
      <c r="H2812" s="82"/>
    </row>
    <row r="2813" spans="1:8" s="28" customFormat="1" x14ac:dyDescent="0.25">
      <c r="A2813" s="29"/>
      <c r="B2813" s="15"/>
      <c r="C2813" s="19"/>
      <c r="D2813" s="19"/>
      <c r="E2813" s="19"/>
      <c r="F2813" s="19"/>
      <c r="G2813" s="19"/>
      <c r="H2813" s="82"/>
    </row>
    <row r="2814" spans="1:8" s="28" customFormat="1" x14ac:dyDescent="0.25">
      <c r="A2814" s="29"/>
      <c r="B2814" s="15"/>
      <c r="C2814" s="19"/>
      <c r="D2814" s="19"/>
      <c r="E2814" s="19"/>
      <c r="F2814" s="19"/>
      <c r="G2814" s="19"/>
      <c r="H2814" s="82"/>
    </row>
    <row r="2815" spans="1:8" s="28" customFormat="1" x14ac:dyDescent="0.25">
      <c r="A2815" s="29"/>
      <c r="B2815" s="15"/>
      <c r="C2815" s="19"/>
      <c r="D2815" s="19"/>
      <c r="E2815" s="19"/>
      <c r="F2815" s="19"/>
      <c r="G2815" s="19"/>
      <c r="H2815" s="82"/>
    </row>
    <row r="2816" spans="1:8" s="28" customFormat="1" x14ac:dyDescent="0.25">
      <c r="A2816" s="29"/>
      <c r="B2816" s="15"/>
      <c r="C2816" s="19"/>
      <c r="D2816" s="19"/>
      <c r="E2816" s="19"/>
      <c r="F2816" s="19"/>
      <c r="G2816" s="19"/>
      <c r="H2816" s="82"/>
    </row>
    <row r="2817" spans="1:8" s="28" customFormat="1" x14ac:dyDescent="0.25">
      <c r="A2817" s="29"/>
      <c r="B2817" s="15"/>
      <c r="C2817" s="19"/>
      <c r="D2817" s="19"/>
      <c r="E2817" s="19"/>
      <c r="F2817" s="19"/>
      <c r="G2817" s="19"/>
      <c r="H2817" s="82"/>
    </row>
    <row r="2818" spans="1:8" s="28" customFormat="1" x14ac:dyDescent="0.25">
      <c r="A2818" s="29"/>
      <c r="B2818" s="15"/>
      <c r="C2818" s="19"/>
      <c r="D2818" s="19"/>
      <c r="E2818" s="19"/>
      <c r="F2818" s="19"/>
      <c r="G2818" s="19"/>
      <c r="H2818" s="82"/>
    </row>
    <row r="2819" spans="1:8" s="28" customFormat="1" x14ac:dyDescent="0.25">
      <c r="A2819" s="29"/>
      <c r="B2819" s="15"/>
      <c r="C2819" s="19"/>
      <c r="D2819" s="19"/>
      <c r="E2819" s="19"/>
      <c r="F2819" s="19"/>
      <c r="G2819" s="19"/>
      <c r="H2819" s="82"/>
    </row>
    <row r="2820" spans="1:8" s="28" customFormat="1" x14ac:dyDescent="0.25">
      <c r="A2820" s="29"/>
      <c r="B2820" s="15"/>
      <c r="C2820" s="19"/>
      <c r="D2820" s="19"/>
      <c r="E2820" s="19"/>
      <c r="F2820" s="19"/>
      <c r="G2820" s="19"/>
      <c r="H2820" s="82"/>
    </row>
    <row r="2821" spans="1:8" s="28" customFormat="1" x14ac:dyDescent="0.25">
      <c r="A2821" s="29"/>
      <c r="B2821" s="15"/>
      <c r="C2821" s="19"/>
      <c r="D2821" s="19"/>
      <c r="E2821" s="19"/>
      <c r="F2821" s="19"/>
      <c r="G2821" s="19"/>
      <c r="H2821" s="82"/>
    </row>
    <row r="2822" spans="1:8" s="28" customFormat="1" x14ac:dyDescent="0.25">
      <c r="A2822" s="29"/>
      <c r="B2822" s="15"/>
      <c r="C2822" s="19"/>
      <c r="D2822" s="19"/>
      <c r="E2822" s="19"/>
      <c r="F2822" s="19"/>
      <c r="G2822" s="19"/>
      <c r="H2822" s="82"/>
    </row>
    <row r="2823" spans="1:8" s="28" customFormat="1" x14ac:dyDescent="0.25">
      <c r="A2823" s="29"/>
      <c r="B2823" s="15"/>
      <c r="C2823" s="19"/>
      <c r="D2823" s="19"/>
      <c r="E2823" s="19"/>
      <c r="F2823" s="19"/>
      <c r="G2823" s="19"/>
      <c r="H2823" s="82"/>
    </row>
    <row r="2824" spans="1:8" s="28" customFormat="1" x14ac:dyDescent="0.25">
      <c r="A2824" s="29"/>
      <c r="B2824" s="15"/>
      <c r="C2824" s="19"/>
      <c r="D2824" s="19"/>
      <c r="E2824" s="19"/>
      <c r="F2824" s="19"/>
      <c r="G2824" s="19"/>
      <c r="H2824" s="82"/>
    </row>
    <row r="2825" spans="1:8" s="28" customFormat="1" x14ac:dyDescent="0.25">
      <c r="A2825" s="29"/>
      <c r="B2825" s="15"/>
      <c r="C2825" s="19"/>
      <c r="D2825" s="19"/>
      <c r="E2825" s="19"/>
      <c r="F2825" s="19"/>
      <c r="G2825" s="19"/>
      <c r="H2825" s="82"/>
    </row>
    <row r="2826" spans="1:8" s="28" customFormat="1" x14ac:dyDescent="0.25">
      <c r="A2826" s="29"/>
      <c r="B2826" s="15"/>
      <c r="C2826" s="19"/>
      <c r="D2826" s="19"/>
      <c r="E2826" s="19"/>
      <c r="F2826" s="19"/>
      <c r="G2826" s="19"/>
      <c r="H2826" s="82"/>
    </row>
    <row r="2827" spans="1:8" s="28" customFormat="1" x14ac:dyDescent="0.25">
      <c r="A2827" s="29"/>
      <c r="B2827" s="15"/>
      <c r="C2827" s="19"/>
      <c r="D2827" s="19"/>
      <c r="E2827" s="19"/>
      <c r="F2827" s="19"/>
      <c r="G2827" s="19"/>
      <c r="H2827" s="82"/>
    </row>
    <row r="2828" spans="1:8" s="28" customFormat="1" x14ac:dyDescent="0.25">
      <c r="A2828" s="29"/>
      <c r="B2828" s="15"/>
      <c r="C2828" s="19"/>
      <c r="D2828" s="19"/>
      <c r="E2828" s="19"/>
      <c r="F2828" s="19"/>
      <c r="G2828" s="19"/>
      <c r="H2828" s="82"/>
    </row>
    <row r="2829" spans="1:8" s="28" customFormat="1" x14ac:dyDescent="0.25">
      <c r="A2829" s="29"/>
      <c r="B2829" s="15"/>
      <c r="C2829" s="19"/>
      <c r="D2829" s="19"/>
      <c r="E2829" s="19"/>
      <c r="F2829" s="19"/>
      <c r="G2829" s="19"/>
      <c r="H2829" s="82"/>
    </row>
    <row r="2830" spans="1:8" s="28" customFormat="1" x14ac:dyDescent="0.25">
      <c r="A2830" s="29"/>
      <c r="B2830" s="15"/>
      <c r="C2830" s="19"/>
      <c r="D2830" s="19"/>
      <c r="E2830" s="19"/>
      <c r="F2830" s="19"/>
      <c r="G2830" s="19"/>
      <c r="H2830" s="82"/>
    </row>
    <row r="2831" spans="1:8" s="28" customFormat="1" x14ac:dyDescent="0.25">
      <c r="A2831" s="29"/>
      <c r="B2831" s="15"/>
      <c r="C2831" s="19"/>
      <c r="D2831" s="19"/>
      <c r="E2831" s="19"/>
      <c r="F2831" s="19"/>
      <c r="G2831" s="19"/>
      <c r="H2831" s="82"/>
    </row>
    <row r="2832" spans="1:8" s="28" customFormat="1" x14ac:dyDescent="0.25">
      <c r="A2832" s="29"/>
      <c r="B2832" s="15"/>
      <c r="C2832" s="19"/>
      <c r="D2832" s="19"/>
      <c r="E2832" s="19"/>
      <c r="F2832" s="19"/>
      <c r="G2832" s="19"/>
      <c r="H2832" s="82"/>
    </row>
    <row r="2833" spans="1:8" s="28" customFormat="1" x14ac:dyDescent="0.25">
      <c r="A2833" s="29"/>
      <c r="B2833" s="15"/>
      <c r="C2833" s="19"/>
      <c r="D2833" s="19"/>
      <c r="E2833" s="19"/>
      <c r="F2833" s="19"/>
      <c r="G2833" s="19"/>
      <c r="H2833" s="82"/>
    </row>
    <row r="2834" spans="1:8" s="28" customFormat="1" x14ac:dyDescent="0.25">
      <c r="A2834" s="29"/>
      <c r="B2834" s="15"/>
      <c r="C2834" s="19"/>
      <c r="D2834" s="19"/>
      <c r="E2834" s="19"/>
      <c r="F2834" s="19"/>
      <c r="G2834" s="19"/>
      <c r="H2834" s="82"/>
    </row>
    <row r="2835" spans="1:8" s="28" customFormat="1" x14ac:dyDescent="0.25">
      <c r="A2835" s="29"/>
      <c r="B2835" s="15"/>
      <c r="C2835" s="19"/>
      <c r="D2835" s="19"/>
      <c r="E2835" s="19"/>
      <c r="F2835" s="19"/>
      <c r="G2835" s="19"/>
      <c r="H2835" s="82"/>
    </row>
    <row r="2836" spans="1:8" s="28" customFormat="1" x14ac:dyDescent="0.25">
      <c r="A2836" s="29"/>
      <c r="B2836" s="15"/>
      <c r="C2836" s="19"/>
      <c r="D2836" s="19"/>
      <c r="E2836" s="19"/>
      <c r="F2836" s="19"/>
      <c r="G2836" s="19"/>
      <c r="H2836" s="82"/>
    </row>
    <row r="2837" spans="1:8" s="28" customFormat="1" x14ac:dyDescent="0.25">
      <c r="A2837" s="29"/>
      <c r="B2837" s="15"/>
      <c r="C2837" s="19"/>
      <c r="D2837" s="19"/>
      <c r="E2837" s="19"/>
      <c r="F2837" s="19"/>
      <c r="G2837" s="19"/>
      <c r="H2837" s="82"/>
    </row>
    <row r="2838" spans="1:8" s="28" customFormat="1" x14ac:dyDescent="0.25">
      <c r="A2838" s="29"/>
      <c r="B2838" s="15"/>
      <c r="C2838" s="19"/>
      <c r="D2838" s="19"/>
      <c r="E2838" s="19"/>
      <c r="F2838" s="19"/>
      <c r="G2838" s="19"/>
      <c r="H2838" s="82"/>
    </row>
    <row r="2839" spans="1:8" s="28" customFormat="1" x14ac:dyDescent="0.25">
      <c r="A2839" s="29"/>
      <c r="B2839" s="15"/>
      <c r="C2839" s="19"/>
      <c r="D2839" s="19"/>
      <c r="E2839" s="19"/>
      <c r="F2839" s="19"/>
      <c r="G2839" s="19"/>
      <c r="H2839" s="82"/>
    </row>
    <row r="2840" spans="1:8" s="28" customFormat="1" x14ac:dyDescent="0.25">
      <c r="A2840" s="29"/>
      <c r="B2840" s="15"/>
      <c r="C2840" s="19"/>
      <c r="D2840" s="19"/>
      <c r="E2840" s="19"/>
      <c r="F2840" s="19"/>
      <c r="G2840" s="19"/>
      <c r="H2840" s="82"/>
    </row>
    <row r="2841" spans="1:8" s="28" customFormat="1" x14ac:dyDescent="0.25">
      <c r="A2841" s="29"/>
      <c r="B2841" s="15"/>
      <c r="C2841" s="19"/>
      <c r="D2841" s="19"/>
      <c r="E2841" s="19"/>
      <c r="F2841" s="19"/>
      <c r="G2841" s="19"/>
      <c r="H2841" s="82"/>
    </row>
    <row r="2842" spans="1:8" s="28" customFormat="1" x14ac:dyDescent="0.25">
      <c r="A2842" s="29"/>
      <c r="B2842" s="15"/>
      <c r="C2842" s="19"/>
      <c r="D2842" s="19"/>
      <c r="E2842" s="19"/>
      <c r="F2842" s="19"/>
      <c r="G2842" s="19"/>
      <c r="H2842" s="82"/>
    </row>
    <row r="2843" spans="1:8" s="28" customFormat="1" x14ac:dyDescent="0.25">
      <c r="A2843" s="29"/>
      <c r="B2843" s="15"/>
      <c r="C2843" s="19"/>
      <c r="D2843" s="19"/>
      <c r="E2843" s="19"/>
      <c r="F2843" s="19"/>
      <c r="G2843" s="19"/>
      <c r="H2843" s="82"/>
    </row>
    <row r="2844" spans="1:8" s="28" customFormat="1" x14ac:dyDescent="0.25">
      <c r="A2844" s="29"/>
      <c r="B2844" s="15"/>
      <c r="C2844" s="19"/>
      <c r="D2844" s="19"/>
      <c r="E2844" s="19"/>
      <c r="F2844" s="19"/>
      <c r="G2844" s="19"/>
      <c r="H2844" s="82"/>
    </row>
    <row r="2845" spans="1:8" s="28" customFormat="1" x14ac:dyDescent="0.25">
      <c r="A2845" s="29"/>
      <c r="B2845" s="15"/>
      <c r="C2845" s="19"/>
      <c r="D2845" s="19"/>
      <c r="E2845" s="19"/>
      <c r="F2845" s="19"/>
      <c r="G2845" s="19"/>
      <c r="H2845" s="82"/>
    </row>
    <row r="2846" spans="1:8" s="28" customFormat="1" x14ac:dyDescent="0.25">
      <c r="A2846" s="29"/>
      <c r="B2846" s="15"/>
      <c r="C2846" s="19"/>
      <c r="D2846" s="19"/>
      <c r="E2846" s="19"/>
      <c r="F2846" s="19"/>
      <c r="G2846" s="19"/>
      <c r="H2846" s="82"/>
    </row>
    <row r="2847" spans="1:8" s="28" customFormat="1" x14ac:dyDescent="0.25">
      <c r="A2847" s="29"/>
      <c r="B2847" s="15"/>
      <c r="C2847" s="19"/>
      <c r="D2847" s="19"/>
      <c r="E2847" s="19"/>
      <c r="F2847" s="19"/>
      <c r="G2847" s="19"/>
      <c r="H2847" s="82"/>
    </row>
    <row r="2848" spans="1:8" s="28" customFormat="1" x14ac:dyDescent="0.25">
      <c r="A2848" s="29"/>
      <c r="B2848" s="15"/>
      <c r="C2848" s="19"/>
      <c r="D2848" s="19"/>
      <c r="E2848" s="19"/>
      <c r="F2848" s="19"/>
      <c r="G2848" s="19"/>
      <c r="H2848" s="82"/>
    </row>
    <row r="2849" spans="1:8" s="28" customFormat="1" x14ac:dyDescent="0.25">
      <c r="A2849" s="29"/>
      <c r="B2849" s="15"/>
      <c r="C2849" s="19"/>
      <c r="D2849" s="19"/>
      <c r="E2849" s="19"/>
      <c r="F2849" s="19"/>
      <c r="G2849" s="19"/>
      <c r="H2849" s="82"/>
    </row>
    <row r="2850" spans="1:8" s="28" customFormat="1" x14ac:dyDescent="0.25">
      <c r="A2850" s="29"/>
      <c r="B2850" s="15"/>
      <c r="C2850" s="19"/>
      <c r="D2850" s="19"/>
      <c r="E2850" s="19"/>
      <c r="F2850" s="19"/>
      <c r="G2850" s="19"/>
      <c r="H2850" s="82"/>
    </row>
    <row r="2851" spans="1:8" s="28" customFormat="1" x14ac:dyDescent="0.25">
      <c r="A2851" s="29"/>
      <c r="B2851" s="15"/>
      <c r="C2851" s="19"/>
      <c r="D2851" s="19"/>
      <c r="E2851" s="19"/>
      <c r="F2851" s="19"/>
      <c r="G2851" s="19"/>
      <c r="H2851" s="82"/>
    </row>
    <row r="2852" spans="1:8" s="28" customFormat="1" x14ac:dyDescent="0.25">
      <c r="A2852" s="29"/>
      <c r="B2852" s="15"/>
      <c r="C2852" s="19"/>
      <c r="D2852" s="19"/>
      <c r="E2852" s="19"/>
      <c r="F2852" s="19"/>
      <c r="G2852" s="19"/>
      <c r="H2852" s="82"/>
    </row>
    <row r="2853" spans="1:8" s="28" customFormat="1" x14ac:dyDescent="0.25">
      <c r="A2853" s="29"/>
      <c r="B2853" s="15"/>
      <c r="C2853" s="19"/>
      <c r="D2853" s="19"/>
      <c r="E2853" s="19"/>
      <c r="F2853" s="19"/>
      <c r="G2853" s="19"/>
      <c r="H2853" s="82"/>
    </row>
    <row r="2854" spans="1:8" s="28" customFormat="1" x14ac:dyDescent="0.25">
      <c r="A2854" s="29"/>
      <c r="B2854" s="15"/>
      <c r="C2854" s="19"/>
      <c r="D2854" s="19"/>
      <c r="E2854" s="19"/>
      <c r="F2854" s="19"/>
      <c r="G2854" s="19"/>
      <c r="H2854" s="82"/>
    </row>
    <row r="2855" spans="1:8" s="28" customFormat="1" x14ac:dyDescent="0.25">
      <c r="A2855" s="29"/>
      <c r="B2855" s="15"/>
      <c r="C2855" s="19"/>
      <c r="D2855" s="19"/>
      <c r="E2855" s="19"/>
      <c r="F2855" s="19"/>
      <c r="G2855" s="19"/>
      <c r="H2855" s="82"/>
    </row>
    <row r="2856" spans="1:8" s="28" customFormat="1" x14ac:dyDescent="0.25">
      <c r="A2856" s="29"/>
      <c r="B2856" s="15"/>
      <c r="C2856" s="19"/>
      <c r="D2856" s="19"/>
      <c r="E2856" s="19"/>
      <c r="F2856" s="19"/>
      <c r="G2856" s="19"/>
      <c r="H2856" s="82"/>
    </row>
    <row r="2857" spans="1:8" s="28" customFormat="1" x14ac:dyDescent="0.25">
      <c r="A2857" s="29"/>
      <c r="B2857" s="15"/>
      <c r="C2857" s="19"/>
      <c r="D2857" s="19"/>
      <c r="E2857" s="19"/>
      <c r="F2857" s="19"/>
      <c r="G2857" s="19"/>
      <c r="H2857" s="82"/>
    </row>
    <row r="2858" spans="1:8" s="28" customFormat="1" x14ac:dyDescent="0.25">
      <c r="A2858" s="29"/>
      <c r="B2858" s="15"/>
      <c r="C2858" s="19"/>
      <c r="D2858" s="19"/>
      <c r="E2858" s="19"/>
      <c r="F2858" s="19"/>
      <c r="G2858" s="19"/>
      <c r="H2858" s="82"/>
    </row>
    <row r="2859" spans="1:8" s="28" customFormat="1" x14ac:dyDescent="0.25">
      <c r="A2859" s="29"/>
      <c r="B2859" s="15"/>
      <c r="C2859" s="19"/>
      <c r="D2859" s="19"/>
      <c r="E2859" s="19"/>
      <c r="F2859" s="19"/>
      <c r="G2859" s="19"/>
      <c r="H2859" s="82"/>
    </row>
    <row r="2860" spans="1:8" s="28" customFormat="1" x14ac:dyDescent="0.25">
      <c r="A2860" s="29"/>
      <c r="B2860" s="15"/>
      <c r="C2860" s="19"/>
      <c r="D2860" s="19"/>
      <c r="E2860" s="19"/>
      <c r="F2860" s="19"/>
      <c r="G2860" s="19"/>
      <c r="H2860" s="82"/>
    </row>
    <row r="2861" spans="1:8" s="28" customFormat="1" x14ac:dyDescent="0.25">
      <c r="A2861" s="29"/>
      <c r="B2861" s="15"/>
      <c r="C2861" s="19"/>
      <c r="D2861" s="19"/>
      <c r="E2861" s="19"/>
      <c r="F2861" s="19"/>
      <c r="G2861" s="19"/>
      <c r="H2861" s="82"/>
    </row>
    <row r="2862" spans="1:8" s="28" customFormat="1" x14ac:dyDescent="0.25">
      <c r="A2862" s="29"/>
      <c r="B2862" s="15"/>
      <c r="C2862" s="19"/>
      <c r="D2862" s="19"/>
      <c r="E2862" s="19"/>
      <c r="F2862" s="19"/>
      <c r="G2862" s="19"/>
      <c r="H2862" s="82"/>
    </row>
    <row r="2863" spans="1:8" s="28" customFormat="1" x14ac:dyDescent="0.25">
      <c r="A2863" s="29"/>
      <c r="B2863" s="15"/>
      <c r="C2863" s="19"/>
      <c r="D2863" s="19"/>
      <c r="E2863" s="19"/>
      <c r="F2863" s="19"/>
      <c r="G2863" s="19"/>
      <c r="H2863" s="82"/>
    </row>
    <row r="2864" spans="1:8" s="28" customFormat="1" x14ac:dyDescent="0.25">
      <c r="A2864" s="29"/>
      <c r="B2864" s="15"/>
      <c r="C2864" s="19"/>
      <c r="D2864" s="19"/>
      <c r="E2864" s="19"/>
      <c r="F2864" s="19"/>
      <c r="G2864" s="19"/>
      <c r="H2864" s="82"/>
    </row>
    <row r="2865" spans="1:8" s="28" customFormat="1" x14ac:dyDescent="0.25">
      <c r="A2865" s="29"/>
      <c r="B2865" s="15"/>
      <c r="C2865" s="19"/>
      <c r="D2865" s="19"/>
      <c r="E2865" s="19"/>
      <c r="F2865" s="19"/>
      <c r="G2865" s="19"/>
      <c r="H2865" s="82"/>
    </row>
    <row r="2866" spans="1:8" s="28" customFormat="1" x14ac:dyDescent="0.25">
      <c r="A2866" s="29"/>
      <c r="B2866" s="15"/>
      <c r="C2866" s="19"/>
      <c r="D2866" s="19"/>
      <c r="E2866" s="19"/>
      <c r="F2866" s="19"/>
      <c r="G2866" s="19"/>
      <c r="H2866" s="82"/>
    </row>
    <row r="2867" spans="1:8" s="28" customFormat="1" x14ac:dyDescent="0.25">
      <c r="A2867" s="29"/>
      <c r="B2867" s="15"/>
      <c r="C2867" s="19"/>
      <c r="D2867" s="19"/>
      <c r="E2867" s="19"/>
      <c r="F2867" s="19"/>
      <c r="G2867" s="19"/>
      <c r="H2867" s="82"/>
    </row>
    <row r="2868" spans="1:8" s="28" customFormat="1" x14ac:dyDescent="0.25">
      <c r="A2868" s="29"/>
      <c r="B2868" s="15"/>
      <c r="C2868" s="19"/>
      <c r="D2868" s="19"/>
      <c r="E2868" s="19"/>
      <c r="F2868" s="19"/>
      <c r="G2868" s="19"/>
      <c r="H2868" s="82"/>
    </row>
    <row r="2869" spans="1:8" s="28" customFormat="1" x14ac:dyDescent="0.25">
      <c r="A2869" s="29"/>
      <c r="B2869" s="15"/>
      <c r="C2869" s="19"/>
      <c r="D2869" s="19"/>
      <c r="E2869" s="19"/>
      <c r="F2869" s="19"/>
      <c r="G2869" s="19"/>
      <c r="H2869" s="82"/>
    </row>
    <row r="2870" spans="1:8" s="28" customFormat="1" x14ac:dyDescent="0.25">
      <c r="A2870" s="29"/>
      <c r="B2870" s="15"/>
      <c r="C2870" s="19"/>
      <c r="D2870" s="19"/>
      <c r="E2870" s="19"/>
      <c r="F2870" s="19"/>
      <c r="G2870" s="19"/>
      <c r="H2870" s="82"/>
    </row>
    <row r="2871" spans="1:8" s="28" customFormat="1" x14ac:dyDescent="0.25">
      <c r="A2871" s="29"/>
      <c r="B2871" s="15"/>
      <c r="C2871" s="19"/>
      <c r="D2871" s="19"/>
      <c r="E2871" s="19"/>
      <c r="F2871" s="19"/>
      <c r="G2871" s="19"/>
      <c r="H2871" s="82"/>
    </row>
    <row r="2872" spans="1:8" s="28" customFormat="1" x14ac:dyDescent="0.25">
      <c r="A2872" s="29"/>
      <c r="B2872" s="15"/>
      <c r="C2872" s="19"/>
      <c r="D2872" s="19"/>
      <c r="E2872" s="19"/>
      <c r="F2872" s="19"/>
      <c r="G2872" s="19"/>
      <c r="H2872" s="82"/>
    </row>
    <row r="2873" spans="1:8" s="28" customFormat="1" x14ac:dyDescent="0.25">
      <c r="A2873" s="29"/>
      <c r="B2873" s="15"/>
      <c r="C2873" s="19"/>
      <c r="D2873" s="19"/>
      <c r="E2873" s="19"/>
      <c r="F2873" s="19"/>
      <c r="G2873" s="19"/>
      <c r="H2873" s="82"/>
    </row>
    <row r="2874" spans="1:8" s="28" customFormat="1" x14ac:dyDescent="0.25">
      <c r="A2874" s="29"/>
      <c r="B2874" s="15"/>
      <c r="C2874" s="19"/>
      <c r="D2874" s="19"/>
      <c r="E2874" s="19"/>
      <c r="F2874" s="19"/>
      <c r="G2874" s="19"/>
      <c r="H2874" s="82"/>
    </row>
    <row r="2875" spans="1:8" s="28" customFormat="1" x14ac:dyDescent="0.25">
      <c r="A2875" s="29"/>
      <c r="B2875" s="15"/>
      <c r="C2875" s="19"/>
      <c r="D2875" s="19"/>
      <c r="E2875" s="19"/>
      <c r="F2875" s="19"/>
      <c r="G2875" s="19"/>
      <c r="H2875" s="82"/>
    </row>
    <row r="2876" spans="1:8" s="28" customFormat="1" x14ac:dyDescent="0.25">
      <c r="A2876" s="29"/>
      <c r="B2876" s="15"/>
      <c r="C2876" s="19"/>
      <c r="D2876" s="19"/>
      <c r="E2876" s="19"/>
      <c r="F2876" s="19"/>
      <c r="G2876" s="19"/>
      <c r="H2876" s="82"/>
    </row>
    <row r="2877" spans="1:8" s="28" customFormat="1" x14ac:dyDescent="0.25">
      <c r="A2877" s="29"/>
      <c r="B2877" s="15"/>
      <c r="C2877" s="19"/>
      <c r="D2877" s="19"/>
      <c r="E2877" s="19"/>
      <c r="F2877" s="19"/>
      <c r="G2877" s="19"/>
      <c r="H2877" s="82"/>
    </row>
    <row r="2878" spans="1:8" s="28" customFormat="1" x14ac:dyDescent="0.25">
      <c r="A2878" s="29"/>
      <c r="B2878" s="15"/>
      <c r="C2878" s="19"/>
      <c r="D2878" s="19"/>
      <c r="E2878" s="19"/>
      <c r="F2878" s="19"/>
      <c r="G2878" s="19"/>
      <c r="H2878" s="82"/>
    </row>
    <row r="2879" spans="1:8" s="28" customFormat="1" x14ac:dyDescent="0.25">
      <c r="A2879" s="29"/>
      <c r="B2879" s="15"/>
      <c r="C2879" s="19"/>
      <c r="D2879" s="19"/>
      <c r="E2879" s="19"/>
      <c r="F2879" s="19"/>
      <c r="G2879" s="19"/>
      <c r="H2879" s="82"/>
    </row>
    <row r="2880" spans="1:8" s="28" customFormat="1" x14ac:dyDescent="0.25">
      <c r="A2880" s="29"/>
      <c r="B2880" s="15"/>
      <c r="C2880" s="19"/>
      <c r="D2880" s="19"/>
      <c r="E2880" s="19"/>
      <c r="F2880" s="19"/>
      <c r="G2880" s="19"/>
      <c r="H2880" s="82"/>
    </row>
    <row r="2881" spans="1:8" s="28" customFormat="1" x14ac:dyDescent="0.25">
      <c r="A2881" s="29"/>
      <c r="B2881" s="15"/>
      <c r="C2881" s="19"/>
      <c r="D2881" s="19"/>
      <c r="E2881" s="19"/>
      <c r="F2881" s="19"/>
      <c r="G2881" s="19"/>
      <c r="H2881" s="82"/>
    </row>
    <row r="2882" spans="1:8" s="28" customFormat="1" x14ac:dyDescent="0.25">
      <c r="A2882" s="29"/>
      <c r="B2882" s="15"/>
      <c r="C2882" s="19"/>
      <c r="D2882" s="19"/>
      <c r="E2882" s="19"/>
      <c r="F2882" s="19"/>
      <c r="G2882" s="19"/>
      <c r="H2882" s="82"/>
    </row>
    <row r="2883" spans="1:8" s="28" customFormat="1" x14ac:dyDescent="0.25">
      <c r="A2883" s="29"/>
      <c r="B2883" s="15"/>
      <c r="C2883" s="19"/>
      <c r="D2883" s="19"/>
      <c r="E2883" s="19"/>
      <c r="F2883" s="19"/>
      <c r="G2883" s="19"/>
      <c r="H2883" s="82"/>
    </row>
    <row r="2884" spans="1:8" s="28" customFormat="1" x14ac:dyDescent="0.25">
      <c r="A2884" s="29"/>
      <c r="B2884" s="15"/>
      <c r="C2884" s="19"/>
      <c r="D2884" s="19"/>
      <c r="E2884" s="19"/>
      <c r="F2884" s="19"/>
      <c r="G2884" s="19"/>
      <c r="H2884" s="82"/>
    </row>
    <row r="2885" spans="1:8" s="28" customFormat="1" x14ac:dyDescent="0.25">
      <c r="A2885" s="29"/>
      <c r="B2885" s="15"/>
      <c r="C2885" s="19"/>
      <c r="D2885" s="19"/>
      <c r="E2885" s="19"/>
      <c r="F2885" s="19"/>
      <c r="G2885" s="19"/>
      <c r="H2885" s="82"/>
    </row>
    <row r="2886" spans="1:8" s="28" customFormat="1" x14ac:dyDescent="0.25">
      <c r="A2886" s="29"/>
      <c r="B2886" s="15"/>
      <c r="C2886" s="19"/>
      <c r="D2886" s="19"/>
      <c r="E2886" s="19"/>
      <c r="F2886" s="19"/>
      <c r="G2886" s="19"/>
      <c r="H2886" s="82"/>
    </row>
    <row r="2887" spans="1:8" s="28" customFormat="1" x14ac:dyDescent="0.25">
      <c r="A2887" s="29"/>
      <c r="B2887" s="15"/>
      <c r="C2887" s="19"/>
      <c r="D2887" s="19"/>
      <c r="E2887" s="19"/>
      <c r="F2887" s="19"/>
      <c r="G2887" s="19"/>
      <c r="H2887" s="82"/>
    </row>
    <row r="2888" spans="1:8" s="28" customFormat="1" x14ac:dyDescent="0.25">
      <c r="A2888" s="29"/>
      <c r="B2888" s="15"/>
      <c r="C2888" s="19"/>
      <c r="D2888" s="19"/>
      <c r="E2888" s="19"/>
      <c r="F2888" s="19"/>
      <c r="G2888" s="19"/>
      <c r="H2888" s="82"/>
    </row>
    <row r="2889" spans="1:8" s="28" customFormat="1" x14ac:dyDescent="0.25">
      <c r="A2889" s="29"/>
      <c r="B2889" s="15"/>
      <c r="C2889" s="19"/>
      <c r="D2889" s="19"/>
      <c r="E2889" s="19"/>
      <c r="F2889" s="19"/>
      <c r="G2889" s="19"/>
      <c r="H2889" s="82"/>
    </row>
    <row r="2890" spans="1:8" s="28" customFormat="1" x14ac:dyDescent="0.25">
      <c r="A2890" s="29"/>
      <c r="B2890" s="15"/>
      <c r="C2890" s="19"/>
      <c r="D2890" s="19"/>
      <c r="E2890" s="19"/>
      <c r="F2890" s="19"/>
      <c r="G2890" s="19"/>
      <c r="H2890" s="82"/>
    </row>
    <row r="2891" spans="1:8" s="28" customFormat="1" x14ac:dyDescent="0.25">
      <c r="A2891" s="29"/>
      <c r="B2891" s="15"/>
      <c r="C2891" s="19"/>
      <c r="D2891" s="19"/>
      <c r="E2891" s="19"/>
      <c r="F2891" s="19"/>
      <c r="G2891" s="19"/>
      <c r="H2891" s="82"/>
    </row>
    <row r="2892" spans="1:8" s="28" customFormat="1" x14ac:dyDescent="0.25">
      <c r="A2892" s="29"/>
      <c r="B2892" s="15"/>
      <c r="C2892" s="19"/>
      <c r="D2892" s="19"/>
      <c r="E2892" s="19"/>
      <c r="F2892" s="19"/>
      <c r="G2892" s="19"/>
      <c r="H2892" s="82"/>
    </row>
    <row r="2893" spans="1:8" s="28" customFormat="1" x14ac:dyDescent="0.25">
      <c r="A2893" s="29"/>
      <c r="B2893" s="15"/>
      <c r="C2893" s="19"/>
      <c r="D2893" s="19"/>
      <c r="E2893" s="19"/>
      <c r="F2893" s="19"/>
      <c r="G2893" s="19"/>
      <c r="H2893" s="82"/>
    </row>
    <row r="2894" spans="1:8" s="28" customFormat="1" x14ac:dyDescent="0.25">
      <c r="A2894" s="29"/>
      <c r="B2894" s="15"/>
      <c r="C2894" s="19"/>
      <c r="D2894" s="19"/>
      <c r="E2894" s="19"/>
      <c r="F2894" s="19"/>
      <c r="G2894" s="19"/>
      <c r="H2894" s="82"/>
    </row>
    <row r="2895" spans="1:8" s="28" customFormat="1" x14ac:dyDescent="0.25">
      <c r="A2895" s="29"/>
      <c r="B2895" s="15"/>
      <c r="C2895" s="19"/>
      <c r="D2895" s="19"/>
      <c r="E2895" s="19"/>
      <c r="F2895" s="19"/>
      <c r="G2895" s="19"/>
      <c r="H2895" s="82"/>
    </row>
    <row r="2896" spans="1:8" s="28" customFormat="1" x14ac:dyDescent="0.25">
      <c r="A2896" s="29"/>
      <c r="B2896" s="15"/>
      <c r="C2896" s="19"/>
      <c r="D2896" s="19"/>
      <c r="E2896" s="19"/>
      <c r="F2896" s="19"/>
      <c r="G2896" s="19"/>
      <c r="H2896" s="82"/>
    </row>
    <row r="2897" spans="1:8" s="28" customFormat="1" x14ac:dyDescent="0.25">
      <c r="A2897" s="29"/>
      <c r="B2897" s="15"/>
      <c r="C2897" s="19"/>
      <c r="D2897" s="19"/>
      <c r="E2897" s="19"/>
      <c r="F2897" s="19"/>
      <c r="G2897" s="19"/>
      <c r="H2897" s="82"/>
    </row>
    <row r="2898" spans="1:8" s="28" customFormat="1" x14ac:dyDescent="0.25">
      <c r="A2898" s="29"/>
      <c r="B2898" s="15"/>
      <c r="C2898" s="19"/>
      <c r="D2898" s="19"/>
      <c r="E2898" s="19"/>
      <c r="F2898" s="19"/>
      <c r="G2898" s="19"/>
      <c r="H2898" s="82"/>
    </row>
    <row r="2899" spans="1:8" s="28" customFormat="1" x14ac:dyDescent="0.25">
      <c r="A2899" s="29"/>
      <c r="B2899" s="15"/>
      <c r="C2899" s="19"/>
      <c r="D2899" s="19"/>
      <c r="E2899" s="19"/>
      <c r="F2899" s="19"/>
      <c r="G2899" s="19"/>
      <c r="H2899" s="82"/>
    </row>
    <row r="2900" spans="1:8" s="28" customFormat="1" x14ac:dyDescent="0.25">
      <c r="A2900" s="29"/>
      <c r="B2900" s="15"/>
      <c r="C2900" s="19"/>
      <c r="D2900" s="19"/>
      <c r="E2900" s="19"/>
      <c r="F2900" s="19"/>
      <c r="G2900" s="19"/>
      <c r="H2900" s="82"/>
    </row>
    <row r="2901" spans="1:8" s="28" customFormat="1" x14ac:dyDescent="0.25">
      <c r="A2901" s="29"/>
      <c r="B2901" s="15"/>
      <c r="C2901" s="19"/>
      <c r="D2901" s="19"/>
      <c r="E2901" s="19"/>
      <c r="F2901" s="19"/>
      <c r="G2901" s="19"/>
      <c r="H2901" s="82"/>
    </row>
    <row r="2902" spans="1:8" s="28" customFormat="1" x14ac:dyDescent="0.25">
      <c r="A2902" s="29"/>
      <c r="B2902" s="15"/>
      <c r="C2902" s="19"/>
      <c r="D2902" s="19"/>
      <c r="E2902" s="19"/>
      <c r="F2902" s="19"/>
      <c r="G2902" s="19"/>
      <c r="H2902" s="82"/>
    </row>
    <row r="2903" spans="1:8" s="28" customFormat="1" x14ac:dyDescent="0.25">
      <c r="A2903" s="29"/>
      <c r="B2903" s="15"/>
      <c r="C2903" s="19"/>
      <c r="D2903" s="19"/>
      <c r="E2903" s="19"/>
      <c r="F2903" s="19"/>
      <c r="G2903" s="19"/>
      <c r="H2903" s="82"/>
    </row>
    <row r="2904" spans="1:8" s="28" customFormat="1" x14ac:dyDescent="0.25">
      <c r="A2904" s="29"/>
      <c r="B2904" s="15"/>
      <c r="C2904" s="19"/>
      <c r="D2904" s="19"/>
      <c r="E2904" s="19"/>
      <c r="F2904" s="19"/>
      <c r="G2904" s="19"/>
      <c r="H2904" s="82"/>
    </row>
    <row r="2905" spans="1:8" s="28" customFormat="1" x14ac:dyDescent="0.25">
      <c r="A2905" s="29"/>
      <c r="B2905" s="15"/>
      <c r="C2905" s="19"/>
      <c r="D2905" s="19"/>
      <c r="E2905" s="19"/>
      <c r="F2905" s="19"/>
      <c r="G2905" s="19"/>
      <c r="H2905" s="82"/>
    </row>
    <row r="2906" spans="1:8" s="28" customFormat="1" x14ac:dyDescent="0.25">
      <c r="A2906" s="29"/>
      <c r="B2906" s="15"/>
      <c r="C2906" s="19"/>
      <c r="D2906" s="19"/>
      <c r="E2906" s="19"/>
      <c r="F2906" s="19"/>
      <c r="G2906" s="19"/>
      <c r="H2906" s="82"/>
    </row>
    <row r="2907" spans="1:8" s="28" customFormat="1" x14ac:dyDescent="0.25">
      <c r="A2907" s="29"/>
      <c r="B2907" s="15"/>
      <c r="C2907" s="19"/>
      <c r="D2907" s="19"/>
      <c r="E2907" s="19"/>
      <c r="F2907" s="19"/>
      <c r="G2907" s="19"/>
      <c r="H2907" s="82"/>
    </row>
    <row r="2908" spans="1:8" s="28" customFormat="1" x14ac:dyDescent="0.25">
      <c r="A2908" s="29"/>
      <c r="B2908" s="15"/>
      <c r="C2908" s="19"/>
      <c r="D2908" s="19"/>
      <c r="E2908" s="19"/>
      <c r="F2908" s="19"/>
      <c r="G2908" s="19"/>
      <c r="H2908" s="82"/>
    </row>
    <row r="2909" spans="1:8" s="28" customFormat="1" x14ac:dyDescent="0.25">
      <c r="A2909" s="29"/>
      <c r="B2909" s="15"/>
      <c r="C2909" s="19"/>
      <c r="D2909" s="19"/>
      <c r="E2909" s="19"/>
      <c r="F2909" s="19"/>
      <c r="G2909" s="19"/>
      <c r="H2909" s="82"/>
    </row>
    <row r="2910" spans="1:8" s="28" customFormat="1" x14ac:dyDescent="0.25">
      <c r="A2910" s="29"/>
      <c r="B2910" s="15"/>
      <c r="C2910" s="19"/>
      <c r="D2910" s="19"/>
      <c r="E2910" s="19"/>
      <c r="F2910" s="19"/>
      <c r="G2910" s="19"/>
      <c r="H2910" s="82"/>
    </row>
    <row r="2911" spans="1:8" s="28" customFormat="1" x14ac:dyDescent="0.25">
      <c r="A2911" s="29"/>
      <c r="B2911" s="15"/>
      <c r="C2911" s="19"/>
      <c r="D2911" s="19"/>
      <c r="E2911" s="19"/>
      <c r="F2911" s="19"/>
      <c r="G2911" s="19"/>
      <c r="H2911" s="82"/>
    </row>
    <row r="2912" spans="1:8" s="28" customFormat="1" x14ac:dyDescent="0.25">
      <c r="A2912" s="29"/>
      <c r="B2912" s="15"/>
      <c r="C2912" s="19"/>
      <c r="D2912" s="19"/>
      <c r="E2912" s="19"/>
      <c r="F2912" s="19"/>
      <c r="G2912" s="19"/>
      <c r="H2912" s="82"/>
    </row>
    <row r="2913" spans="1:8" s="28" customFormat="1" x14ac:dyDescent="0.25">
      <c r="A2913" s="29"/>
      <c r="B2913" s="15"/>
      <c r="C2913" s="19"/>
      <c r="D2913" s="19"/>
      <c r="E2913" s="19"/>
      <c r="F2913" s="19"/>
      <c r="G2913" s="19"/>
      <c r="H2913" s="82"/>
    </row>
    <row r="2914" spans="1:8" s="28" customFormat="1" x14ac:dyDescent="0.25">
      <c r="A2914" s="29"/>
      <c r="B2914" s="15"/>
      <c r="C2914" s="19"/>
      <c r="D2914" s="19"/>
      <c r="E2914" s="19"/>
      <c r="F2914" s="19"/>
      <c r="G2914" s="19"/>
      <c r="H2914" s="82"/>
    </row>
    <row r="2915" spans="1:8" s="28" customFormat="1" x14ac:dyDescent="0.25">
      <c r="A2915" s="29"/>
      <c r="B2915" s="15"/>
      <c r="C2915" s="19"/>
      <c r="D2915" s="19"/>
      <c r="E2915" s="19"/>
      <c r="F2915" s="19"/>
      <c r="G2915" s="19"/>
      <c r="H2915" s="82"/>
    </row>
    <row r="2916" spans="1:8" s="28" customFormat="1" x14ac:dyDescent="0.25">
      <c r="A2916" s="29"/>
      <c r="B2916" s="15"/>
      <c r="C2916" s="19"/>
      <c r="D2916" s="19"/>
      <c r="E2916" s="19"/>
      <c r="F2916" s="19"/>
      <c r="G2916" s="19"/>
      <c r="H2916" s="82"/>
    </row>
    <row r="2917" spans="1:8" s="28" customFormat="1" x14ac:dyDescent="0.25">
      <c r="A2917" s="29"/>
      <c r="B2917" s="15"/>
      <c r="C2917" s="19"/>
      <c r="D2917" s="19"/>
      <c r="E2917" s="19"/>
      <c r="F2917" s="19"/>
      <c r="G2917" s="19"/>
      <c r="H2917" s="82"/>
    </row>
    <row r="2918" spans="1:8" s="28" customFormat="1" x14ac:dyDescent="0.25">
      <c r="A2918" s="29"/>
      <c r="B2918" s="15"/>
      <c r="C2918" s="19"/>
      <c r="D2918" s="19"/>
      <c r="E2918" s="19"/>
      <c r="F2918" s="19"/>
      <c r="G2918" s="19"/>
      <c r="H2918" s="82"/>
    </row>
    <row r="2919" spans="1:8" s="28" customFormat="1" x14ac:dyDescent="0.25">
      <c r="A2919" s="29"/>
      <c r="B2919" s="15"/>
      <c r="C2919" s="19"/>
      <c r="D2919" s="19"/>
      <c r="E2919" s="19"/>
      <c r="F2919" s="19"/>
      <c r="G2919" s="19"/>
      <c r="H2919" s="82"/>
    </row>
    <row r="2920" spans="1:8" s="28" customFormat="1" x14ac:dyDescent="0.25">
      <c r="A2920" s="29"/>
      <c r="B2920" s="15"/>
      <c r="C2920" s="19"/>
      <c r="D2920" s="19"/>
      <c r="E2920" s="19"/>
      <c r="F2920" s="19"/>
      <c r="G2920" s="19"/>
      <c r="H2920" s="82"/>
    </row>
    <row r="2921" spans="1:8" s="28" customFormat="1" x14ac:dyDescent="0.25">
      <c r="A2921" s="29"/>
      <c r="B2921" s="15"/>
      <c r="C2921" s="19"/>
      <c r="D2921" s="19"/>
      <c r="E2921" s="19"/>
      <c r="F2921" s="19"/>
      <c r="G2921" s="19"/>
      <c r="H2921" s="82"/>
    </row>
    <row r="2922" spans="1:8" s="28" customFormat="1" x14ac:dyDescent="0.25">
      <c r="A2922" s="29"/>
      <c r="B2922" s="15"/>
      <c r="C2922" s="19"/>
      <c r="D2922" s="19"/>
      <c r="E2922" s="19"/>
      <c r="F2922" s="19"/>
      <c r="G2922" s="19"/>
      <c r="H2922" s="82"/>
    </row>
    <row r="2923" spans="1:8" s="28" customFormat="1" x14ac:dyDescent="0.25">
      <c r="A2923" s="29"/>
      <c r="B2923" s="15"/>
      <c r="C2923" s="19"/>
      <c r="D2923" s="19"/>
      <c r="E2923" s="19"/>
      <c r="F2923" s="19"/>
      <c r="G2923" s="19"/>
      <c r="H2923" s="82"/>
    </row>
    <row r="2924" spans="1:8" s="28" customFormat="1" x14ac:dyDescent="0.25">
      <c r="A2924" s="29"/>
      <c r="B2924" s="15"/>
      <c r="C2924" s="19"/>
      <c r="D2924" s="19"/>
      <c r="E2924" s="19"/>
      <c r="F2924" s="19"/>
      <c r="G2924" s="19"/>
      <c r="H2924" s="82"/>
    </row>
    <row r="2925" spans="1:8" s="28" customFormat="1" x14ac:dyDescent="0.25">
      <c r="A2925" s="29"/>
      <c r="B2925" s="15"/>
      <c r="C2925" s="19"/>
      <c r="D2925" s="19"/>
      <c r="E2925" s="19"/>
      <c r="F2925" s="19"/>
      <c r="G2925" s="19"/>
      <c r="H2925" s="82"/>
    </row>
    <row r="2926" spans="1:8" s="28" customFormat="1" x14ac:dyDescent="0.25">
      <c r="A2926" s="29"/>
      <c r="B2926" s="15"/>
      <c r="C2926" s="19"/>
      <c r="D2926" s="19"/>
      <c r="E2926" s="19"/>
      <c r="F2926" s="19"/>
      <c r="G2926" s="19"/>
      <c r="H2926" s="82"/>
    </row>
    <row r="2927" spans="1:8" s="28" customFormat="1" x14ac:dyDescent="0.25">
      <c r="A2927" s="29"/>
      <c r="B2927" s="15"/>
      <c r="C2927" s="19"/>
      <c r="D2927" s="19"/>
      <c r="E2927" s="19"/>
      <c r="F2927" s="19"/>
      <c r="G2927" s="19"/>
      <c r="H2927" s="82"/>
    </row>
    <row r="2928" spans="1:8" s="28" customFormat="1" x14ac:dyDescent="0.25">
      <c r="A2928" s="29"/>
      <c r="B2928" s="15"/>
      <c r="C2928" s="19"/>
      <c r="D2928" s="19"/>
      <c r="E2928" s="19"/>
      <c r="F2928" s="19"/>
      <c r="G2928" s="19"/>
      <c r="H2928" s="82"/>
    </row>
    <row r="2929" spans="1:8" s="28" customFormat="1" x14ac:dyDescent="0.25">
      <c r="A2929" s="29"/>
      <c r="B2929" s="15"/>
      <c r="C2929" s="19"/>
      <c r="D2929" s="19"/>
      <c r="E2929" s="19"/>
      <c r="F2929" s="19"/>
      <c r="G2929" s="19"/>
      <c r="H2929" s="82"/>
    </row>
    <row r="2930" spans="1:8" s="28" customFormat="1" x14ac:dyDescent="0.25">
      <c r="A2930" s="29"/>
      <c r="B2930" s="15"/>
      <c r="C2930" s="19"/>
      <c r="D2930" s="19"/>
      <c r="E2930" s="19"/>
      <c r="F2930" s="19"/>
      <c r="G2930" s="19"/>
      <c r="H2930" s="82"/>
    </row>
    <row r="2931" spans="1:8" s="28" customFormat="1" x14ac:dyDescent="0.25">
      <c r="A2931" s="29"/>
      <c r="B2931" s="15"/>
      <c r="C2931" s="19"/>
      <c r="D2931" s="19"/>
      <c r="E2931" s="19"/>
      <c r="F2931" s="19"/>
      <c r="G2931" s="19"/>
      <c r="H2931" s="82"/>
    </row>
    <row r="2932" spans="1:8" s="28" customFormat="1" x14ac:dyDescent="0.25">
      <c r="A2932" s="29"/>
      <c r="B2932" s="15"/>
      <c r="C2932" s="19"/>
      <c r="D2932" s="19"/>
      <c r="E2932" s="19"/>
      <c r="F2932" s="19"/>
      <c r="G2932" s="19"/>
      <c r="H2932" s="82"/>
    </row>
    <row r="2933" spans="1:8" s="28" customFormat="1" x14ac:dyDescent="0.25">
      <c r="A2933" s="29"/>
      <c r="B2933" s="15"/>
      <c r="C2933" s="19"/>
      <c r="D2933" s="19"/>
      <c r="E2933" s="19"/>
      <c r="F2933" s="19"/>
      <c r="G2933" s="19"/>
      <c r="H2933" s="82"/>
    </row>
    <row r="2934" spans="1:8" s="28" customFormat="1" x14ac:dyDescent="0.25">
      <c r="A2934" s="29"/>
      <c r="B2934" s="15"/>
      <c r="C2934" s="19"/>
      <c r="D2934" s="19"/>
      <c r="E2934" s="19"/>
      <c r="F2934" s="19"/>
      <c r="G2934" s="19"/>
      <c r="H2934" s="82"/>
    </row>
    <row r="2935" spans="1:8" s="28" customFormat="1" x14ac:dyDescent="0.25">
      <c r="A2935" s="29"/>
      <c r="B2935" s="15"/>
      <c r="C2935" s="19"/>
      <c r="D2935" s="19"/>
      <c r="E2935" s="19"/>
      <c r="F2935" s="19"/>
      <c r="G2935" s="19"/>
      <c r="H2935" s="82"/>
    </row>
    <row r="2936" spans="1:8" s="28" customFormat="1" x14ac:dyDescent="0.25">
      <c r="A2936" s="29"/>
      <c r="B2936" s="15"/>
      <c r="C2936" s="19"/>
      <c r="D2936" s="19"/>
      <c r="E2936" s="19"/>
      <c r="F2936" s="19"/>
      <c r="G2936" s="19"/>
      <c r="H2936" s="82"/>
    </row>
    <row r="2937" spans="1:8" s="28" customFormat="1" x14ac:dyDescent="0.25">
      <c r="A2937" s="29"/>
      <c r="B2937" s="15"/>
      <c r="C2937" s="19"/>
      <c r="D2937" s="19"/>
      <c r="E2937" s="19"/>
      <c r="F2937" s="19"/>
      <c r="G2937" s="19"/>
      <c r="H2937" s="82"/>
    </row>
    <row r="2938" spans="1:8" s="28" customFormat="1" x14ac:dyDescent="0.25">
      <c r="A2938" s="29"/>
      <c r="B2938" s="15"/>
      <c r="C2938" s="19"/>
      <c r="D2938" s="19"/>
      <c r="E2938" s="19"/>
      <c r="F2938" s="19"/>
      <c r="G2938" s="19"/>
      <c r="H2938" s="82"/>
    </row>
    <row r="2939" spans="1:8" s="28" customFormat="1" x14ac:dyDescent="0.25">
      <c r="A2939" s="29"/>
      <c r="B2939" s="15"/>
      <c r="C2939" s="19"/>
      <c r="D2939" s="19"/>
      <c r="E2939" s="19"/>
      <c r="F2939" s="19"/>
      <c r="G2939" s="19"/>
      <c r="H2939" s="82"/>
    </row>
    <row r="2940" spans="1:8" s="28" customFormat="1" x14ac:dyDescent="0.25">
      <c r="A2940" s="29"/>
      <c r="B2940" s="15"/>
      <c r="C2940" s="19"/>
      <c r="D2940" s="19"/>
      <c r="E2940" s="19"/>
      <c r="F2940" s="19"/>
      <c r="G2940" s="19"/>
      <c r="H2940" s="82"/>
    </row>
    <row r="2941" spans="1:8" s="28" customFormat="1" x14ac:dyDescent="0.25">
      <c r="A2941" s="29"/>
      <c r="B2941" s="15"/>
      <c r="C2941" s="19"/>
      <c r="D2941" s="19"/>
      <c r="E2941" s="19"/>
      <c r="F2941" s="19"/>
      <c r="G2941" s="19"/>
      <c r="H2941" s="82"/>
    </row>
    <row r="2942" spans="1:8" s="28" customFormat="1" x14ac:dyDescent="0.25">
      <c r="A2942" s="29"/>
      <c r="B2942" s="15"/>
      <c r="C2942" s="19"/>
      <c r="D2942" s="19"/>
      <c r="E2942" s="19"/>
      <c r="F2942" s="19"/>
      <c r="G2942" s="19"/>
      <c r="H2942" s="82"/>
    </row>
    <row r="2943" spans="1:8" s="28" customFormat="1" x14ac:dyDescent="0.25">
      <c r="A2943" s="29"/>
      <c r="B2943" s="15"/>
      <c r="C2943" s="19"/>
      <c r="D2943" s="19"/>
      <c r="E2943" s="19"/>
      <c r="F2943" s="19"/>
      <c r="G2943" s="19"/>
      <c r="H2943" s="82"/>
    </row>
    <row r="2944" spans="1:8" s="28" customFormat="1" x14ac:dyDescent="0.25">
      <c r="A2944" s="29"/>
      <c r="B2944" s="15"/>
      <c r="C2944" s="19"/>
      <c r="D2944" s="19"/>
      <c r="E2944" s="19"/>
      <c r="F2944" s="19"/>
      <c r="G2944" s="19"/>
      <c r="H2944" s="82"/>
    </row>
    <row r="2945" spans="1:8" s="28" customFormat="1" x14ac:dyDescent="0.25">
      <c r="A2945" s="29"/>
      <c r="B2945" s="15"/>
      <c r="C2945" s="19"/>
      <c r="D2945" s="19"/>
      <c r="E2945" s="19"/>
      <c r="F2945" s="19"/>
      <c r="G2945" s="19"/>
      <c r="H2945" s="82"/>
    </row>
    <row r="2946" spans="1:8" s="28" customFormat="1" x14ac:dyDescent="0.25">
      <c r="A2946" s="29"/>
      <c r="B2946" s="15"/>
      <c r="C2946" s="19"/>
      <c r="D2946" s="19"/>
      <c r="E2946" s="19"/>
      <c r="F2946" s="19"/>
      <c r="G2946" s="19"/>
      <c r="H2946" s="82"/>
    </row>
    <row r="2947" spans="1:8" s="28" customFormat="1" x14ac:dyDescent="0.25">
      <c r="A2947" s="29"/>
      <c r="B2947" s="15"/>
      <c r="C2947" s="19"/>
      <c r="D2947" s="19"/>
      <c r="E2947" s="19"/>
      <c r="F2947" s="19"/>
      <c r="G2947" s="19"/>
      <c r="H2947" s="82"/>
    </row>
    <row r="2948" spans="1:8" s="28" customFormat="1" x14ac:dyDescent="0.25">
      <c r="A2948" s="29"/>
      <c r="B2948" s="15"/>
      <c r="C2948" s="19"/>
      <c r="D2948" s="19"/>
      <c r="E2948" s="19"/>
      <c r="F2948" s="19"/>
      <c r="G2948" s="19"/>
      <c r="H2948" s="82"/>
    </row>
    <row r="2949" spans="1:8" s="28" customFormat="1" x14ac:dyDescent="0.25">
      <c r="A2949" s="29"/>
      <c r="B2949" s="15"/>
      <c r="C2949" s="19"/>
      <c r="D2949" s="19"/>
      <c r="E2949" s="19"/>
      <c r="F2949" s="19"/>
      <c r="G2949" s="19"/>
      <c r="H2949" s="82"/>
    </row>
    <row r="2950" spans="1:8" s="28" customFormat="1" x14ac:dyDescent="0.25">
      <c r="A2950" s="29"/>
      <c r="B2950" s="15"/>
      <c r="C2950" s="19"/>
      <c r="D2950" s="19"/>
      <c r="E2950" s="19"/>
      <c r="F2950" s="19"/>
      <c r="G2950" s="19"/>
      <c r="H2950" s="82"/>
    </row>
    <row r="2951" spans="1:8" s="28" customFormat="1" x14ac:dyDescent="0.25">
      <c r="A2951" s="29"/>
      <c r="B2951" s="15"/>
      <c r="C2951" s="19"/>
      <c r="D2951" s="19"/>
      <c r="E2951" s="19"/>
      <c r="F2951" s="19"/>
      <c r="G2951" s="19"/>
      <c r="H2951" s="82"/>
    </row>
    <row r="2952" spans="1:8" s="28" customFormat="1" x14ac:dyDescent="0.25">
      <c r="A2952" s="29"/>
      <c r="B2952" s="15"/>
      <c r="C2952" s="19"/>
      <c r="D2952" s="19"/>
      <c r="E2952" s="19"/>
      <c r="F2952" s="19"/>
      <c r="G2952" s="19"/>
      <c r="H2952" s="82"/>
    </row>
    <row r="2953" spans="1:8" s="28" customFormat="1" x14ac:dyDescent="0.25">
      <c r="A2953" s="29"/>
      <c r="B2953" s="15"/>
      <c r="C2953" s="19"/>
      <c r="D2953" s="19"/>
      <c r="E2953" s="19"/>
      <c r="F2953" s="19"/>
      <c r="G2953" s="19"/>
      <c r="H2953" s="82"/>
    </row>
    <row r="2954" spans="1:8" s="28" customFormat="1" x14ac:dyDescent="0.25">
      <c r="A2954" s="29"/>
      <c r="B2954" s="15"/>
      <c r="C2954" s="19"/>
      <c r="D2954" s="19"/>
      <c r="E2954" s="19"/>
      <c r="F2954" s="19"/>
      <c r="G2954" s="19"/>
      <c r="H2954" s="82"/>
    </row>
    <row r="2955" spans="1:8" s="28" customFormat="1" x14ac:dyDescent="0.25">
      <c r="A2955" s="29"/>
      <c r="B2955" s="15"/>
      <c r="C2955" s="19"/>
      <c r="D2955" s="19"/>
      <c r="E2955" s="19"/>
      <c r="F2955" s="19"/>
      <c r="G2955" s="19"/>
      <c r="H2955" s="82"/>
    </row>
    <row r="2956" spans="1:8" s="28" customFormat="1" x14ac:dyDescent="0.25">
      <c r="A2956" s="29"/>
      <c r="B2956" s="15"/>
      <c r="C2956" s="19"/>
      <c r="D2956" s="19"/>
      <c r="E2956" s="19"/>
      <c r="F2956" s="19"/>
      <c r="G2956" s="19"/>
      <c r="H2956" s="82"/>
    </row>
    <row r="2957" spans="1:8" s="28" customFormat="1" x14ac:dyDescent="0.25">
      <c r="A2957" s="29"/>
      <c r="B2957" s="15"/>
      <c r="C2957" s="19"/>
      <c r="D2957" s="19"/>
      <c r="E2957" s="19"/>
      <c r="F2957" s="19"/>
      <c r="G2957" s="19"/>
      <c r="H2957" s="82"/>
    </row>
    <row r="2958" spans="1:8" s="28" customFormat="1" x14ac:dyDescent="0.25">
      <c r="A2958" s="29"/>
      <c r="B2958" s="15"/>
      <c r="C2958" s="19"/>
      <c r="D2958" s="19"/>
      <c r="E2958" s="19"/>
      <c r="F2958" s="19"/>
      <c r="G2958" s="19"/>
      <c r="H2958" s="82"/>
    </row>
    <row r="2959" spans="1:8" s="28" customFormat="1" x14ac:dyDescent="0.25">
      <c r="A2959" s="29"/>
      <c r="B2959" s="15"/>
      <c r="C2959" s="19"/>
      <c r="D2959" s="19"/>
      <c r="E2959" s="19"/>
      <c r="F2959" s="19"/>
      <c r="G2959" s="19"/>
      <c r="H2959" s="82"/>
    </row>
    <row r="2960" spans="1:8" s="28" customFormat="1" x14ac:dyDescent="0.25">
      <c r="A2960" s="29"/>
      <c r="B2960" s="15"/>
      <c r="C2960" s="19"/>
      <c r="D2960" s="19"/>
      <c r="E2960" s="19"/>
      <c r="F2960" s="19"/>
      <c r="G2960" s="19"/>
      <c r="H2960" s="82"/>
    </row>
    <row r="2961" spans="1:8" s="28" customFormat="1" x14ac:dyDescent="0.25">
      <c r="A2961" s="29"/>
      <c r="B2961" s="15"/>
      <c r="C2961" s="19"/>
      <c r="D2961" s="19"/>
      <c r="E2961" s="19"/>
      <c r="F2961" s="19"/>
      <c r="G2961" s="19"/>
      <c r="H2961" s="82"/>
    </row>
    <row r="2962" spans="1:8" s="28" customFormat="1" x14ac:dyDescent="0.25">
      <c r="A2962" s="29"/>
      <c r="B2962" s="15"/>
      <c r="C2962" s="19"/>
      <c r="D2962" s="19"/>
      <c r="E2962" s="19"/>
      <c r="F2962" s="19"/>
      <c r="G2962" s="19"/>
      <c r="H2962" s="82"/>
    </row>
    <row r="2963" spans="1:8" s="28" customFormat="1" x14ac:dyDescent="0.25">
      <c r="A2963" s="29"/>
      <c r="B2963" s="15"/>
      <c r="C2963" s="19"/>
      <c r="D2963" s="19"/>
      <c r="E2963" s="19"/>
      <c r="F2963" s="19"/>
      <c r="G2963" s="19"/>
      <c r="H2963" s="82"/>
    </row>
    <row r="2964" spans="1:8" s="28" customFormat="1" x14ac:dyDescent="0.25">
      <c r="A2964" s="29"/>
      <c r="B2964" s="15"/>
      <c r="C2964" s="19"/>
      <c r="D2964" s="19"/>
      <c r="E2964" s="19"/>
      <c r="F2964" s="19"/>
      <c r="G2964" s="19"/>
      <c r="H2964" s="82"/>
    </row>
    <row r="2965" spans="1:8" s="28" customFormat="1" x14ac:dyDescent="0.25">
      <c r="A2965" s="29"/>
      <c r="B2965" s="15"/>
      <c r="C2965" s="19"/>
      <c r="D2965" s="19"/>
      <c r="E2965" s="19"/>
      <c r="F2965" s="19"/>
      <c r="G2965" s="19"/>
      <c r="H2965" s="82"/>
    </row>
    <row r="2966" spans="1:8" s="28" customFormat="1" x14ac:dyDescent="0.25">
      <c r="A2966" s="29"/>
      <c r="B2966" s="15"/>
      <c r="C2966" s="19"/>
      <c r="D2966" s="19"/>
      <c r="E2966" s="19"/>
      <c r="F2966" s="19"/>
      <c r="G2966" s="19"/>
      <c r="H2966" s="82"/>
    </row>
    <row r="2967" spans="1:8" s="28" customFormat="1" x14ac:dyDescent="0.25">
      <c r="A2967" s="29"/>
      <c r="B2967" s="15"/>
      <c r="C2967" s="19"/>
      <c r="D2967" s="19"/>
      <c r="E2967" s="19"/>
      <c r="F2967" s="19"/>
      <c r="G2967" s="19"/>
      <c r="H2967" s="82"/>
    </row>
    <row r="2968" spans="1:8" s="28" customFormat="1" x14ac:dyDescent="0.25">
      <c r="A2968" s="29"/>
      <c r="B2968" s="15"/>
      <c r="C2968" s="19"/>
      <c r="D2968" s="19"/>
      <c r="E2968" s="19"/>
      <c r="F2968" s="19"/>
      <c r="G2968" s="19"/>
      <c r="H2968" s="82"/>
    </row>
    <row r="2969" spans="1:8" s="28" customFormat="1" x14ac:dyDescent="0.25">
      <c r="A2969" s="29"/>
      <c r="B2969" s="15"/>
      <c r="C2969" s="19"/>
      <c r="D2969" s="19"/>
      <c r="E2969" s="19"/>
      <c r="F2969" s="19"/>
      <c r="G2969" s="19"/>
      <c r="H2969" s="82"/>
    </row>
    <row r="2970" spans="1:8" s="28" customFormat="1" x14ac:dyDescent="0.25">
      <c r="A2970" s="29"/>
      <c r="B2970" s="15"/>
      <c r="C2970" s="19"/>
      <c r="D2970" s="19"/>
      <c r="E2970" s="19"/>
      <c r="F2970" s="19"/>
      <c r="G2970" s="19"/>
      <c r="H2970" s="82"/>
    </row>
    <row r="2971" spans="1:8" s="28" customFormat="1" x14ac:dyDescent="0.25">
      <c r="A2971" s="29"/>
      <c r="B2971" s="15"/>
      <c r="C2971" s="19"/>
      <c r="D2971" s="19"/>
      <c r="E2971" s="19"/>
      <c r="F2971" s="19"/>
      <c r="G2971" s="19"/>
      <c r="H2971" s="82"/>
    </row>
    <row r="2972" spans="1:8" s="28" customFormat="1" x14ac:dyDescent="0.25">
      <c r="A2972" s="29"/>
      <c r="B2972" s="15"/>
      <c r="C2972" s="19"/>
      <c r="D2972" s="19"/>
      <c r="E2972" s="19"/>
      <c r="F2972" s="19"/>
      <c r="G2972" s="19"/>
      <c r="H2972" s="82"/>
    </row>
    <row r="2973" spans="1:8" s="28" customFormat="1" x14ac:dyDescent="0.25">
      <c r="A2973" s="29"/>
      <c r="B2973" s="15"/>
      <c r="C2973" s="19"/>
      <c r="D2973" s="19"/>
      <c r="E2973" s="19"/>
      <c r="F2973" s="19"/>
      <c r="G2973" s="19"/>
      <c r="H2973" s="82"/>
    </row>
    <row r="2974" spans="1:8" s="28" customFormat="1" x14ac:dyDescent="0.25">
      <c r="A2974" s="29"/>
      <c r="B2974" s="15"/>
      <c r="C2974" s="19"/>
      <c r="D2974" s="19"/>
      <c r="E2974" s="19"/>
      <c r="F2974" s="19"/>
      <c r="G2974" s="19"/>
      <c r="H2974" s="82"/>
    </row>
    <row r="2975" spans="1:8" s="28" customFormat="1" x14ac:dyDescent="0.25">
      <c r="A2975" s="29"/>
      <c r="B2975" s="15"/>
      <c r="C2975" s="19"/>
      <c r="D2975" s="19"/>
      <c r="E2975" s="19"/>
      <c r="F2975" s="19"/>
      <c r="G2975" s="19"/>
      <c r="H2975" s="82"/>
    </row>
    <row r="2976" spans="1:8" s="28" customFormat="1" x14ac:dyDescent="0.25">
      <c r="A2976" s="29"/>
      <c r="B2976" s="15"/>
      <c r="C2976" s="19"/>
      <c r="D2976" s="19"/>
      <c r="E2976" s="19"/>
      <c r="F2976" s="19"/>
      <c r="G2976" s="19"/>
      <c r="H2976" s="82"/>
    </row>
    <row r="2977" spans="1:8" s="28" customFormat="1" x14ac:dyDescent="0.25">
      <c r="A2977" s="29"/>
      <c r="B2977" s="15"/>
      <c r="C2977" s="19"/>
      <c r="D2977" s="19"/>
      <c r="E2977" s="19"/>
      <c r="F2977" s="19"/>
      <c r="G2977" s="19"/>
      <c r="H2977" s="82"/>
    </row>
    <row r="2978" spans="1:8" s="28" customFormat="1" x14ac:dyDescent="0.25">
      <c r="A2978" s="29"/>
      <c r="B2978" s="15"/>
      <c r="C2978" s="19"/>
      <c r="D2978" s="19"/>
      <c r="E2978" s="19"/>
      <c r="F2978" s="19"/>
      <c r="G2978" s="19"/>
      <c r="H2978" s="82"/>
    </row>
    <row r="2979" spans="1:8" s="28" customFormat="1" x14ac:dyDescent="0.25">
      <c r="A2979" s="29"/>
      <c r="B2979" s="15"/>
      <c r="C2979" s="19"/>
      <c r="D2979" s="19"/>
      <c r="E2979" s="19"/>
      <c r="F2979" s="19"/>
      <c r="G2979" s="19"/>
      <c r="H2979" s="82"/>
    </row>
    <row r="2980" spans="1:8" s="28" customFormat="1" x14ac:dyDescent="0.25">
      <c r="A2980" s="29"/>
      <c r="B2980" s="15"/>
      <c r="C2980" s="19"/>
      <c r="D2980" s="19"/>
      <c r="E2980" s="19"/>
      <c r="F2980" s="19"/>
      <c r="G2980" s="19"/>
      <c r="H2980" s="82"/>
    </row>
    <row r="2981" spans="1:8" s="28" customFormat="1" x14ac:dyDescent="0.25">
      <c r="A2981" s="29"/>
      <c r="B2981" s="15"/>
      <c r="C2981" s="19"/>
      <c r="D2981" s="19"/>
      <c r="E2981" s="19"/>
      <c r="F2981" s="19"/>
      <c r="G2981" s="19"/>
      <c r="H2981" s="82"/>
    </row>
    <row r="2982" spans="1:8" s="28" customFormat="1" x14ac:dyDescent="0.25">
      <c r="A2982" s="29"/>
      <c r="B2982" s="15"/>
      <c r="C2982" s="19"/>
      <c r="D2982" s="19"/>
      <c r="E2982" s="19"/>
      <c r="F2982" s="19"/>
      <c r="G2982" s="19"/>
      <c r="H2982" s="82"/>
    </row>
    <row r="2983" spans="1:8" s="28" customFormat="1" x14ac:dyDescent="0.25">
      <c r="A2983" s="29"/>
      <c r="B2983" s="15"/>
      <c r="C2983" s="19"/>
      <c r="D2983" s="19"/>
      <c r="E2983" s="19"/>
      <c r="F2983" s="19"/>
      <c r="G2983" s="19"/>
      <c r="H2983" s="82"/>
    </row>
    <row r="2984" spans="1:8" s="28" customFormat="1" x14ac:dyDescent="0.25">
      <c r="A2984" s="29"/>
      <c r="B2984" s="15"/>
      <c r="C2984" s="19"/>
      <c r="D2984" s="19"/>
      <c r="E2984" s="19"/>
      <c r="F2984" s="19"/>
      <c r="G2984" s="19"/>
      <c r="H2984" s="82"/>
    </row>
    <row r="2985" spans="1:8" s="28" customFormat="1" x14ac:dyDescent="0.25">
      <c r="A2985" s="29"/>
      <c r="B2985" s="15"/>
      <c r="C2985" s="19"/>
      <c r="D2985" s="19"/>
      <c r="E2985" s="19"/>
      <c r="F2985" s="19"/>
      <c r="G2985" s="19"/>
      <c r="H2985" s="82"/>
    </row>
    <row r="2986" spans="1:8" s="28" customFormat="1" x14ac:dyDescent="0.25">
      <c r="A2986" s="29"/>
      <c r="B2986" s="15"/>
      <c r="C2986" s="19"/>
      <c r="D2986" s="19"/>
      <c r="E2986" s="19"/>
      <c r="F2986" s="19"/>
      <c r="G2986" s="19"/>
      <c r="H2986" s="82"/>
    </row>
    <row r="2987" spans="1:8" s="28" customFormat="1" x14ac:dyDescent="0.25">
      <c r="A2987" s="29"/>
      <c r="B2987" s="15"/>
      <c r="C2987" s="19"/>
      <c r="D2987" s="19"/>
      <c r="E2987" s="19"/>
      <c r="F2987" s="19"/>
      <c r="G2987" s="19"/>
      <c r="H2987" s="82"/>
    </row>
    <row r="2988" spans="1:8" s="28" customFormat="1" x14ac:dyDescent="0.25">
      <c r="A2988" s="29"/>
      <c r="B2988" s="15"/>
      <c r="C2988" s="19"/>
      <c r="D2988" s="19"/>
      <c r="E2988" s="19"/>
      <c r="F2988" s="19"/>
      <c r="G2988" s="19"/>
      <c r="H2988" s="82"/>
    </row>
    <row r="2989" spans="1:8" s="28" customFormat="1" x14ac:dyDescent="0.25">
      <c r="A2989" s="29"/>
      <c r="B2989" s="15"/>
      <c r="C2989" s="19"/>
      <c r="D2989" s="19"/>
      <c r="E2989" s="19"/>
      <c r="F2989" s="19"/>
      <c r="G2989" s="19"/>
      <c r="H2989" s="82"/>
    </row>
    <row r="2990" spans="1:8" s="28" customFormat="1" x14ac:dyDescent="0.25">
      <c r="A2990" s="29"/>
      <c r="B2990" s="15"/>
      <c r="C2990" s="19"/>
      <c r="D2990" s="19"/>
      <c r="E2990" s="19"/>
      <c r="F2990" s="19"/>
      <c r="G2990" s="19"/>
      <c r="H2990" s="82"/>
    </row>
    <row r="2991" spans="1:8" s="28" customFormat="1" x14ac:dyDescent="0.25">
      <c r="A2991" s="29"/>
      <c r="B2991" s="15"/>
      <c r="C2991" s="19"/>
      <c r="D2991" s="19"/>
      <c r="E2991" s="19"/>
      <c r="F2991" s="19"/>
      <c r="G2991" s="19"/>
      <c r="H2991" s="82"/>
    </row>
    <row r="2992" spans="1:8" s="28" customFormat="1" x14ac:dyDescent="0.25">
      <c r="A2992" s="29"/>
      <c r="B2992" s="15"/>
      <c r="C2992" s="19"/>
      <c r="D2992" s="19"/>
      <c r="E2992" s="19"/>
      <c r="F2992" s="19"/>
      <c r="G2992" s="19"/>
      <c r="H2992" s="82"/>
    </row>
    <row r="2993" spans="1:8" s="28" customFormat="1" x14ac:dyDescent="0.25">
      <c r="A2993" s="29"/>
      <c r="B2993" s="15"/>
      <c r="C2993" s="19"/>
      <c r="D2993" s="19"/>
      <c r="E2993" s="19"/>
      <c r="F2993" s="19"/>
      <c r="G2993" s="19"/>
      <c r="H2993" s="82"/>
    </row>
    <row r="2994" spans="1:8" s="28" customFormat="1" x14ac:dyDescent="0.25">
      <c r="A2994" s="29"/>
      <c r="B2994" s="15"/>
      <c r="C2994" s="19"/>
      <c r="D2994" s="19"/>
      <c r="E2994" s="19"/>
      <c r="F2994" s="19"/>
      <c r="G2994" s="19"/>
      <c r="H2994" s="82"/>
    </row>
    <row r="2995" spans="1:8" s="28" customFormat="1" x14ac:dyDescent="0.25">
      <c r="A2995" s="29"/>
      <c r="B2995" s="15"/>
      <c r="C2995" s="19"/>
      <c r="D2995" s="19"/>
      <c r="E2995" s="19"/>
      <c r="F2995" s="19"/>
      <c r="G2995" s="19"/>
      <c r="H2995" s="82"/>
    </row>
    <row r="2996" spans="1:8" s="28" customFormat="1" x14ac:dyDescent="0.25">
      <c r="A2996" s="29"/>
      <c r="B2996" s="15"/>
      <c r="C2996" s="19"/>
      <c r="D2996" s="19"/>
      <c r="E2996" s="19"/>
      <c r="F2996" s="19"/>
      <c r="G2996" s="19"/>
      <c r="H2996" s="82"/>
    </row>
    <row r="2997" spans="1:8" s="28" customFormat="1" x14ac:dyDescent="0.25">
      <c r="A2997" s="29"/>
      <c r="B2997" s="15"/>
      <c r="C2997" s="19"/>
      <c r="D2997" s="19"/>
      <c r="E2997" s="19"/>
      <c r="F2997" s="19"/>
      <c r="G2997" s="19"/>
      <c r="H2997" s="82"/>
    </row>
    <row r="2998" spans="1:8" s="28" customFormat="1" x14ac:dyDescent="0.25">
      <c r="A2998" s="29"/>
      <c r="B2998" s="15"/>
      <c r="C2998" s="19"/>
      <c r="D2998" s="19"/>
      <c r="E2998" s="19"/>
      <c r="F2998" s="19"/>
      <c r="G2998" s="19"/>
      <c r="H2998" s="82"/>
    </row>
    <row r="2999" spans="1:8" s="28" customFormat="1" x14ac:dyDescent="0.25">
      <c r="A2999" s="29"/>
      <c r="B2999" s="15"/>
      <c r="C2999" s="19"/>
      <c r="D2999" s="19"/>
      <c r="E2999" s="19"/>
      <c r="F2999" s="19"/>
      <c r="G2999" s="19"/>
      <c r="H2999" s="82"/>
    </row>
    <row r="3000" spans="1:8" s="28" customFormat="1" x14ac:dyDescent="0.25">
      <c r="A3000" s="29"/>
      <c r="B3000" s="15"/>
      <c r="C3000" s="19"/>
      <c r="D3000" s="19"/>
      <c r="E3000" s="19"/>
      <c r="F3000" s="19"/>
      <c r="G3000" s="19"/>
      <c r="H3000" s="82"/>
    </row>
    <row r="3001" spans="1:8" s="28" customFormat="1" x14ac:dyDescent="0.25">
      <c r="A3001" s="29"/>
      <c r="B3001" s="15"/>
      <c r="C3001" s="19"/>
      <c r="D3001" s="19"/>
      <c r="E3001" s="19"/>
      <c r="F3001" s="19"/>
      <c r="G3001" s="19"/>
      <c r="H3001" s="82"/>
    </row>
    <row r="3002" spans="1:8" s="28" customFormat="1" x14ac:dyDescent="0.25">
      <c r="A3002" s="29"/>
      <c r="B3002" s="15"/>
      <c r="C3002" s="19"/>
      <c r="D3002" s="19"/>
      <c r="E3002" s="19"/>
      <c r="F3002" s="19"/>
      <c r="G3002" s="19"/>
      <c r="H3002" s="82"/>
    </row>
    <row r="3003" spans="1:8" s="28" customFormat="1" x14ac:dyDescent="0.25">
      <c r="A3003" s="29"/>
      <c r="B3003" s="15"/>
      <c r="C3003" s="19"/>
      <c r="D3003" s="19"/>
      <c r="E3003" s="19"/>
      <c r="F3003" s="19"/>
      <c r="G3003" s="19"/>
      <c r="H3003" s="82"/>
    </row>
    <row r="3004" spans="1:8" s="28" customFormat="1" x14ac:dyDescent="0.25">
      <c r="A3004" s="29"/>
      <c r="B3004" s="15"/>
      <c r="C3004" s="19"/>
      <c r="D3004" s="19"/>
      <c r="E3004" s="19"/>
      <c r="F3004" s="19"/>
      <c r="G3004" s="19"/>
      <c r="H3004" s="82"/>
    </row>
    <row r="3005" spans="1:8" s="28" customFormat="1" x14ac:dyDescent="0.25">
      <c r="A3005" s="29"/>
      <c r="B3005" s="15"/>
      <c r="C3005" s="19"/>
      <c r="D3005" s="19"/>
      <c r="E3005" s="19"/>
      <c r="F3005" s="19"/>
      <c r="G3005" s="19"/>
      <c r="H3005" s="82"/>
    </row>
    <row r="3006" spans="1:8" s="28" customFormat="1" x14ac:dyDescent="0.25">
      <c r="A3006" s="29"/>
      <c r="B3006" s="15"/>
      <c r="C3006" s="19"/>
      <c r="D3006" s="19"/>
      <c r="E3006" s="19"/>
      <c r="F3006" s="19"/>
      <c r="G3006" s="19"/>
      <c r="H3006" s="82"/>
    </row>
    <row r="3007" spans="1:8" s="28" customFormat="1" x14ac:dyDescent="0.25">
      <c r="A3007" s="29"/>
      <c r="B3007" s="15"/>
      <c r="C3007" s="19"/>
      <c r="D3007" s="19"/>
      <c r="E3007" s="19"/>
      <c r="F3007" s="19"/>
      <c r="G3007" s="19"/>
      <c r="H3007" s="82"/>
    </row>
    <row r="3008" spans="1:8" s="28" customFormat="1" x14ac:dyDescent="0.25">
      <c r="A3008" s="29"/>
      <c r="B3008" s="15"/>
      <c r="C3008" s="19"/>
      <c r="D3008" s="19"/>
      <c r="E3008" s="19"/>
      <c r="F3008" s="19"/>
      <c r="G3008" s="19"/>
      <c r="H3008" s="82"/>
    </row>
    <row r="3009" spans="1:8" s="28" customFormat="1" x14ac:dyDescent="0.25">
      <c r="A3009" s="29"/>
      <c r="B3009" s="15"/>
      <c r="C3009" s="19"/>
      <c r="D3009" s="19"/>
      <c r="E3009" s="19"/>
      <c r="F3009" s="19"/>
      <c r="G3009" s="19"/>
      <c r="H3009" s="82"/>
    </row>
    <row r="3010" spans="1:8" s="28" customFormat="1" x14ac:dyDescent="0.25">
      <c r="A3010" s="29"/>
      <c r="B3010" s="15"/>
      <c r="C3010" s="19"/>
      <c r="D3010" s="19"/>
      <c r="E3010" s="19"/>
      <c r="F3010" s="19"/>
      <c r="G3010" s="19"/>
      <c r="H3010" s="82"/>
    </row>
    <row r="3011" spans="1:8" s="28" customFormat="1" x14ac:dyDescent="0.25">
      <c r="A3011" s="29"/>
      <c r="B3011" s="15"/>
      <c r="C3011" s="19"/>
      <c r="D3011" s="19"/>
      <c r="E3011" s="19"/>
      <c r="F3011" s="19"/>
      <c r="G3011" s="19"/>
      <c r="H3011" s="82"/>
    </row>
    <row r="3012" spans="1:8" s="28" customFormat="1" x14ac:dyDescent="0.25">
      <c r="A3012" s="29"/>
      <c r="B3012" s="15"/>
      <c r="C3012" s="19"/>
      <c r="D3012" s="19"/>
      <c r="E3012" s="19"/>
      <c r="F3012" s="19"/>
      <c r="G3012" s="19"/>
      <c r="H3012" s="82"/>
    </row>
    <row r="3013" spans="1:8" s="28" customFormat="1" x14ac:dyDescent="0.25">
      <c r="A3013" s="29"/>
      <c r="B3013" s="15"/>
      <c r="C3013" s="19"/>
      <c r="D3013" s="19"/>
      <c r="E3013" s="19"/>
      <c r="F3013" s="19"/>
      <c r="G3013" s="19"/>
      <c r="H3013" s="82"/>
    </row>
    <row r="3014" spans="1:8" s="28" customFormat="1" x14ac:dyDescent="0.25">
      <c r="A3014" s="29"/>
      <c r="B3014" s="15"/>
      <c r="C3014" s="19"/>
      <c r="D3014" s="19"/>
      <c r="E3014" s="19"/>
      <c r="F3014" s="19"/>
      <c r="G3014" s="19"/>
      <c r="H3014" s="82"/>
    </row>
    <row r="3015" spans="1:8" s="28" customFormat="1" x14ac:dyDescent="0.25">
      <c r="A3015" s="29"/>
      <c r="B3015" s="15"/>
      <c r="C3015" s="19"/>
      <c r="D3015" s="19"/>
      <c r="E3015" s="19"/>
      <c r="F3015" s="19"/>
      <c r="G3015" s="19"/>
      <c r="H3015" s="82"/>
    </row>
    <row r="3016" spans="1:8" s="28" customFormat="1" x14ac:dyDescent="0.25">
      <c r="A3016" s="29"/>
      <c r="B3016" s="15"/>
      <c r="C3016" s="19"/>
      <c r="D3016" s="19"/>
      <c r="E3016" s="19"/>
      <c r="F3016" s="19"/>
      <c r="G3016" s="19"/>
      <c r="H3016" s="82"/>
    </row>
    <row r="3017" spans="1:8" s="28" customFormat="1" x14ac:dyDescent="0.25">
      <c r="A3017" s="29"/>
      <c r="B3017" s="15"/>
      <c r="C3017" s="19"/>
      <c r="D3017" s="19"/>
      <c r="E3017" s="19"/>
      <c r="F3017" s="19"/>
      <c r="G3017" s="19"/>
      <c r="H3017" s="82"/>
    </row>
    <row r="3018" spans="1:8" s="28" customFormat="1" x14ac:dyDescent="0.25">
      <c r="A3018" s="29"/>
      <c r="B3018" s="15"/>
      <c r="C3018" s="19"/>
      <c r="D3018" s="19"/>
      <c r="E3018" s="19"/>
      <c r="F3018" s="19"/>
      <c r="G3018" s="19"/>
      <c r="H3018" s="82"/>
    </row>
    <row r="3019" spans="1:8" s="28" customFormat="1" x14ac:dyDescent="0.25">
      <c r="A3019" s="29"/>
      <c r="B3019" s="15"/>
      <c r="C3019" s="19"/>
      <c r="D3019" s="19"/>
      <c r="E3019" s="19"/>
      <c r="F3019" s="19"/>
      <c r="G3019" s="19"/>
      <c r="H3019" s="82"/>
    </row>
    <row r="3020" spans="1:8" s="28" customFormat="1" x14ac:dyDescent="0.25">
      <c r="A3020" s="29"/>
      <c r="B3020" s="15"/>
      <c r="C3020" s="19"/>
      <c r="D3020" s="19"/>
      <c r="E3020" s="19"/>
      <c r="F3020" s="19"/>
      <c r="G3020" s="19"/>
      <c r="H3020" s="82"/>
    </row>
    <row r="3021" spans="1:8" s="28" customFormat="1" x14ac:dyDescent="0.25">
      <c r="A3021" s="29"/>
      <c r="B3021" s="15"/>
      <c r="C3021" s="19"/>
      <c r="D3021" s="19"/>
      <c r="E3021" s="19"/>
      <c r="F3021" s="19"/>
      <c r="G3021" s="19"/>
      <c r="H3021" s="82"/>
    </row>
    <row r="3022" spans="1:8" s="28" customFormat="1" x14ac:dyDescent="0.25">
      <c r="A3022" s="29"/>
      <c r="B3022" s="15"/>
      <c r="C3022" s="19"/>
      <c r="D3022" s="19"/>
      <c r="E3022" s="19"/>
      <c r="F3022" s="19"/>
      <c r="G3022" s="19"/>
      <c r="H3022" s="82"/>
    </row>
    <row r="3023" spans="1:8" s="28" customFormat="1" x14ac:dyDescent="0.25">
      <c r="A3023" s="29"/>
      <c r="B3023" s="15"/>
      <c r="C3023" s="19"/>
      <c r="D3023" s="19"/>
      <c r="E3023" s="19"/>
      <c r="F3023" s="19"/>
      <c r="G3023" s="19"/>
      <c r="H3023" s="82"/>
    </row>
    <row r="3024" spans="1:8" s="28" customFormat="1" x14ac:dyDescent="0.25">
      <c r="A3024" s="29"/>
      <c r="B3024" s="15"/>
      <c r="C3024" s="19"/>
      <c r="D3024" s="19"/>
      <c r="E3024" s="19"/>
      <c r="F3024" s="19"/>
      <c r="G3024" s="19"/>
      <c r="H3024" s="82"/>
    </row>
    <row r="3025" spans="1:8" s="28" customFormat="1" x14ac:dyDescent="0.25">
      <c r="A3025" s="29"/>
      <c r="B3025" s="15"/>
      <c r="C3025" s="19"/>
      <c r="D3025" s="19"/>
      <c r="E3025" s="19"/>
      <c r="F3025" s="19"/>
      <c r="G3025" s="19"/>
      <c r="H3025" s="82"/>
    </row>
    <row r="3026" spans="1:8" s="28" customFormat="1" x14ac:dyDescent="0.25">
      <c r="A3026" s="29"/>
      <c r="B3026" s="15"/>
      <c r="C3026" s="19"/>
      <c r="D3026" s="19"/>
      <c r="E3026" s="19"/>
      <c r="F3026" s="19"/>
      <c r="G3026" s="19"/>
      <c r="H3026" s="82"/>
    </row>
    <row r="3027" spans="1:8" s="28" customFormat="1" x14ac:dyDescent="0.25">
      <c r="A3027" s="29"/>
      <c r="B3027" s="15"/>
      <c r="C3027" s="19"/>
      <c r="D3027" s="19"/>
      <c r="E3027" s="19"/>
      <c r="F3027" s="19"/>
      <c r="G3027" s="19"/>
      <c r="H3027" s="82"/>
    </row>
    <row r="3028" spans="1:8" s="28" customFormat="1" x14ac:dyDescent="0.25">
      <c r="A3028" s="29"/>
      <c r="B3028" s="15"/>
      <c r="C3028" s="19"/>
      <c r="D3028" s="19"/>
      <c r="E3028" s="19"/>
      <c r="F3028" s="19"/>
      <c r="G3028" s="19"/>
      <c r="H3028" s="82"/>
    </row>
    <row r="3029" spans="1:8" s="28" customFormat="1" x14ac:dyDescent="0.25">
      <c r="A3029" s="29"/>
      <c r="B3029" s="15"/>
      <c r="C3029" s="19"/>
      <c r="D3029" s="19"/>
      <c r="E3029" s="19"/>
      <c r="F3029" s="19"/>
      <c r="G3029" s="19"/>
      <c r="H3029" s="82"/>
    </row>
    <row r="3030" spans="1:8" s="28" customFormat="1" x14ac:dyDescent="0.25">
      <c r="A3030" s="29"/>
      <c r="B3030" s="15"/>
      <c r="C3030" s="19"/>
      <c r="D3030" s="19"/>
      <c r="E3030" s="19"/>
      <c r="F3030" s="19"/>
      <c r="G3030" s="19"/>
      <c r="H3030" s="82"/>
    </row>
    <row r="3031" spans="1:8" s="28" customFormat="1" x14ac:dyDescent="0.25">
      <c r="A3031" s="29"/>
      <c r="B3031" s="15"/>
      <c r="C3031" s="19"/>
      <c r="D3031" s="19"/>
      <c r="E3031" s="19"/>
      <c r="F3031" s="19"/>
      <c r="G3031" s="19"/>
      <c r="H3031" s="82"/>
    </row>
    <row r="3032" spans="1:8" s="28" customFormat="1" x14ac:dyDescent="0.25">
      <c r="A3032" s="29"/>
      <c r="B3032" s="15"/>
      <c r="C3032" s="19"/>
      <c r="D3032" s="19"/>
      <c r="E3032" s="19"/>
      <c r="F3032" s="19"/>
      <c r="G3032" s="19"/>
      <c r="H3032" s="82"/>
    </row>
    <row r="3033" spans="1:8" s="28" customFormat="1" x14ac:dyDescent="0.25">
      <c r="A3033" s="29"/>
      <c r="B3033" s="15"/>
      <c r="C3033" s="19"/>
      <c r="D3033" s="19"/>
      <c r="E3033" s="19"/>
      <c r="F3033" s="19"/>
      <c r="G3033" s="19"/>
      <c r="H3033" s="82"/>
    </row>
    <row r="3034" spans="1:8" s="28" customFormat="1" x14ac:dyDescent="0.25">
      <c r="A3034" s="29"/>
      <c r="B3034" s="15"/>
      <c r="C3034" s="19"/>
      <c r="D3034" s="19"/>
      <c r="E3034" s="19"/>
      <c r="F3034" s="19"/>
      <c r="G3034" s="19"/>
      <c r="H3034" s="82"/>
    </row>
    <row r="3035" spans="1:8" s="28" customFormat="1" x14ac:dyDescent="0.25">
      <c r="A3035" s="29"/>
      <c r="B3035" s="15"/>
      <c r="C3035" s="19"/>
      <c r="D3035" s="19"/>
      <c r="E3035" s="19"/>
      <c r="F3035" s="19"/>
      <c r="G3035" s="19"/>
      <c r="H3035" s="82"/>
    </row>
    <row r="3036" spans="1:8" s="28" customFormat="1" x14ac:dyDescent="0.25">
      <c r="A3036" s="29"/>
      <c r="B3036" s="15"/>
      <c r="C3036" s="19"/>
      <c r="D3036" s="19"/>
      <c r="E3036" s="19"/>
      <c r="F3036" s="19"/>
      <c r="G3036" s="19"/>
      <c r="H3036" s="82"/>
    </row>
    <row r="3037" spans="1:8" s="28" customFormat="1" x14ac:dyDescent="0.25">
      <c r="A3037" s="29"/>
      <c r="B3037" s="15"/>
      <c r="C3037" s="19"/>
      <c r="D3037" s="19"/>
      <c r="E3037" s="19"/>
      <c r="F3037" s="19"/>
      <c r="G3037" s="19"/>
      <c r="H3037" s="82"/>
    </row>
    <row r="3038" spans="1:8" s="28" customFormat="1" x14ac:dyDescent="0.25">
      <c r="A3038" s="29"/>
      <c r="B3038" s="15"/>
      <c r="C3038" s="19"/>
      <c r="D3038" s="19"/>
      <c r="E3038" s="19"/>
      <c r="F3038" s="19"/>
      <c r="G3038" s="19"/>
      <c r="H3038" s="82"/>
    </row>
    <row r="3039" spans="1:8" s="28" customFormat="1" x14ac:dyDescent="0.25">
      <c r="A3039" s="29"/>
      <c r="B3039" s="15"/>
      <c r="C3039" s="19"/>
      <c r="D3039" s="19"/>
      <c r="E3039" s="19"/>
      <c r="F3039" s="19"/>
      <c r="G3039" s="19"/>
      <c r="H3039" s="82"/>
    </row>
    <row r="3040" spans="1:8" s="28" customFormat="1" x14ac:dyDescent="0.25">
      <c r="A3040" s="29"/>
      <c r="B3040" s="15"/>
      <c r="C3040" s="19"/>
      <c r="D3040" s="19"/>
      <c r="E3040" s="19"/>
      <c r="F3040" s="19"/>
      <c r="G3040" s="19"/>
      <c r="H3040" s="82"/>
    </row>
    <row r="3041" spans="1:8" s="28" customFormat="1" x14ac:dyDescent="0.25">
      <c r="A3041" s="29"/>
      <c r="B3041" s="15"/>
      <c r="C3041" s="19"/>
      <c r="D3041" s="19"/>
      <c r="E3041" s="19"/>
      <c r="F3041" s="19"/>
      <c r="G3041" s="19"/>
      <c r="H3041" s="82"/>
    </row>
    <row r="3042" spans="1:8" s="28" customFormat="1" x14ac:dyDescent="0.25">
      <c r="A3042" s="29"/>
      <c r="B3042" s="15"/>
      <c r="C3042" s="19"/>
      <c r="D3042" s="19"/>
      <c r="E3042" s="19"/>
      <c r="F3042" s="19"/>
      <c r="G3042" s="19"/>
      <c r="H3042" s="82"/>
    </row>
    <row r="3043" spans="1:8" s="28" customFormat="1" x14ac:dyDescent="0.25">
      <c r="A3043" s="29"/>
      <c r="B3043" s="15"/>
      <c r="C3043" s="19"/>
      <c r="D3043" s="19"/>
      <c r="E3043" s="19"/>
      <c r="F3043" s="19"/>
      <c r="G3043" s="19"/>
      <c r="H3043" s="82"/>
    </row>
    <row r="3044" spans="1:8" s="28" customFormat="1" x14ac:dyDescent="0.25">
      <c r="A3044" s="29"/>
      <c r="B3044" s="15"/>
      <c r="C3044" s="19"/>
      <c r="D3044" s="19"/>
      <c r="E3044" s="19"/>
      <c r="F3044" s="19"/>
      <c r="G3044" s="19"/>
      <c r="H3044" s="82"/>
    </row>
    <row r="3045" spans="1:8" s="28" customFormat="1" x14ac:dyDescent="0.25">
      <c r="A3045" s="29"/>
      <c r="B3045" s="15"/>
      <c r="C3045" s="19"/>
      <c r="D3045" s="19"/>
      <c r="E3045" s="19"/>
      <c r="F3045" s="19"/>
      <c r="G3045" s="19"/>
      <c r="H3045" s="82"/>
    </row>
    <row r="3046" spans="1:8" s="28" customFormat="1" x14ac:dyDescent="0.25">
      <c r="A3046" s="29"/>
      <c r="B3046" s="15"/>
      <c r="C3046" s="19"/>
      <c r="D3046" s="19"/>
      <c r="E3046" s="19"/>
      <c r="F3046" s="19"/>
      <c r="G3046" s="19"/>
      <c r="H3046" s="82"/>
    </row>
    <row r="3047" spans="1:8" s="28" customFormat="1" x14ac:dyDescent="0.25">
      <c r="A3047" s="29"/>
      <c r="B3047" s="15"/>
      <c r="C3047" s="19"/>
      <c r="D3047" s="19"/>
      <c r="E3047" s="19"/>
      <c r="F3047" s="19"/>
      <c r="G3047" s="19"/>
      <c r="H3047" s="82"/>
    </row>
    <row r="3048" spans="1:8" s="28" customFormat="1" x14ac:dyDescent="0.25">
      <c r="A3048" s="29"/>
      <c r="B3048" s="15"/>
      <c r="C3048" s="19"/>
      <c r="D3048" s="19"/>
      <c r="E3048" s="19"/>
      <c r="F3048" s="19"/>
      <c r="G3048" s="19"/>
      <c r="H3048" s="82"/>
    </row>
    <row r="3049" spans="1:8" s="28" customFormat="1" x14ac:dyDescent="0.25">
      <c r="A3049" s="29"/>
      <c r="B3049" s="15"/>
      <c r="C3049" s="19"/>
      <c r="D3049" s="19"/>
      <c r="E3049" s="19"/>
      <c r="F3049" s="19"/>
      <c r="G3049" s="19"/>
      <c r="H3049" s="82"/>
    </row>
    <row r="3050" spans="1:8" s="28" customFormat="1" x14ac:dyDescent="0.25">
      <c r="A3050" s="29"/>
      <c r="B3050" s="15"/>
      <c r="C3050" s="19"/>
      <c r="D3050" s="19"/>
      <c r="E3050" s="19"/>
      <c r="F3050" s="19"/>
      <c r="G3050" s="19"/>
      <c r="H3050" s="82"/>
    </row>
    <row r="3051" spans="1:8" s="28" customFormat="1" x14ac:dyDescent="0.25">
      <c r="A3051" s="29"/>
      <c r="B3051" s="15"/>
      <c r="C3051" s="19"/>
      <c r="D3051" s="19"/>
      <c r="E3051" s="19"/>
      <c r="F3051" s="19"/>
      <c r="G3051" s="19"/>
      <c r="H3051" s="82"/>
    </row>
    <row r="3052" spans="1:8" s="28" customFormat="1" x14ac:dyDescent="0.25">
      <c r="A3052" s="29"/>
      <c r="B3052" s="15"/>
      <c r="C3052" s="19"/>
      <c r="D3052" s="19"/>
      <c r="E3052" s="19"/>
      <c r="F3052" s="19"/>
      <c r="G3052" s="19"/>
      <c r="H3052" s="82"/>
    </row>
    <row r="3053" spans="1:8" s="28" customFormat="1" x14ac:dyDescent="0.25">
      <c r="A3053" s="29"/>
      <c r="B3053" s="15"/>
      <c r="C3053" s="19"/>
      <c r="D3053" s="19"/>
      <c r="E3053" s="19"/>
      <c r="F3053" s="19"/>
      <c r="G3053" s="19"/>
      <c r="H3053" s="82"/>
    </row>
    <row r="3054" spans="1:8" s="28" customFormat="1" x14ac:dyDescent="0.25">
      <c r="A3054" s="29"/>
      <c r="B3054" s="15"/>
      <c r="C3054" s="19"/>
      <c r="D3054" s="19"/>
      <c r="E3054" s="19"/>
      <c r="F3054" s="19"/>
      <c r="G3054" s="19"/>
      <c r="H3054" s="82"/>
    </row>
    <row r="3055" spans="1:8" s="28" customFormat="1" x14ac:dyDescent="0.25">
      <c r="A3055" s="29"/>
      <c r="B3055" s="15"/>
      <c r="C3055" s="19"/>
      <c r="D3055" s="19"/>
      <c r="E3055" s="19"/>
      <c r="F3055" s="19"/>
      <c r="G3055" s="19"/>
      <c r="H3055" s="82"/>
    </row>
    <row r="3056" spans="1:8" s="28" customFormat="1" x14ac:dyDescent="0.25">
      <c r="A3056" s="29"/>
      <c r="B3056" s="15"/>
      <c r="C3056" s="19"/>
      <c r="D3056" s="19"/>
      <c r="E3056" s="19"/>
      <c r="F3056" s="19"/>
      <c r="G3056" s="19"/>
      <c r="H3056" s="82"/>
    </row>
    <row r="3057" spans="1:8" s="28" customFormat="1" x14ac:dyDescent="0.25">
      <c r="A3057" s="29"/>
      <c r="B3057" s="15"/>
      <c r="C3057" s="19"/>
      <c r="D3057" s="19"/>
      <c r="E3057" s="19"/>
      <c r="F3057" s="19"/>
      <c r="G3057" s="19"/>
      <c r="H3057" s="82"/>
    </row>
    <row r="3058" spans="1:8" s="28" customFormat="1" x14ac:dyDescent="0.25">
      <c r="A3058" s="29"/>
      <c r="B3058" s="15"/>
      <c r="C3058" s="19"/>
      <c r="D3058" s="19"/>
      <c r="E3058" s="19"/>
      <c r="F3058" s="19"/>
      <c r="G3058" s="19"/>
      <c r="H3058" s="82"/>
    </row>
    <row r="3059" spans="1:8" s="28" customFormat="1" x14ac:dyDescent="0.25">
      <c r="A3059" s="29"/>
      <c r="B3059" s="15"/>
      <c r="C3059" s="19"/>
      <c r="D3059" s="19"/>
      <c r="E3059" s="19"/>
      <c r="F3059" s="19"/>
      <c r="G3059" s="19"/>
      <c r="H3059" s="82"/>
    </row>
    <row r="3060" spans="1:8" s="28" customFormat="1" x14ac:dyDescent="0.25">
      <c r="A3060" s="29"/>
      <c r="B3060" s="15"/>
      <c r="C3060" s="19"/>
      <c r="D3060" s="19"/>
      <c r="E3060" s="19"/>
      <c r="F3060" s="19"/>
      <c r="G3060" s="19"/>
      <c r="H3060" s="82"/>
    </row>
    <row r="3061" spans="1:8" s="28" customFormat="1" x14ac:dyDescent="0.25">
      <c r="A3061" s="29"/>
      <c r="B3061" s="15"/>
      <c r="C3061" s="19"/>
      <c r="D3061" s="19"/>
      <c r="E3061" s="19"/>
      <c r="F3061" s="19"/>
      <c r="G3061" s="19"/>
      <c r="H3061" s="82"/>
    </row>
    <row r="3062" spans="1:8" s="28" customFormat="1" x14ac:dyDescent="0.25">
      <c r="A3062" s="29"/>
      <c r="B3062" s="15"/>
      <c r="C3062" s="19"/>
      <c r="D3062" s="19"/>
      <c r="E3062" s="19"/>
      <c r="F3062" s="19"/>
      <c r="G3062" s="19"/>
      <c r="H3062" s="82"/>
    </row>
    <row r="3063" spans="1:8" s="28" customFormat="1" x14ac:dyDescent="0.25">
      <c r="A3063" s="29"/>
      <c r="B3063" s="15"/>
      <c r="C3063" s="19"/>
      <c r="D3063" s="19"/>
      <c r="E3063" s="19"/>
      <c r="F3063" s="19"/>
      <c r="G3063" s="19"/>
      <c r="H3063" s="82"/>
    </row>
    <row r="3064" spans="1:8" s="28" customFormat="1" x14ac:dyDescent="0.25">
      <c r="A3064" s="29"/>
      <c r="B3064" s="15"/>
      <c r="C3064" s="19"/>
      <c r="D3064" s="19"/>
      <c r="E3064" s="19"/>
      <c r="F3064" s="19"/>
      <c r="G3064" s="19"/>
      <c r="H3064" s="82"/>
    </row>
    <row r="3065" spans="1:8" s="28" customFormat="1" x14ac:dyDescent="0.25">
      <c r="A3065" s="29"/>
      <c r="B3065" s="15"/>
      <c r="C3065" s="19"/>
      <c r="D3065" s="19"/>
      <c r="E3065" s="19"/>
      <c r="F3065" s="19"/>
      <c r="G3065" s="19"/>
      <c r="H3065" s="82"/>
    </row>
    <row r="3066" spans="1:8" s="28" customFormat="1" x14ac:dyDescent="0.25">
      <c r="A3066" s="29"/>
      <c r="B3066" s="15"/>
      <c r="C3066" s="19"/>
      <c r="D3066" s="19"/>
      <c r="E3066" s="19"/>
      <c r="F3066" s="19"/>
      <c r="G3066" s="19"/>
      <c r="H3066" s="82"/>
    </row>
    <row r="3067" spans="1:8" s="28" customFormat="1" x14ac:dyDescent="0.25">
      <c r="A3067" s="29"/>
      <c r="B3067" s="15"/>
      <c r="C3067" s="19"/>
      <c r="D3067" s="19"/>
      <c r="E3067" s="19"/>
      <c r="F3067" s="19"/>
      <c r="G3067" s="19"/>
      <c r="H3067" s="82"/>
    </row>
    <row r="3068" spans="1:8" s="28" customFormat="1" x14ac:dyDescent="0.25">
      <c r="A3068" s="29"/>
      <c r="B3068" s="15"/>
      <c r="C3068" s="19"/>
      <c r="D3068" s="19"/>
      <c r="E3068" s="19"/>
      <c r="F3068" s="19"/>
      <c r="G3068" s="19"/>
      <c r="H3068" s="82"/>
    </row>
    <row r="3069" spans="1:8" s="28" customFormat="1" x14ac:dyDescent="0.25">
      <c r="A3069" s="29"/>
      <c r="B3069" s="15"/>
      <c r="C3069" s="19"/>
      <c r="D3069" s="19"/>
      <c r="E3069" s="19"/>
      <c r="F3069" s="19"/>
      <c r="G3069" s="19"/>
      <c r="H3069" s="82"/>
    </row>
    <row r="3070" spans="1:8" s="28" customFormat="1" x14ac:dyDescent="0.25">
      <c r="A3070" s="29"/>
      <c r="B3070" s="15"/>
      <c r="C3070" s="19"/>
      <c r="D3070" s="19"/>
      <c r="E3070" s="19"/>
      <c r="F3070" s="19"/>
      <c r="G3070" s="19"/>
      <c r="H3070" s="82"/>
    </row>
    <row r="3071" spans="1:8" s="28" customFormat="1" x14ac:dyDescent="0.25">
      <c r="A3071" s="29"/>
      <c r="B3071" s="15"/>
      <c r="C3071" s="19"/>
      <c r="D3071" s="19"/>
      <c r="E3071" s="19"/>
      <c r="F3071" s="19"/>
      <c r="G3071" s="19"/>
      <c r="H3071" s="82"/>
    </row>
    <row r="3072" spans="1:8" s="28" customFormat="1" x14ac:dyDescent="0.25">
      <c r="A3072" s="29"/>
      <c r="B3072" s="15"/>
      <c r="C3072" s="19"/>
      <c r="D3072" s="19"/>
      <c r="E3072" s="19"/>
      <c r="F3072" s="19"/>
      <c r="G3072" s="19"/>
      <c r="H3072" s="82"/>
    </row>
    <row r="3073" spans="1:8" s="28" customFormat="1" x14ac:dyDescent="0.25">
      <c r="A3073" s="29"/>
      <c r="B3073" s="15"/>
      <c r="C3073" s="19"/>
      <c r="D3073" s="19"/>
      <c r="E3073" s="19"/>
      <c r="F3073" s="19"/>
      <c r="G3073" s="19"/>
      <c r="H3073" s="82"/>
    </row>
    <row r="3074" spans="1:8" s="28" customFormat="1" x14ac:dyDescent="0.25">
      <c r="A3074" s="29"/>
      <c r="B3074" s="15"/>
      <c r="C3074" s="19"/>
      <c r="D3074" s="19"/>
      <c r="E3074" s="19"/>
      <c r="F3074" s="19"/>
      <c r="G3074" s="19"/>
      <c r="H3074" s="82"/>
    </row>
    <row r="3075" spans="1:8" s="28" customFormat="1" x14ac:dyDescent="0.25">
      <c r="A3075" s="29"/>
      <c r="B3075" s="15"/>
      <c r="C3075" s="19"/>
      <c r="D3075" s="19"/>
      <c r="E3075" s="19"/>
      <c r="F3075" s="19"/>
      <c r="G3075" s="19"/>
      <c r="H3075" s="82"/>
    </row>
    <row r="3076" spans="1:8" s="28" customFormat="1" x14ac:dyDescent="0.25">
      <c r="A3076" s="29"/>
      <c r="B3076" s="15"/>
      <c r="C3076" s="19"/>
      <c r="D3076" s="19"/>
      <c r="E3076" s="19"/>
      <c r="F3076" s="19"/>
      <c r="G3076" s="19"/>
      <c r="H3076" s="82"/>
    </row>
    <row r="3077" spans="1:8" s="28" customFormat="1" x14ac:dyDescent="0.25">
      <c r="A3077" s="29"/>
      <c r="B3077" s="15"/>
      <c r="C3077" s="19"/>
      <c r="D3077" s="19"/>
      <c r="E3077" s="19"/>
      <c r="F3077" s="19"/>
      <c r="G3077" s="19"/>
      <c r="H3077" s="82"/>
    </row>
    <row r="3078" spans="1:8" s="28" customFormat="1" x14ac:dyDescent="0.25">
      <c r="A3078" s="29"/>
      <c r="B3078" s="15"/>
      <c r="C3078" s="19"/>
      <c r="D3078" s="19"/>
      <c r="E3078" s="19"/>
      <c r="F3078" s="19"/>
      <c r="G3078" s="19"/>
      <c r="H3078" s="82"/>
    </row>
    <row r="3079" spans="1:8" s="28" customFormat="1" x14ac:dyDescent="0.25">
      <c r="A3079" s="29"/>
      <c r="B3079" s="15"/>
      <c r="C3079" s="19"/>
      <c r="D3079" s="19"/>
      <c r="E3079" s="19"/>
      <c r="F3079" s="19"/>
      <c r="G3079" s="19"/>
      <c r="H3079" s="82"/>
    </row>
    <row r="3080" spans="1:8" s="28" customFormat="1" x14ac:dyDescent="0.25">
      <c r="A3080" s="29"/>
      <c r="B3080" s="15"/>
      <c r="C3080" s="19"/>
      <c r="D3080" s="19"/>
      <c r="E3080" s="19"/>
      <c r="F3080" s="19"/>
      <c r="G3080" s="19"/>
      <c r="H3080" s="82"/>
    </row>
    <row r="3081" spans="1:8" s="28" customFormat="1" x14ac:dyDescent="0.25">
      <c r="A3081" s="29"/>
      <c r="B3081" s="15"/>
      <c r="C3081" s="19"/>
      <c r="D3081" s="19"/>
      <c r="E3081" s="19"/>
      <c r="F3081" s="19"/>
      <c r="G3081" s="19"/>
      <c r="H3081" s="82"/>
    </row>
    <row r="3082" spans="1:8" s="28" customFormat="1" x14ac:dyDescent="0.25">
      <c r="A3082" s="29"/>
      <c r="B3082" s="15"/>
      <c r="C3082" s="19"/>
      <c r="D3082" s="19"/>
      <c r="E3082" s="19"/>
      <c r="F3082" s="19"/>
      <c r="G3082" s="19"/>
      <c r="H3082" s="82"/>
    </row>
    <row r="3083" spans="1:8" s="28" customFormat="1" x14ac:dyDescent="0.25">
      <c r="A3083" s="29"/>
      <c r="B3083" s="15"/>
      <c r="C3083" s="19"/>
      <c r="D3083" s="19"/>
      <c r="E3083" s="19"/>
      <c r="F3083" s="19"/>
      <c r="G3083" s="19"/>
      <c r="H3083" s="82"/>
    </row>
    <row r="3084" spans="1:8" s="28" customFormat="1" x14ac:dyDescent="0.25">
      <c r="A3084" s="29"/>
      <c r="B3084" s="15"/>
      <c r="C3084" s="19"/>
      <c r="D3084" s="19"/>
      <c r="E3084" s="19"/>
      <c r="F3084" s="19"/>
      <c r="G3084" s="19"/>
      <c r="H3084" s="82"/>
    </row>
    <row r="3085" spans="1:8" s="28" customFormat="1" x14ac:dyDescent="0.25">
      <c r="A3085" s="29"/>
      <c r="B3085" s="15"/>
      <c r="C3085" s="19"/>
      <c r="D3085" s="19"/>
      <c r="E3085" s="19"/>
      <c r="F3085" s="19"/>
      <c r="G3085" s="19"/>
      <c r="H3085" s="82"/>
    </row>
    <row r="3086" spans="1:8" s="28" customFormat="1" x14ac:dyDescent="0.25">
      <c r="A3086" s="29"/>
      <c r="B3086" s="15"/>
      <c r="C3086" s="19"/>
      <c r="D3086" s="19"/>
      <c r="E3086" s="19"/>
      <c r="F3086" s="19"/>
      <c r="G3086" s="19"/>
      <c r="H3086" s="82"/>
    </row>
    <row r="3087" spans="1:8" s="28" customFormat="1" x14ac:dyDescent="0.25">
      <c r="A3087" s="29"/>
      <c r="B3087" s="15"/>
      <c r="C3087" s="19"/>
      <c r="D3087" s="19"/>
      <c r="E3087" s="19"/>
      <c r="F3087" s="19"/>
      <c r="G3087" s="19"/>
      <c r="H3087" s="82"/>
    </row>
    <row r="3088" spans="1:8" s="28" customFormat="1" x14ac:dyDescent="0.25">
      <c r="A3088" s="29"/>
      <c r="B3088" s="15"/>
      <c r="C3088" s="19"/>
      <c r="D3088" s="19"/>
      <c r="E3088" s="19"/>
      <c r="F3088" s="19"/>
      <c r="G3088" s="19"/>
      <c r="H3088" s="82"/>
    </row>
    <row r="3089" spans="1:8" s="28" customFormat="1" x14ac:dyDescent="0.25">
      <c r="A3089" s="29"/>
      <c r="B3089" s="15"/>
      <c r="C3089" s="19"/>
      <c r="D3089" s="19"/>
      <c r="E3089" s="19"/>
      <c r="F3089" s="19"/>
      <c r="G3089" s="19"/>
      <c r="H3089" s="82"/>
    </row>
    <row r="3090" spans="1:8" s="28" customFormat="1" x14ac:dyDescent="0.25">
      <c r="A3090" s="29"/>
      <c r="B3090" s="15"/>
      <c r="C3090" s="19"/>
      <c r="D3090" s="19"/>
      <c r="E3090" s="19"/>
      <c r="F3090" s="19"/>
      <c r="G3090" s="19"/>
      <c r="H3090" s="82"/>
    </row>
    <row r="3091" spans="1:8" s="28" customFormat="1" x14ac:dyDescent="0.25">
      <c r="A3091" s="29"/>
      <c r="B3091" s="15"/>
      <c r="C3091" s="19"/>
      <c r="D3091" s="19"/>
      <c r="E3091" s="19"/>
      <c r="F3091" s="19"/>
      <c r="G3091" s="19"/>
      <c r="H3091" s="82"/>
    </row>
    <row r="3092" spans="1:8" s="28" customFormat="1" x14ac:dyDescent="0.25">
      <c r="A3092" s="29"/>
      <c r="B3092" s="15"/>
      <c r="C3092" s="19"/>
      <c r="D3092" s="19"/>
      <c r="E3092" s="19"/>
      <c r="F3092" s="19"/>
      <c r="G3092" s="19"/>
      <c r="H3092" s="82"/>
    </row>
    <row r="3093" spans="1:8" s="28" customFormat="1" x14ac:dyDescent="0.25">
      <c r="A3093" s="29"/>
      <c r="B3093" s="15"/>
      <c r="C3093" s="19"/>
      <c r="D3093" s="19"/>
      <c r="E3093" s="19"/>
      <c r="F3093" s="19"/>
      <c r="G3093" s="19"/>
      <c r="H3093" s="82"/>
    </row>
    <row r="3094" spans="1:8" s="28" customFormat="1" x14ac:dyDescent="0.25">
      <c r="A3094" s="29"/>
      <c r="B3094" s="15"/>
      <c r="C3094" s="19"/>
      <c r="D3094" s="19"/>
      <c r="E3094" s="19"/>
      <c r="F3094" s="19"/>
      <c r="G3094" s="19"/>
      <c r="H3094" s="82"/>
    </row>
    <row r="3095" spans="1:8" s="28" customFormat="1" x14ac:dyDescent="0.25">
      <c r="A3095" s="29"/>
      <c r="B3095" s="15"/>
      <c r="C3095" s="19"/>
      <c r="D3095" s="19"/>
      <c r="E3095" s="19"/>
      <c r="F3095" s="19"/>
      <c r="G3095" s="19"/>
      <c r="H3095" s="82"/>
    </row>
    <row r="3096" spans="1:8" s="28" customFormat="1" x14ac:dyDescent="0.25">
      <c r="A3096" s="29"/>
      <c r="B3096" s="15"/>
      <c r="C3096" s="19"/>
      <c r="D3096" s="19"/>
      <c r="E3096" s="19"/>
      <c r="F3096" s="19"/>
      <c r="G3096" s="19"/>
      <c r="H3096" s="82"/>
    </row>
    <row r="3097" spans="1:8" s="28" customFormat="1" x14ac:dyDescent="0.25">
      <c r="A3097" s="29"/>
      <c r="B3097" s="15"/>
      <c r="C3097" s="19"/>
      <c r="D3097" s="19"/>
      <c r="E3097" s="19"/>
      <c r="F3097" s="19"/>
      <c r="G3097" s="19"/>
      <c r="H3097" s="82"/>
    </row>
    <row r="3098" spans="1:8" s="28" customFormat="1" x14ac:dyDescent="0.25">
      <c r="A3098" s="29"/>
      <c r="B3098" s="15"/>
      <c r="C3098" s="19"/>
      <c r="D3098" s="19"/>
      <c r="E3098" s="19"/>
      <c r="F3098" s="19"/>
      <c r="G3098" s="19"/>
      <c r="H3098" s="82"/>
    </row>
    <row r="3099" spans="1:8" s="28" customFormat="1" x14ac:dyDescent="0.25">
      <c r="A3099" s="29"/>
      <c r="B3099" s="15"/>
      <c r="C3099" s="19"/>
      <c r="D3099" s="19"/>
      <c r="E3099" s="19"/>
      <c r="F3099" s="19"/>
      <c r="G3099" s="19"/>
      <c r="H3099" s="82"/>
    </row>
    <row r="3100" spans="1:8" s="28" customFormat="1" x14ac:dyDescent="0.25">
      <c r="A3100" s="29"/>
      <c r="B3100" s="15"/>
      <c r="C3100" s="19"/>
      <c r="D3100" s="19"/>
      <c r="E3100" s="19"/>
      <c r="F3100" s="19"/>
      <c r="G3100" s="19"/>
      <c r="H3100" s="82"/>
    </row>
    <row r="3101" spans="1:8" s="28" customFormat="1" x14ac:dyDescent="0.25">
      <c r="A3101" s="29"/>
      <c r="B3101" s="15"/>
      <c r="C3101" s="19"/>
      <c r="D3101" s="19"/>
      <c r="E3101" s="19"/>
      <c r="F3101" s="19"/>
      <c r="G3101" s="19"/>
      <c r="H3101" s="82"/>
    </row>
    <row r="3102" spans="1:8" s="28" customFormat="1" x14ac:dyDescent="0.25">
      <c r="A3102" s="29"/>
      <c r="B3102" s="15"/>
      <c r="C3102" s="19"/>
      <c r="D3102" s="19"/>
      <c r="E3102" s="19"/>
      <c r="F3102" s="19"/>
      <c r="G3102" s="19"/>
      <c r="H3102" s="82"/>
    </row>
    <row r="3103" spans="1:8" s="28" customFormat="1" x14ac:dyDescent="0.25">
      <c r="A3103" s="29"/>
      <c r="B3103" s="15"/>
      <c r="C3103" s="19"/>
      <c r="D3103" s="19"/>
      <c r="E3103" s="19"/>
      <c r="F3103" s="19"/>
      <c r="G3103" s="19"/>
      <c r="H3103" s="82"/>
    </row>
    <row r="3104" spans="1:8" s="28" customFormat="1" x14ac:dyDescent="0.25">
      <c r="A3104" s="29"/>
      <c r="B3104" s="15"/>
      <c r="C3104" s="19"/>
      <c r="D3104" s="19"/>
      <c r="E3104" s="19"/>
      <c r="F3104" s="19"/>
      <c r="G3104" s="19"/>
      <c r="H3104" s="82"/>
    </row>
    <row r="3105" spans="1:8" s="28" customFormat="1" x14ac:dyDescent="0.25">
      <c r="A3105" s="29"/>
      <c r="B3105" s="15"/>
      <c r="C3105" s="19"/>
      <c r="D3105" s="19"/>
      <c r="E3105" s="19"/>
      <c r="F3105" s="19"/>
      <c r="G3105" s="19"/>
      <c r="H3105" s="82"/>
    </row>
    <row r="3106" spans="1:8" s="28" customFormat="1" x14ac:dyDescent="0.25">
      <c r="A3106" s="29"/>
      <c r="B3106" s="15"/>
      <c r="C3106" s="19"/>
      <c r="D3106" s="19"/>
      <c r="E3106" s="19"/>
      <c r="F3106" s="19"/>
      <c r="G3106" s="19"/>
      <c r="H3106" s="82"/>
    </row>
    <row r="3107" spans="1:8" s="28" customFormat="1" x14ac:dyDescent="0.25">
      <c r="A3107" s="29"/>
      <c r="B3107" s="15"/>
      <c r="C3107" s="19"/>
      <c r="D3107" s="19"/>
      <c r="E3107" s="19"/>
      <c r="F3107" s="19"/>
      <c r="G3107" s="19"/>
      <c r="H3107" s="82"/>
    </row>
    <row r="3108" spans="1:8" s="28" customFormat="1" x14ac:dyDescent="0.25">
      <c r="A3108" s="29"/>
      <c r="B3108" s="15"/>
      <c r="C3108" s="19"/>
      <c r="D3108" s="19"/>
      <c r="E3108" s="19"/>
      <c r="F3108" s="19"/>
      <c r="G3108" s="19"/>
      <c r="H3108" s="82"/>
    </row>
    <row r="3109" spans="1:8" s="28" customFormat="1" x14ac:dyDescent="0.25">
      <c r="A3109" s="29"/>
      <c r="B3109" s="15"/>
      <c r="C3109" s="19"/>
      <c r="D3109" s="19"/>
      <c r="E3109" s="19"/>
      <c r="F3109" s="19"/>
      <c r="G3109" s="19"/>
      <c r="H3109" s="82"/>
    </row>
    <row r="3110" spans="1:8" s="28" customFormat="1" x14ac:dyDescent="0.25">
      <c r="A3110" s="29"/>
      <c r="B3110" s="15"/>
      <c r="C3110" s="19"/>
      <c r="D3110" s="19"/>
      <c r="E3110" s="19"/>
      <c r="F3110" s="19"/>
      <c r="G3110" s="19"/>
      <c r="H3110" s="82"/>
    </row>
    <row r="3111" spans="1:8" s="28" customFormat="1" x14ac:dyDescent="0.25">
      <c r="A3111" s="29"/>
      <c r="B3111" s="15"/>
      <c r="C3111" s="19"/>
      <c r="D3111" s="19"/>
      <c r="E3111" s="19"/>
      <c r="F3111" s="19"/>
      <c r="G3111" s="19"/>
      <c r="H3111" s="82"/>
    </row>
    <row r="3112" spans="1:8" s="28" customFormat="1" x14ac:dyDescent="0.25">
      <c r="A3112" s="29"/>
      <c r="B3112" s="15"/>
      <c r="C3112" s="19"/>
      <c r="D3112" s="19"/>
      <c r="E3112" s="19"/>
      <c r="F3112" s="19"/>
      <c r="G3112" s="19"/>
      <c r="H3112" s="82"/>
    </row>
    <row r="3113" spans="1:8" s="28" customFormat="1" x14ac:dyDescent="0.25">
      <c r="A3113" s="29"/>
      <c r="B3113" s="15"/>
      <c r="C3113" s="19"/>
      <c r="D3113" s="19"/>
      <c r="E3113" s="19"/>
      <c r="F3113" s="19"/>
      <c r="G3113" s="19"/>
      <c r="H3113" s="82"/>
    </row>
    <row r="3114" spans="1:8" s="28" customFormat="1" x14ac:dyDescent="0.25">
      <c r="A3114" s="29"/>
      <c r="B3114" s="15"/>
      <c r="C3114" s="19"/>
      <c r="D3114" s="19"/>
      <c r="E3114" s="19"/>
      <c r="F3114" s="19"/>
      <c r="G3114" s="19"/>
      <c r="H3114" s="82"/>
    </row>
    <row r="3115" spans="1:8" s="28" customFormat="1" x14ac:dyDescent="0.25">
      <c r="A3115" s="29"/>
      <c r="B3115" s="15"/>
      <c r="C3115" s="19"/>
      <c r="D3115" s="19"/>
      <c r="E3115" s="19"/>
      <c r="F3115" s="19"/>
      <c r="G3115" s="19"/>
      <c r="H3115" s="82"/>
    </row>
    <row r="3116" spans="1:8" s="28" customFormat="1" x14ac:dyDescent="0.25">
      <c r="A3116" s="29"/>
      <c r="B3116" s="15"/>
      <c r="C3116" s="19"/>
      <c r="D3116" s="19"/>
      <c r="E3116" s="19"/>
      <c r="F3116" s="19"/>
      <c r="G3116" s="19"/>
      <c r="H3116" s="82"/>
    </row>
    <row r="3117" spans="1:8" s="28" customFormat="1" x14ac:dyDescent="0.25">
      <c r="A3117" s="29"/>
      <c r="B3117" s="15"/>
      <c r="C3117" s="19"/>
      <c r="D3117" s="19"/>
      <c r="E3117" s="19"/>
      <c r="F3117" s="19"/>
      <c r="G3117" s="19"/>
      <c r="H3117" s="82"/>
    </row>
    <row r="3118" spans="1:8" s="28" customFormat="1" x14ac:dyDescent="0.25">
      <c r="A3118" s="29"/>
      <c r="B3118" s="15"/>
      <c r="C3118" s="19"/>
      <c r="D3118" s="19"/>
      <c r="E3118" s="19"/>
      <c r="F3118" s="19"/>
      <c r="G3118" s="19"/>
      <c r="H3118" s="82"/>
    </row>
    <row r="3119" spans="1:8" s="28" customFormat="1" x14ac:dyDescent="0.25">
      <c r="A3119" s="29"/>
      <c r="B3119" s="15"/>
      <c r="C3119" s="19"/>
      <c r="D3119" s="19"/>
      <c r="E3119" s="19"/>
      <c r="F3119" s="19"/>
      <c r="G3119" s="19"/>
      <c r="H3119" s="82"/>
    </row>
    <row r="3120" spans="1:8" s="28" customFormat="1" x14ac:dyDescent="0.25">
      <c r="A3120" s="29"/>
      <c r="B3120" s="15"/>
      <c r="C3120" s="19"/>
      <c r="D3120" s="19"/>
      <c r="E3120" s="19"/>
      <c r="F3120" s="19"/>
      <c r="G3120" s="19"/>
      <c r="H3120" s="82"/>
    </row>
    <row r="3121" spans="1:8" s="28" customFormat="1" x14ac:dyDescent="0.25">
      <c r="A3121" s="29"/>
      <c r="B3121" s="15"/>
      <c r="C3121" s="19"/>
      <c r="D3121" s="19"/>
      <c r="E3121" s="19"/>
      <c r="F3121" s="19"/>
      <c r="G3121" s="19"/>
      <c r="H3121" s="82"/>
    </row>
    <row r="3122" spans="1:8" s="28" customFormat="1" x14ac:dyDescent="0.25">
      <c r="A3122" s="29"/>
      <c r="B3122" s="15"/>
      <c r="C3122" s="19"/>
      <c r="D3122" s="19"/>
      <c r="E3122" s="19"/>
      <c r="F3122" s="19"/>
      <c r="G3122" s="19"/>
      <c r="H3122" s="82"/>
    </row>
    <row r="3123" spans="1:8" s="28" customFormat="1" x14ac:dyDescent="0.25">
      <c r="A3123" s="29"/>
      <c r="B3123" s="15"/>
      <c r="C3123" s="19"/>
      <c r="D3123" s="19"/>
      <c r="E3123" s="19"/>
      <c r="F3123" s="19"/>
      <c r="G3123" s="19"/>
      <c r="H3123" s="82"/>
    </row>
    <row r="3124" spans="1:8" s="28" customFormat="1" x14ac:dyDescent="0.25">
      <c r="A3124" s="29"/>
      <c r="B3124" s="15"/>
      <c r="C3124" s="19"/>
      <c r="D3124" s="19"/>
      <c r="E3124" s="19"/>
      <c r="F3124" s="19"/>
      <c r="G3124" s="19"/>
      <c r="H3124" s="82"/>
    </row>
    <row r="3125" spans="1:8" s="28" customFormat="1" x14ac:dyDescent="0.25">
      <c r="A3125" s="29"/>
      <c r="B3125" s="15"/>
      <c r="C3125" s="19"/>
      <c r="D3125" s="19"/>
      <c r="E3125" s="19"/>
      <c r="F3125" s="19"/>
      <c r="G3125" s="19"/>
      <c r="H3125" s="82"/>
    </row>
    <row r="3126" spans="1:8" s="28" customFormat="1" x14ac:dyDescent="0.25">
      <c r="A3126" s="29"/>
      <c r="B3126" s="15"/>
      <c r="C3126" s="19"/>
      <c r="D3126" s="19"/>
      <c r="E3126" s="19"/>
      <c r="F3126" s="19"/>
      <c r="G3126" s="19"/>
      <c r="H3126" s="82"/>
    </row>
    <row r="3127" spans="1:8" s="28" customFormat="1" x14ac:dyDescent="0.25">
      <c r="A3127" s="29"/>
      <c r="B3127" s="15"/>
      <c r="C3127" s="19"/>
      <c r="D3127" s="19"/>
      <c r="E3127" s="19"/>
      <c r="F3127" s="19"/>
      <c r="G3127" s="19"/>
      <c r="H3127" s="82"/>
    </row>
    <row r="3128" spans="1:8" s="28" customFormat="1" x14ac:dyDescent="0.25">
      <c r="A3128" s="29"/>
      <c r="B3128" s="15"/>
      <c r="C3128" s="19"/>
      <c r="D3128" s="19"/>
      <c r="E3128" s="19"/>
      <c r="F3128" s="19"/>
      <c r="G3128" s="19"/>
      <c r="H3128" s="82"/>
    </row>
    <row r="3129" spans="1:8" s="28" customFormat="1" x14ac:dyDescent="0.25">
      <c r="A3129" s="29"/>
      <c r="B3129" s="15"/>
      <c r="C3129" s="19"/>
      <c r="D3129" s="19"/>
      <c r="E3129" s="19"/>
      <c r="F3129" s="19"/>
      <c r="G3129" s="19"/>
      <c r="H3129" s="82"/>
    </row>
    <row r="3130" spans="1:8" s="28" customFormat="1" x14ac:dyDescent="0.25">
      <c r="A3130" s="29"/>
      <c r="B3130" s="15"/>
      <c r="C3130" s="19"/>
      <c r="D3130" s="19"/>
      <c r="E3130" s="19"/>
      <c r="F3130" s="19"/>
      <c r="G3130" s="19"/>
      <c r="H3130" s="82"/>
    </row>
    <row r="3131" spans="1:8" s="28" customFormat="1" x14ac:dyDescent="0.25">
      <c r="A3131" s="29"/>
      <c r="B3131" s="15"/>
      <c r="C3131" s="19"/>
      <c r="D3131" s="19"/>
      <c r="E3131" s="19"/>
      <c r="F3131" s="19"/>
      <c r="G3131" s="19"/>
      <c r="H3131" s="82"/>
    </row>
    <row r="3132" spans="1:8" s="28" customFormat="1" x14ac:dyDescent="0.25">
      <c r="A3132" s="29"/>
      <c r="B3132" s="15"/>
      <c r="C3132" s="19"/>
      <c r="D3132" s="19"/>
      <c r="E3132" s="19"/>
      <c r="F3132" s="19"/>
      <c r="G3132" s="19"/>
      <c r="H3132" s="82"/>
    </row>
    <row r="3133" spans="1:8" s="28" customFormat="1" x14ac:dyDescent="0.25">
      <c r="A3133" s="29"/>
      <c r="B3133" s="15"/>
      <c r="C3133" s="19"/>
      <c r="D3133" s="19"/>
      <c r="E3133" s="19"/>
      <c r="F3133" s="19"/>
      <c r="G3133" s="19"/>
      <c r="H3133" s="82"/>
    </row>
    <row r="3134" spans="1:8" s="28" customFormat="1" x14ac:dyDescent="0.25">
      <c r="A3134" s="29"/>
      <c r="B3134" s="15"/>
      <c r="C3134" s="19"/>
      <c r="D3134" s="19"/>
      <c r="E3134" s="19"/>
      <c r="F3134" s="19"/>
      <c r="G3134" s="19"/>
      <c r="H3134" s="82"/>
    </row>
    <row r="3135" spans="1:8" s="28" customFormat="1" x14ac:dyDescent="0.25">
      <c r="A3135" s="29"/>
      <c r="B3135" s="15"/>
      <c r="C3135" s="19"/>
      <c r="D3135" s="19"/>
      <c r="E3135" s="19"/>
      <c r="F3135" s="19"/>
      <c r="G3135" s="19"/>
      <c r="H3135" s="82"/>
    </row>
    <row r="3136" spans="1:8" s="28" customFormat="1" x14ac:dyDescent="0.25">
      <c r="A3136" s="29"/>
      <c r="B3136" s="15"/>
      <c r="C3136" s="19"/>
      <c r="D3136" s="19"/>
      <c r="E3136" s="19"/>
      <c r="F3136" s="19"/>
      <c r="G3136" s="19"/>
      <c r="H3136" s="82"/>
    </row>
    <row r="3137" spans="1:8" s="28" customFormat="1" x14ac:dyDescent="0.25">
      <c r="A3137" s="29"/>
      <c r="B3137" s="15"/>
      <c r="C3137" s="19"/>
      <c r="D3137" s="19"/>
      <c r="E3137" s="19"/>
      <c r="F3137" s="19"/>
      <c r="G3137" s="19"/>
      <c r="H3137" s="82"/>
    </row>
    <row r="3138" spans="1:8" s="28" customFormat="1" x14ac:dyDescent="0.25">
      <c r="A3138" s="29"/>
      <c r="B3138" s="15"/>
      <c r="C3138" s="19"/>
      <c r="D3138" s="19"/>
      <c r="E3138" s="19"/>
      <c r="F3138" s="19"/>
      <c r="G3138" s="19"/>
      <c r="H3138" s="82"/>
    </row>
    <row r="3139" spans="1:8" s="28" customFormat="1" x14ac:dyDescent="0.25">
      <c r="A3139" s="29"/>
      <c r="B3139" s="15"/>
      <c r="C3139" s="19"/>
      <c r="D3139" s="19"/>
      <c r="E3139" s="19"/>
      <c r="F3139" s="19"/>
      <c r="G3139" s="19"/>
      <c r="H3139" s="82"/>
    </row>
    <row r="3140" spans="1:8" s="28" customFormat="1" x14ac:dyDescent="0.25">
      <c r="A3140" s="29"/>
      <c r="B3140" s="15"/>
      <c r="C3140" s="19"/>
      <c r="D3140" s="19"/>
      <c r="E3140" s="19"/>
      <c r="F3140" s="19"/>
      <c r="G3140" s="19"/>
      <c r="H3140" s="82"/>
    </row>
    <row r="3141" spans="1:8" s="28" customFormat="1" x14ac:dyDescent="0.25">
      <c r="A3141" s="29"/>
      <c r="B3141" s="15"/>
      <c r="C3141" s="19"/>
      <c r="D3141" s="19"/>
      <c r="E3141" s="19"/>
      <c r="F3141" s="19"/>
      <c r="G3141" s="19"/>
      <c r="H3141" s="82"/>
    </row>
    <row r="3142" spans="1:8" s="28" customFormat="1" x14ac:dyDescent="0.25">
      <c r="A3142" s="29"/>
      <c r="B3142" s="15"/>
      <c r="C3142" s="19"/>
      <c r="D3142" s="19"/>
      <c r="E3142" s="19"/>
      <c r="F3142" s="19"/>
      <c r="G3142" s="19"/>
      <c r="H3142" s="82"/>
    </row>
    <row r="3143" spans="1:8" s="28" customFormat="1" x14ac:dyDescent="0.25">
      <c r="A3143" s="29"/>
      <c r="B3143" s="15"/>
      <c r="C3143" s="19"/>
      <c r="D3143" s="19"/>
      <c r="E3143" s="19"/>
      <c r="F3143" s="19"/>
      <c r="G3143" s="19"/>
      <c r="H3143" s="82"/>
    </row>
    <row r="3144" spans="1:8" s="28" customFormat="1" x14ac:dyDescent="0.25">
      <c r="A3144" s="29"/>
      <c r="B3144" s="15"/>
      <c r="C3144" s="19"/>
      <c r="D3144" s="19"/>
      <c r="E3144" s="19"/>
      <c r="F3144" s="19"/>
      <c r="G3144" s="19"/>
      <c r="H3144" s="82"/>
    </row>
    <row r="3145" spans="1:8" s="28" customFormat="1" x14ac:dyDescent="0.25">
      <c r="A3145" s="29"/>
      <c r="B3145" s="15"/>
      <c r="C3145" s="19"/>
      <c r="D3145" s="19"/>
      <c r="E3145" s="19"/>
      <c r="F3145" s="19"/>
      <c r="G3145" s="19"/>
      <c r="H3145" s="82"/>
    </row>
    <row r="3146" spans="1:8" s="28" customFormat="1" x14ac:dyDescent="0.25">
      <c r="A3146" s="29"/>
      <c r="B3146" s="15"/>
      <c r="C3146" s="19"/>
      <c r="D3146" s="19"/>
      <c r="E3146" s="19"/>
      <c r="F3146" s="19"/>
      <c r="G3146" s="19"/>
      <c r="H3146" s="82"/>
    </row>
    <row r="3147" spans="1:8" s="28" customFormat="1" x14ac:dyDescent="0.25">
      <c r="A3147" s="29"/>
      <c r="B3147" s="15"/>
      <c r="C3147" s="19"/>
      <c r="D3147" s="19"/>
      <c r="E3147" s="19"/>
      <c r="F3147" s="19"/>
      <c r="G3147" s="19"/>
      <c r="H3147" s="82"/>
    </row>
    <row r="3148" spans="1:8" s="28" customFormat="1" x14ac:dyDescent="0.25">
      <c r="A3148" s="29"/>
      <c r="B3148" s="15"/>
      <c r="C3148" s="19"/>
      <c r="D3148" s="19"/>
      <c r="E3148" s="19"/>
      <c r="F3148" s="19"/>
      <c r="G3148" s="19"/>
      <c r="H3148" s="82"/>
    </row>
    <row r="3149" spans="1:8" s="28" customFormat="1" x14ac:dyDescent="0.25">
      <c r="A3149" s="29"/>
      <c r="B3149" s="15"/>
      <c r="C3149" s="19"/>
      <c r="D3149" s="19"/>
      <c r="E3149" s="19"/>
      <c r="F3149" s="19"/>
      <c r="G3149" s="19"/>
      <c r="H3149" s="82"/>
    </row>
    <row r="3150" spans="1:8" s="28" customFormat="1" x14ac:dyDescent="0.25">
      <c r="A3150" s="29"/>
      <c r="B3150" s="15"/>
      <c r="C3150" s="19"/>
      <c r="D3150" s="19"/>
      <c r="E3150" s="19"/>
      <c r="F3150" s="19"/>
      <c r="G3150" s="19"/>
      <c r="H3150" s="82"/>
    </row>
    <row r="3151" spans="1:8" s="28" customFormat="1" x14ac:dyDescent="0.25">
      <c r="A3151" s="29"/>
      <c r="B3151" s="15"/>
      <c r="C3151" s="19"/>
      <c r="D3151" s="19"/>
      <c r="E3151" s="19"/>
      <c r="F3151" s="19"/>
      <c r="G3151" s="19"/>
      <c r="H3151" s="82"/>
    </row>
    <row r="3152" spans="1:8" s="28" customFormat="1" x14ac:dyDescent="0.25">
      <c r="A3152" s="29"/>
      <c r="B3152" s="15"/>
      <c r="C3152" s="19"/>
      <c r="D3152" s="19"/>
      <c r="E3152" s="19"/>
      <c r="F3152" s="19"/>
      <c r="G3152" s="19"/>
      <c r="H3152" s="82"/>
    </row>
    <row r="3153" spans="1:8" s="28" customFormat="1" x14ac:dyDescent="0.25">
      <c r="A3153" s="29"/>
      <c r="B3153" s="15"/>
      <c r="C3153" s="19"/>
      <c r="D3153" s="19"/>
      <c r="E3153" s="19"/>
      <c r="F3153" s="19"/>
      <c r="G3153" s="19"/>
      <c r="H3153" s="82"/>
    </row>
    <row r="3154" spans="1:8" s="28" customFormat="1" x14ac:dyDescent="0.25">
      <c r="A3154" s="29"/>
      <c r="B3154" s="15"/>
      <c r="C3154" s="19"/>
      <c r="D3154" s="19"/>
      <c r="E3154" s="19"/>
      <c r="F3154" s="19"/>
      <c r="G3154" s="19"/>
      <c r="H3154" s="82"/>
    </row>
    <row r="3155" spans="1:8" s="28" customFormat="1" x14ac:dyDescent="0.25">
      <c r="A3155" s="29"/>
      <c r="B3155" s="15"/>
      <c r="C3155" s="19"/>
      <c r="D3155" s="19"/>
      <c r="E3155" s="19"/>
      <c r="F3155" s="19"/>
      <c r="G3155" s="19"/>
      <c r="H3155" s="82"/>
    </row>
    <row r="3156" spans="1:8" s="28" customFormat="1" x14ac:dyDescent="0.25">
      <c r="A3156" s="29"/>
      <c r="B3156" s="15"/>
      <c r="C3156" s="19"/>
      <c r="D3156" s="19"/>
      <c r="E3156" s="19"/>
      <c r="F3156" s="19"/>
      <c r="G3156" s="19"/>
      <c r="H3156" s="82"/>
    </row>
    <row r="3157" spans="1:8" s="28" customFormat="1" x14ac:dyDescent="0.25">
      <c r="A3157" s="29"/>
      <c r="B3157" s="15"/>
      <c r="C3157" s="19"/>
      <c r="D3157" s="19"/>
      <c r="E3157" s="19"/>
      <c r="F3157" s="19"/>
      <c r="G3157" s="19"/>
      <c r="H3157" s="82"/>
    </row>
    <row r="3158" spans="1:8" s="28" customFormat="1" x14ac:dyDescent="0.25">
      <c r="A3158" s="29"/>
      <c r="B3158" s="15"/>
      <c r="C3158" s="19"/>
      <c r="D3158" s="19"/>
      <c r="E3158" s="19"/>
      <c r="F3158" s="19"/>
      <c r="G3158" s="19"/>
      <c r="H3158" s="82"/>
    </row>
    <row r="3159" spans="1:8" s="28" customFormat="1" x14ac:dyDescent="0.25">
      <c r="A3159" s="29"/>
      <c r="B3159" s="15"/>
      <c r="C3159" s="19"/>
      <c r="D3159" s="19"/>
      <c r="E3159" s="19"/>
      <c r="F3159" s="19"/>
      <c r="G3159" s="19"/>
      <c r="H3159" s="82"/>
    </row>
    <row r="3160" spans="1:8" s="28" customFormat="1" x14ac:dyDescent="0.25">
      <c r="A3160" s="29"/>
      <c r="B3160" s="15"/>
      <c r="C3160" s="19"/>
      <c r="D3160" s="19"/>
      <c r="E3160" s="19"/>
      <c r="F3160" s="19"/>
      <c r="G3160" s="19"/>
      <c r="H3160" s="82"/>
    </row>
    <row r="3161" spans="1:8" s="28" customFormat="1" x14ac:dyDescent="0.25">
      <c r="A3161" s="29"/>
      <c r="B3161" s="15"/>
      <c r="C3161" s="19"/>
      <c r="D3161" s="19"/>
      <c r="E3161" s="19"/>
      <c r="F3161" s="19"/>
      <c r="G3161" s="19"/>
      <c r="H3161" s="82"/>
    </row>
    <row r="3162" spans="1:8" s="28" customFormat="1" x14ac:dyDescent="0.25">
      <c r="A3162" s="29"/>
      <c r="B3162" s="15"/>
      <c r="C3162" s="19"/>
      <c r="D3162" s="19"/>
      <c r="E3162" s="19"/>
      <c r="F3162" s="19"/>
      <c r="G3162" s="19"/>
      <c r="H3162" s="82"/>
    </row>
    <row r="3163" spans="1:8" s="28" customFormat="1" x14ac:dyDescent="0.25">
      <c r="A3163" s="29"/>
      <c r="B3163" s="15"/>
      <c r="C3163" s="19"/>
      <c r="D3163" s="19"/>
      <c r="E3163" s="19"/>
      <c r="F3163" s="19"/>
      <c r="G3163" s="19"/>
      <c r="H3163" s="82"/>
    </row>
    <row r="3164" spans="1:8" s="28" customFormat="1" x14ac:dyDescent="0.25">
      <c r="A3164" s="29"/>
      <c r="B3164" s="15"/>
      <c r="C3164" s="19"/>
      <c r="D3164" s="19"/>
      <c r="E3164" s="19"/>
      <c r="F3164" s="19"/>
      <c r="G3164" s="19"/>
      <c r="H3164" s="82"/>
    </row>
    <row r="3165" spans="1:8" s="28" customFormat="1" x14ac:dyDescent="0.25">
      <c r="A3165" s="29"/>
      <c r="B3165" s="15"/>
      <c r="C3165" s="19"/>
      <c r="D3165" s="19"/>
      <c r="E3165" s="19"/>
      <c r="F3165" s="19"/>
      <c r="G3165" s="19"/>
      <c r="H3165" s="82"/>
    </row>
    <row r="3166" spans="1:8" s="28" customFormat="1" x14ac:dyDescent="0.25">
      <c r="A3166" s="29"/>
      <c r="B3166" s="15"/>
      <c r="C3166" s="19"/>
      <c r="D3166" s="19"/>
      <c r="E3166" s="19"/>
      <c r="F3166" s="19"/>
      <c r="G3166" s="19"/>
      <c r="H3166" s="82"/>
    </row>
    <row r="3167" spans="1:8" s="28" customFormat="1" x14ac:dyDescent="0.25">
      <c r="A3167" s="29"/>
      <c r="B3167" s="15"/>
      <c r="C3167" s="19"/>
      <c r="D3167" s="19"/>
      <c r="E3167" s="19"/>
      <c r="F3167" s="19"/>
      <c r="G3167" s="19"/>
      <c r="H3167" s="82"/>
    </row>
    <row r="3168" spans="1:8" s="28" customFormat="1" x14ac:dyDescent="0.25">
      <c r="A3168" s="29"/>
      <c r="B3168" s="15"/>
      <c r="C3168" s="19"/>
      <c r="D3168" s="19"/>
      <c r="E3168" s="19"/>
      <c r="F3168" s="19"/>
      <c r="G3168" s="19"/>
      <c r="H3168" s="82"/>
    </row>
    <row r="3169" spans="1:8" s="28" customFormat="1" x14ac:dyDescent="0.25">
      <c r="A3169" s="29"/>
      <c r="B3169" s="15"/>
      <c r="C3169" s="19"/>
      <c r="D3169" s="19"/>
      <c r="E3169" s="19"/>
      <c r="F3169" s="19"/>
      <c r="G3169" s="19"/>
      <c r="H3169" s="82"/>
    </row>
    <row r="3170" spans="1:8" s="28" customFormat="1" x14ac:dyDescent="0.25">
      <c r="A3170" s="29"/>
      <c r="B3170" s="15"/>
      <c r="C3170" s="19"/>
      <c r="D3170" s="19"/>
      <c r="E3170" s="19"/>
      <c r="F3170" s="19"/>
      <c r="G3170" s="19"/>
      <c r="H3170" s="82"/>
    </row>
    <row r="3171" spans="1:8" s="28" customFormat="1" x14ac:dyDescent="0.25">
      <c r="A3171" s="29"/>
      <c r="B3171" s="15"/>
      <c r="C3171" s="19"/>
      <c r="D3171" s="19"/>
      <c r="E3171" s="19"/>
      <c r="F3171" s="19"/>
      <c r="G3171" s="19"/>
      <c r="H3171" s="82"/>
    </row>
    <row r="3172" spans="1:8" s="28" customFormat="1" x14ac:dyDescent="0.25">
      <c r="A3172" s="29"/>
      <c r="B3172" s="15"/>
      <c r="C3172" s="19"/>
      <c r="D3172" s="19"/>
      <c r="E3172" s="19"/>
      <c r="F3172" s="19"/>
      <c r="G3172" s="19"/>
      <c r="H3172" s="82"/>
    </row>
    <row r="3173" spans="1:8" s="28" customFormat="1" x14ac:dyDescent="0.25">
      <c r="A3173" s="29"/>
      <c r="B3173" s="15"/>
      <c r="C3173" s="19"/>
      <c r="D3173" s="19"/>
      <c r="E3173" s="19"/>
      <c r="F3173" s="19"/>
      <c r="G3173" s="19"/>
      <c r="H3173" s="82"/>
    </row>
    <row r="3174" spans="1:8" s="28" customFormat="1" x14ac:dyDescent="0.25">
      <c r="A3174" s="29"/>
      <c r="B3174" s="15"/>
      <c r="C3174" s="19"/>
      <c r="D3174" s="19"/>
      <c r="E3174" s="19"/>
      <c r="F3174" s="19"/>
      <c r="G3174" s="19"/>
      <c r="H3174" s="82"/>
    </row>
    <row r="3175" spans="1:8" s="28" customFormat="1" x14ac:dyDescent="0.25">
      <c r="A3175" s="29"/>
      <c r="B3175" s="15"/>
      <c r="C3175" s="19"/>
      <c r="D3175" s="19"/>
      <c r="E3175" s="19"/>
      <c r="F3175" s="19"/>
      <c r="G3175" s="19"/>
      <c r="H3175" s="82"/>
    </row>
    <row r="3176" spans="1:8" s="28" customFormat="1" x14ac:dyDescent="0.25">
      <c r="A3176" s="29"/>
      <c r="B3176" s="15"/>
      <c r="C3176" s="19"/>
      <c r="D3176" s="19"/>
      <c r="E3176" s="19"/>
      <c r="F3176" s="19"/>
      <c r="G3176" s="19"/>
      <c r="H3176" s="82"/>
    </row>
    <row r="3177" spans="1:8" s="28" customFormat="1" x14ac:dyDescent="0.25">
      <c r="A3177" s="29"/>
      <c r="B3177" s="15"/>
      <c r="C3177" s="19"/>
      <c r="D3177" s="19"/>
      <c r="E3177" s="19"/>
      <c r="F3177" s="19"/>
      <c r="G3177" s="19"/>
      <c r="H3177" s="82"/>
    </row>
    <row r="3178" spans="1:8" s="28" customFormat="1" x14ac:dyDescent="0.25">
      <c r="A3178" s="29"/>
      <c r="B3178" s="15"/>
      <c r="C3178" s="19"/>
      <c r="D3178" s="19"/>
      <c r="E3178" s="19"/>
      <c r="F3178" s="19"/>
      <c r="G3178" s="19"/>
      <c r="H3178" s="82"/>
    </row>
    <row r="3179" spans="1:8" s="28" customFormat="1" x14ac:dyDescent="0.25">
      <c r="A3179" s="29"/>
      <c r="B3179" s="15"/>
      <c r="C3179" s="19"/>
      <c r="D3179" s="19"/>
      <c r="E3179" s="19"/>
      <c r="F3179" s="19"/>
      <c r="G3179" s="19"/>
      <c r="H3179" s="82"/>
    </row>
    <row r="3180" spans="1:8" s="28" customFormat="1" x14ac:dyDescent="0.25">
      <c r="A3180" s="29"/>
      <c r="B3180" s="15"/>
      <c r="C3180" s="19"/>
      <c r="D3180" s="19"/>
      <c r="E3180" s="19"/>
      <c r="F3180" s="19"/>
      <c r="G3180" s="19"/>
      <c r="H3180" s="82"/>
    </row>
    <row r="3181" spans="1:8" s="28" customFormat="1" x14ac:dyDescent="0.25">
      <c r="A3181" s="29"/>
      <c r="B3181" s="15"/>
      <c r="C3181" s="19"/>
      <c r="D3181" s="19"/>
      <c r="E3181" s="19"/>
      <c r="F3181" s="19"/>
      <c r="G3181" s="19"/>
      <c r="H3181" s="82"/>
    </row>
    <row r="3182" spans="1:8" s="28" customFormat="1" x14ac:dyDescent="0.25">
      <c r="A3182" s="29"/>
      <c r="B3182" s="15"/>
      <c r="C3182" s="19"/>
      <c r="D3182" s="19"/>
      <c r="E3182" s="19"/>
      <c r="F3182" s="19"/>
      <c r="G3182" s="19"/>
      <c r="H3182" s="82"/>
    </row>
    <row r="3183" spans="1:8" s="28" customFormat="1" x14ac:dyDescent="0.25">
      <c r="A3183" s="29"/>
      <c r="B3183" s="15"/>
      <c r="C3183" s="19"/>
      <c r="D3183" s="19"/>
      <c r="E3183" s="19"/>
      <c r="F3183" s="19"/>
      <c r="G3183" s="19"/>
      <c r="H3183" s="82"/>
    </row>
    <row r="3184" spans="1:8" s="28" customFormat="1" x14ac:dyDescent="0.25">
      <c r="A3184" s="29"/>
      <c r="B3184" s="15"/>
      <c r="C3184" s="19"/>
      <c r="D3184" s="19"/>
      <c r="E3184" s="19"/>
      <c r="F3184" s="19"/>
      <c r="G3184" s="19"/>
      <c r="H3184" s="82"/>
    </row>
    <row r="3185" spans="1:8" s="28" customFormat="1" x14ac:dyDescent="0.25">
      <c r="A3185" s="29"/>
      <c r="B3185" s="15"/>
      <c r="C3185" s="19"/>
      <c r="D3185" s="19"/>
      <c r="E3185" s="19"/>
      <c r="F3185" s="19"/>
      <c r="G3185" s="19"/>
      <c r="H3185" s="82"/>
    </row>
    <row r="3186" spans="1:8" s="28" customFormat="1" x14ac:dyDescent="0.25">
      <c r="A3186" s="29"/>
      <c r="B3186" s="15"/>
      <c r="C3186" s="19"/>
      <c r="D3186" s="19"/>
      <c r="E3186" s="19"/>
      <c r="F3186" s="19"/>
      <c r="G3186" s="19"/>
      <c r="H3186" s="82"/>
    </row>
    <row r="3187" spans="1:8" s="28" customFormat="1" x14ac:dyDescent="0.25">
      <c r="A3187" s="29"/>
      <c r="B3187" s="15"/>
      <c r="C3187" s="19"/>
      <c r="D3187" s="19"/>
      <c r="E3187" s="19"/>
      <c r="F3187" s="19"/>
      <c r="G3187" s="19"/>
      <c r="H3187" s="82"/>
    </row>
    <row r="3188" spans="1:8" s="28" customFormat="1" x14ac:dyDescent="0.25">
      <c r="A3188" s="29"/>
      <c r="B3188" s="15"/>
      <c r="C3188" s="19"/>
      <c r="D3188" s="19"/>
      <c r="E3188" s="19"/>
      <c r="F3188" s="19"/>
      <c r="G3188" s="19"/>
      <c r="H3188" s="82"/>
    </row>
    <row r="3189" spans="1:8" s="28" customFormat="1" x14ac:dyDescent="0.25">
      <c r="A3189" s="29"/>
      <c r="B3189" s="15"/>
      <c r="C3189" s="19"/>
      <c r="D3189" s="19"/>
      <c r="E3189" s="19"/>
      <c r="F3189" s="19"/>
      <c r="G3189" s="19"/>
      <c r="H3189" s="82"/>
    </row>
    <row r="3190" spans="1:8" s="28" customFormat="1" x14ac:dyDescent="0.25">
      <c r="A3190" s="29"/>
      <c r="B3190" s="15"/>
      <c r="C3190" s="19"/>
      <c r="D3190" s="19"/>
      <c r="E3190" s="19"/>
      <c r="F3190" s="19"/>
      <c r="G3190" s="19"/>
      <c r="H3190" s="82"/>
    </row>
    <row r="3191" spans="1:8" s="28" customFormat="1" x14ac:dyDescent="0.25">
      <c r="A3191" s="29"/>
      <c r="B3191" s="15"/>
      <c r="C3191" s="19"/>
      <c r="D3191" s="19"/>
      <c r="E3191" s="19"/>
      <c r="F3191" s="19"/>
      <c r="G3191" s="19"/>
      <c r="H3191" s="82"/>
    </row>
    <row r="3192" spans="1:8" s="28" customFormat="1" x14ac:dyDescent="0.25">
      <c r="A3192" s="29"/>
      <c r="B3192" s="15"/>
      <c r="C3192" s="19"/>
      <c r="D3192" s="19"/>
      <c r="E3192" s="19"/>
      <c r="F3192" s="19"/>
      <c r="G3192" s="19"/>
      <c r="H3192" s="82"/>
    </row>
    <row r="3193" spans="1:8" s="28" customFormat="1" x14ac:dyDescent="0.25">
      <c r="A3193" s="29"/>
      <c r="B3193" s="15"/>
      <c r="C3193" s="19"/>
      <c r="D3193" s="19"/>
      <c r="E3193" s="19"/>
      <c r="F3193" s="19"/>
      <c r="G3193" s="19"/>
      <c r="H3193" s="82"/>
    </row>
    <row r="3194" spans="1:8" s="28" customFormat="1" x14ac:dyDescent="0.25">
      <c r="A3194" s="29"/>
      <c r="B3194" s="15"/>
      <c r="C3194" s="19"/>
      <c r="D3194" s="19"/>
      <c r="E3194" s="19"/>
      <c r="F3194" s="19"/>
      <c r="G3194" s="19"/>
      <c r="H3194" s="82"/>
    </row>
    <row r="3195" spans="1:8" s="28" customFormat="1" x14ac:dyDescent="0.25">
      <c r="A3195" s="29"/>
      <c r="B3195" s="15"/>
      <c r="C3195" s="19"/>
      <c r="D3195" s="19"/>
      <c r="E3195" s="19"/>
      <c r="F3195" s="19"/>
      <c r="G3195" s="19"/>
      <c r="H3195" s="82"/>
    </row>
    <row r="3196" spans="1:8" s="28" customFormat="1" x14ac:dyDescent="0.25">
      <c r="A3196" s="29"/>
      <c r="B3196" s="15"/>
      <c r="C3196" s="19"/>
      <c r="D3196" s="19"/>
      <c r="E3196" s="19"/>
      <c r="F3196" s="19"/>
      <c r="G3196" s="19"/>
      <c r="H3196" s="82"/>
    </row>
    <row r="3197" spans="1:8" s="28" customFormat="1" x14ac:dyDescent="0.25">
      <c r="A3197" s="29"/>
      <c r="B3197" s="15"/>
      <c r="C3197" s="19"/>
      <c r="D3197" s="19"/>
      <c r="E3197" s="19"/>
      <c r="F3197" s="19"/>
      <c r="G3197" s="19"/>
      <c r="H3197" s="82"/>
    </row>
    <row r="3198" spans="1:8" s="28" customFormat="1" x14ac:dyDescent="0.25">
      <c r="A3198" s="29"/>
      <c r="B3198" s="15"/>
      <c r="C3198" s="19"/>
      <c r="D3198" s="19"/>
      <c r="E3198" s="19"/>
      <c r="F3198" s="19"/>
      <c r="G3198" s="19"/>
      <c r="H3198" s="82"/>
    </row>
    <row r="3199" spans="1:8" s="28" customFormat="1" x14ac:dyDescent="0.25">
      <c r="A3199" s="29"/>
      <c r="B3199" s="15"/>
      <c r="C3199" s="19"/>
      <c r="D3199" s="19"/>
      <c r="E3199" s="19"/>
      <c r="F3199" s="19"/>
      <c r="G3199" s="19"/>
      <c r="H3199" s="82"/>
    </row>
    <row r="3200" spans="1:8" s="28" customFormat="1" x14ac:dyDescent="0.25">
      <c r="A3200" s="29"/>
      <c r="B3200" s="15"/>
      <c r="C3200" s="19"/>
      <c r="D3200" s="19"/>
      <c r="E3200" s="19"/>
      <c r="F3200" s="19"/>
      <c r="G3200" s="19"/>
      <c r="H3200" s="82"/>
    </row>
    <row r="3201" spans="1:8" s="28" customFormat="1" x14ac:dyDescent="0.25">
      <c r="A3201" s="29"/>
      <c r="B3201" s="15"/>
      <c r="C3201" s="19"/>
      <c r="D3201" s="19"/>
      <c r="E3201" s="19"/>
      <c r="F3201" s="19"/>
      <c r="G3201" s="19"/>
      <c r="H3201" s="82"/>
    </row>
    <row r="3202" spans="1:8" s="28" customFormat="1" x14ac:dyDescent="0.25">
      <c r="A3202" s="29"/>
      <c r="B3202" s="15"/>
      <c r="C3202" s="19"/>
      <c r="D3202" s="19"/>
      <c r="E3202" s="19"/>
      <c r="F3202" s="19"/>
      <c r="G3202" s="19"/>
      <c r="H3202" s="82"/>
    </row>
    <row r="3203" spans="1:8" s="28" customFormat="1" x14ac:dyDescent="0.25">
      <c r="A3203" s="29"/>
      <c r="B3203" s="15"/>
      <c r="C3203" s="19"/>
      <c r="D3203" s="19"/>
      <c r="E3203" s="19"/>
      <c r="F3203" s="19"/>
      <c r="G3203" s="19"/>
      <c r="H3203" s="82"/>
    </row>
    <row r="3204" spans="1:8" s="28" customFormat="1" x14ac:dyDescent="0.25">
      <c r="A3204" s="29"/>
      <c r="B3204" s="15"/>
      <c r="C3204" s="19"/>
      <c r="D3204" s="19"/>
      <c r="E3204" s="19"/>
      <c r="F3204" s="19"/>
      <c r="G3204" s="19"/>
      <c r="H3204" s="82"/>
    </row>
    <row r="3205" spans="1:8" s="28" customFormat="1" x14ac:dyDescent="0.25">
      <c r="A3205" s="29"/>
      <c r="B3205" s="15"/>
      <c r="C3205" s="19"/>
      <c r="D3205" s="19"/>
      <c r="E3205" s="19"/>
      <c r="F3205" s="19"/>
      <c r="G3205" s="19"/>
      <c r="H3205" s="82"/>
    </row>
    <row r="3206" spans="1:8" s="28" customFormat="1" x14ac:dyDescent="0.25">
      <c r="A3206" s="29"/>
      <c r="B3206" s="15"/>
      <c r="C3206" s="19"/>
      <c r="D3206" s="19"/>
      <c r="E3206" s="19"/>
      <c r="F3206" s="19"/>
      <c r="G3206" s="19"/>
      <c r="H3206" s="82"/>
    </row>
    <row r="3207" spans="1:8" s="28" customFormat="1" x14ac:dyDescent="0.25">
      <c r="A3207" s="29"/>
      <c r="B3207" s="15"/>
      <c r="C3207" s="19"/>
      <c r="D3207" s="19"/>
      <c r="E3207" s="19"/>
      <c r="F3207" s="19"/>
      <c r="G3207" s="19"/>
      <c r="H3207" s="82"/>
    </row>
    <row r="3208" spans="1:8" s="28" customFormat="1" x14ac:dyDescent="0.25">
      <c r="A3208" s="29"/>
      <c r="B3208" s="15"/>
      <c r="C3208" s="19"/>
      <c r="D3208" s="19"/>
      <c r="E3208" s="19"/>
      <c r="F3208" s="19"/>
      <c r="G3208" s="19"/>
      <c r="H3208" s="82"/>
    </row>
    <row r="3209" spans="1:8" s="28" customFormat="1" x14ac:dyDescent="0.25">
      <c r="A3209" s="29"/>
      <c r="B3209" s="15"/>
      <c r="C3209" s="19"/>
      <c r="D3209" s="19"/>
      <c r="E3209" s="19"/>
      <c r="F3209" s="19"/>
      <c r="G3209" s="19"/>
      <c r="H3209" s="82"/>
    </row>
    <row r="3210" spans="1:8" s="28" customFormat="1" x14ac:dyDescent="0.25">
      <c r="A3210" s="29"/>
      <c r="B3210" s="15"/>
      <c r="C3210" s="19"/>
      <c r="D3210" s="19"/>
      <c r="E3210" s="19"/>
      <c r="F3210" s="19"/>
      <c r="G3210" s="19"/>
      <c r="H3210" s="82"/>
    </row>
    <row r="3211" spans="1:8" s="28" customFormat="1" x14ac:dyDescent="0.25">
      <c r="A3211" s="29"/>
      <c r="B3211" s="15"/>
      <c r="C3211" s="19"/>
      <c r="D3211" s="19"/>
      <c r="E3211" s="19"/>
      <c r="F3211" s="19"/>
      <c r="G3211" s="19"/>
      <c r="H3211" s="82"/>
    </row>
    <row r="3212" spans="1:8" s="28" customFormat="1" x14ac:dyDescent="0.25">
      <c r="A3212" s="29"/>
      <c r="B3212" s="15"/>
      <c r="C3212" s="19"/>
      <c r="D3212" s="19"/>
      <c r="E3212" s="19"/>
      <c r="F3212" s="19"/>
      <c r="G3212" s="19"/>
      <c r="H3212" s="82"/>
    </row>
    <row r="3213" spans="1:8" s="28" customFormat="1" x14ac:dyDescent="0.25">
      <c r="A3213" s="29"/>
      <c r="B3213" s="15"/>
      <c r="C3213" s="19"/>
      <c r="D3213" s="19"/>
      <c r="E3213" s="19"/>
      <c r="F3213" s="19"/>
      <c r="G3213" s="19"/>
      <c r="H3213" s="82"/>
    </row>
    <row r="3214" spans="1:8" s="28" customFormat="1" x14ac:dyDescent="0.25">
      <c r="A3214" s="29"/>
      <c r="B3214" s="15"/>
      <c r="C3214" s="19"/>
      <c r="D3214" s="19"/>
      <c r="E3214" s="19"/>
      <c r="F3214" s="19"/>
      <c r="G3214" s="19"/>
      <c r="H3214" s="82"/>
    </row>
    <row r="3215" spans="1:8" s="28" customFormat="1" x14ac:dyDescent="0.25">
      <c r="A3215" s="29"/>
      <c r="B3215" s="15"/>
      <c r="C3215" s="19"/>
      <c r="D3215" s="19"/>
      <c r="E3215" s="19"/>
      <c r="F3215" s="19"/>
      <c r="G3215" s="19"/>
      <c r="H3215" s="82"/>
    </row>
    <row r="3216" spans="1:8" s="28" customFormat="1" x14ac:dyDescent="0.25">
      <c r="A3216" s="29"/>
      <c r="B3216" s="15"/>
      <c r="C3216" s="19"/>
      <c r="D3216" s="19"/>
      <c r="E3216" s="19"/>
      <c r="F3216" s="19"/>
      <c r="G3216" s="19"/>
      <c r="H3216" s="82"/>
    </row>
    <row r="3217" spans="1:8" s="28" customFormat="1" x14ac:dyDescent="0.25">
      <c r="A3217" s="29"/>
      <c r="B3217" s="15"/>
      <c r="C3217" s="19"/>
      <c r="D3217" s="19"/>
      <c r="E3217" s="19"/>
      <c r="F3217" s="19"/>
      <c r="G3217" s="19"/>
      <c r="H3217" s="82"/>
    </row>
    <row r="3218" spans="1:8" s="28" customFormat="1" x14ac:dyDescent="0.25">
      <c r="A3218" s="29"/>
      <c r="B3218" s="15"/>
      <c r="C3218" s="19"/>
      <c r="D3218" s="19"/>
      <c r="E3218" s="19"/>
      <c r="F3218" s="19"/>
      <c r="G3218" s="19"/>
      <c r="H3218" s="82"/>
    </row>
    <row r="3219" spans="1:8" s="28" customFormat="1" x14ac:dyDescent="0.25">
      <c r="A3219" s="29"/>
      <c r="B3219" s="15"/>
      <c r="C3219" s="19"/>
      <c r="D3219" s="19"/>
      <c r="E3219" s="19"/>
      <c r="F3219" s="19"/>
      <c r="G3219" s="19"/>
      <c r="H3219" s="82"/>
    </row>
    <row r="3220" spans="1:8" s="28" customFormat="1" x14ac:dyDescent="0.25">
      <c r="A3220" s="29"/>
      <c r="B3220" s="15"/>
      <c r="C3220" s="19"/>
      <c r="D3220" s="19"/>
      <c r="E3220" s="19"/>
      <c r="F3220" s="19"/>
      <c r="G3220" s="19"/>
      <c r="H3220" s="82"/>
    </row>
    <row r="3221" spans="1:8" s="28" customFormat="1" x14ac:dyDescent="0.25">
      <c r="A3221" s="29"/>
      <c r="B3221" s="15"/>
      <c r="C3221" s="19"/>
      <c r="D3221" s="19"/>
      <c r="E3221" s="19"/>
      <c r="F3221" s="19"/>
      <c r="G3221" s="19"/>
      <c r="H3221" s="82"/>
    </row>
    <row r="3222" spans="1:8" s="28" customFormat="1" x14ac:dyDescent="0.25">
      <c r="A3222" s="29"/>
      <c r="B3222" s="15"/>
      <c r="C3222" s="19"/>
      <c r="D3222" s="19"/>
      <c r="E3222" s="19"/>
      <c r="F3222" s="19"/>
      <c r="G3222" s="19"/>
      <c r="H3222" s="82"/>
    </row>
    <row r="3223" spans="1:8" s="28" customFormat="1" x14ac:dyDescent="0.25">
      <c r="A3223" s="29"/>
      <c r="B3223" s="15"/>
      <c r="C3223" s="19"/>
      <c r="D3223" s="19"/>
      <c r="E3223" s="19"/>
      <c r="F3223" s="19"/>
      <c r="G3223" s="19"/>
      <c r="H3223" s="82"/>
    </row>
    <row r="3224" spans="1:8" s="28" customFormat="1" x14ac:dyDescent="0.25">
      <c r="A3224" s="29"/>
      <c r="B3224" s="15"/>
      <c r="C3224" s="19"/>
      <c r="D3224" s="19"/>
      <c r="E3224" s="19"/>
      <c r="F3224" s="19"/>
      <c r="G3224" s="19"/>
      <c r="H3224" s="82"/>
    </row>
    <row r="3225" spans="1:8" s="28" customFormat="1" x14ac:dyDescent="0.25">
      <c r="A3225" s="29"/>
      <c r="B3225" s="15"/>
      <c r="C3225" s="19"/>
      <c r="D3225" s="19"/>
      <c r="E3225" s="19"/>
      <c r="F3225" s="19"/>
      <c r="G3225" s="19"/>
      <c r="H3225" s="82"/>
    </row>
    <row r="3226" spans="1:8" s="28" customFormat="1" x14ac:dyDescent="0.25">
      <c r="A3226" s="29"/>
      <c r="B3226" s="15"/>
      <c r="C3226" s="19"/>
      <c r="D3226" s="19"/>
      <c r="E3226" s="19"/>
      <c r="F3226" s="19"/>
      <c r="G3226" s="19"/>
      <c r="H3226" s="82"/>
    </row>
    <row r="3227" spans="1:8" s="28" customFormat="1" x14ac:dyDescent="0.25">
      <c r="A3227" s="29"/>
      <c r="B3227" s="15"/>
      <c r="C3227" s="19"/>
      <c r="D3227" s="19"/>
      <c r="E3227" s="19"/>
      <c r="F3227" s="19"/>
      <c r="G3227" s="19"/>
      <c r="H3227" s="82"/>
    </row>
    <row r="3228" spans="1:8" s="28" customFormat="1" x14ac:dyDescent="0.25">
      <c r="A3228" s="29"/>
      <c r="B3228" s="15"/>
      <c r="C3228" s="19"/>
      <c r="D3228" s="19"/>
      <c r="E3228" s="19"/>
      <c r="F3228" s="19"/>
      <c r="G3228" s="19"/>
      <c r="H3228" s="82"/>
    </row>
    <row r="3229" spans="1:8" s="28" customFormat="1" x14ac:dyDescent="0.25">
      <c r="A3229" s="29"/>
      <c r="B3229" s="15"/>
      <c r="C3229" s="19"/>
      <c r="D3229" s="19"/>
      <c r="E3229" s="19"/>
      <c r="F3229" s="19"/>
      <c r="G3229" s="19"/>
      <c r="H3229" s="82"/>
    </row>
    <row r="3230" spans="1:8" s="28" customFormat="1" x14ac:dyDescent="0.25">
      <c r="A3230" s="29"/>
      <c r="B3230" s="15"/>
      <c r="C3230" s="19"/>
      <c r="D3230" s="19"/>
      <c r="E3230" s="19"/>
      <c r="F3230" s="19"/>
      <c r="G3230" s="19"/>
      <c r="H3230" s="82"/>
    </row>
    <row r="3231" spans="1:8" s="28" customFormat="1" x14ac:dyDescent="0.25">
      <c r="A3231" s="29"/>
      <c r="B3231" s="15"/>
      <c r="C3231" s="19"/>
      <c r="D3231" s="19"/>
      <c r="E3231" s="19"/>
      <c r="F3231" s="19"/>
      <c r="G3231" s="19"/>
      <c r="H3231" s="82"/>
    </row>
    <row r="3232" spans="1:8" s="28" customFormat="1" x14ac:dyDescent="0.25">
      <c r="A3232" s="29"/>
      <c r="B3232" s="15"/>
      <c r="C3232" s="19"/>
      <c r="D3232" s="19"/>
      <c r="E3232" s="19"/>
      <c r="F3232" s="19"/>
      <c r="G3232" s="19"/>
      <c r="H3232" s="82"/>
    </row>
    <row r="3233" spans="1:8" s="28" customFormat="1" x14ac:dyDescent="0.25">
      <c r="A3233" s="29"/>
      <c r="B3233" s="15"/>
      <c r="C3233" s="19"/>
      <c r="D3233" s="19"/>
      <c r="E3233" s="19"/>
      <c r="F3233" s="19"/>
      <c r="G3233" s="19"/>
      <c r="H3233" s="82"/>
    </row>
    <row r="3234" spans="1:8" s="28" customFormat="1" x14ac:dyDescent="0.25">
      <c r="A3234" s="29"/>
      <c r="B3234" s="15"/>
      <c r="C3234" s="19"/>
      <c r="D3234" s="19"/>
      <c r="E3234" s="19"/>
      <c r="F3234" s="19"/>
      <c r="G3234" s="19"/>
      <c r="H3234" s="82"/>
    </row>
    <row r="3235" spans="1:8" s="28" customFormat="1" x14ac:dyDescent="0.25">
      <c r="A3235" s="29"/>
      <c r="B3235" s="15"/>
      <c r="C3235" s="19"/>
      <c r="D3235" s="19"/>
      <c r="E3235" s="19"/>
      <c r="F3235" s="19"/>
      <c r="G3235" s="19"/>
      <c r="H3235" s="82"/>
    </row>
    <row r="3236" spans="1:8" s="28" customFormat="1" x14ac:dyDescent="0.25">
      <c r="A3236" s="29"/>
      <c r="B3236" s="15"/>
      <c r="C3236" s="19"/>
      <c r="D3236" s="19"/>
      <c r="E3236" s="19"/>
      <c r="F3236" s="19"/>
      <c r="G3236" s="19"/>
      <c r="H3236" s="82"/>
    </row>
    <row r="3237" spans="1:8" s="28" customFormat="1" x14ac:dyDescent="0.25">
      <c r="A3237" s="29"/>
      <c r="B3237" s="15"/>
      <c r="C3237" s="19"/>
      <c r="D3237" s="19"/>
      <c r="E3237" s="19"/>
      <c r="F3237" s="19"/>
      <c r="G3237" s="19"/>
      <c r="H3237" s="82"/>
    </row>
    <row r="3238" spans="1:8" s="28" customFormat="1" x14ac:dyDescent="0.25">
      <c r="A3238" s="29"/>
      <c r="B3238" s="15"/>
      <c r="C3238" s="19"/>
      <c r="D3238" s="19"/>
      <c r="E3238" s="19"/>
      <c r="F3238" s="19"/>
      <c r="G3238" s="19"/>
      <c r="H3238" s="82"/>
    </row>
    <row r="3239" spans="1:8" s="28" customFormat="1" x14ac:dyDescent="0.25">
      <c r="A3239" s="29"/>
      <c r="B3239" s="15"/>
      <c r="C3239" s="19"/>
      <c r="D3239" s="19"/>
      <c r="E3239" s="19"/>
      <c r="F3239" s="19"/>
      <c r="G3239" s="19"/>
      <c r="H3239" s="82"/>
    </row>
    <row r="3240" spans="1:8" s="28" customFormat="1" x14ac:dyDescent="0.25">
      <c r="A3240" s="29"/>
      <c r="B3240" s="15"/>
      <c r="C3240" s="19"/>
      <c r="D3240" s="19"/>
      <c r="E3240" s="19"/>
      <c r="F3240" s="19"/>
      <c r="G3240" s="19"/>
      <c r="H3240" s="82"/>
    </row>
    <row r="3241" spans="1:8" s="28" customFormat="1" x14ac:dyDescent="0.25">
      <c r="A3241" s="29"/>
      <c r="B3241" s="15"/>
      <c r="C3241" s="19"/>
      <c r="D3241" s="19"/>
      <c r="E3241" s="19"/>
      <c r="F3241" s="19"/>
      <c r="G3241" s="19"/>
      <c r="H3241" s="82"/>
    </row>
    <row r="3242" spans="1:8" s="28" customFormat="1" x14ac:dyDescent="0.25">
      <c r="A3242" s="29"/>
      <c r="B3242" s="15"/>
      <c r="C3242" s="19"/>
      <c r="D3242" s="19"/>
      <c r="E3242" s="19"/>
      <c r="F3242" s="19"/>
      <c r="G3242" s="19"/>
      <c r="H3242" s="82"/>
    </row>
    <row r="3243" spans="1:8" s="28" customFormat="1" x14ac:dyDescent="0.25">
      <c r="A3243" s="29"/>
      <c r="B3243" s="15"/>
      <c r="C3243" s="19"/>
      <c r="D3243" s="19"/>
      <c r="E3243" s="19"/>
      <c r="F3243" s="19"/>
      <c r="G3243" s="19"/>
      <c r="H3243" s="82"/>
    </row>
    <row r="3244" spans="1:8" s="28" customFormat="1" x14ac:dyDescent="0.25">
      <c r="A3244" s="29"/>
      <c r="B3244" s="15"/>
      <c r="C3244" s="19"/>
      <c r="D3244" s="19"/>
      <c r="E3244" s="19"/>
      <c r="F3244" s="19"/>
      <c r="G3244" s="19"/>
      <c r="H3244" s="82"/>
    </row>
    <row r="3245" spans="1:8" s="28" customFormat="1" x14ac:dyDescent="0.25">
      <c r="A3245" s="29"/>
      <c r="B3245" s="15"/>
      <c r="C3245" s="19"/>
      <c r="D3245" s="19"/>
      <c r="E3245" s="19"/>
      <c r="F3245" s="19"/>
      <c r="G3245" s="19"/>
      <c r="H3245" s="82"/>
    </row>
    <row r="3246" spans="1:8" s="28" customFormat="1" x14ac:dyDescent="0.25">
      <c r="A3246" s="29"/>
      <c r="B3246" s="15"/>
      <c r="C3246" s="19"/>
      <c r="D3246" s="19"/>
      <c r="E3246" s="19"/>
      <c r="F3246" s="19"/>
      <c r="G3246" s="19"/>
      <c r="H3246" s="82"/>
    </row>
    <row r="3247" spans="1:8" s="28" customFormat="1" x14ac:dyDescent="0.25">
      <c r="A3247" s="29"/>
      <c r="B3247" s="15"/>
      <c r="C3247" s="19"/>
      <c r="D3247" s="19"/>
      <c r="E3247" s="19"/>
      <c r="F3247" s="19"/>
      <c r="G3247" s="19"/>
      <c r="H3247" s="82"/>
    </row>
    <row r="3248" spans="1:8" s="28" customFormat="1" x14ac:dyDescent="0.25">
      <c r="A3248" s="29"/>
      <c r="B3248" s="15"/>
      <c r="C3248" s="19"/>
      <c r="D3248" s="19"/>
      <c r="E3248" s="19"/>
      <c r="F3248" s="19"/>
      <c r="G3248" s="19"/>
      <c r="H3248" s="82"/>
    </row>
    <row r="3249" spans="1:8" s="28" customFormat="1" x14ac:dyDescent="0.25">
      <c r="A3249" s="29"/>
      <c r="B3249" s="15"/>
      <c r="C3249" s="19"/>
      <c r="D3249" s="19"/>
      <c r="E3249" s="19"/>
      <c r="F3249" s="19"/>
      <c r="G3249" s="19"/>
      <c r="H3249" s="82"/>
    </row>
    <row r="3250" spans="1:8" s="28" customFormat="1" x14ac:dyDescent="0.25">
      <c r="A3250" s="29"/>
      <c r="B3250" s="15"/>
      <c r="C3250" s="19"/>
      <c r="D3250" s="19"/>
      <c r="E3250" s="19"/>
      <c r="F3250" s="19"/>
      <c r="G3250" s="19"/>
      <c r="H3250" s="82"/>
    </row>
    <row r="3251" spans="1:8" s="28" customFormat="1" x14ac:dyDescent="0.25">
      <c r="A3251" s="29"/>
      <c r="B3251" s="15"/>
      <c r="C3251" s="19"/>
      <c r="D3251" s="19"/>
      <c r="E3251" s="19"/>
      <c r="F3251" s="19"/>
      <c r="G3251" s="19"/>
      <c r="H3251" s="82"/>
    </row>
    <row r="3252" spans="1:8" s="28" customFormat="1" x14ac:dyDescent="0.25">
      <c r="A3252" s="29"/>
      <c r="B3252" s="15"/>
      <c r="C3252" s="19"/>
      <c r="D3252" s="19"/>
      <c r="E3252" s="19"/>
      <c r="F3252" s="19"/>
      <c r="G3252" s="19"/>
      <c r="H3252" s="82"/>
    </row>
    <row r="3253" spans="1:8" s="28" customFormat="1" x14ac:dyDescent="0.25">
      <c r="A3253" s="29"/>
      <c r="B3253" s="15"/>
      <c r="C3253" s="19"/>
      <c r="D3253" s="19"/>
      <c r="E3253" s="19"/>
      <c r="F3253" s="19"/>
      <c r="G3253" s="19"/>
      <c r="H3253" s="82"/>
    </row>
    <row r="3254" spans="1:8" s="28" customFormat="1" x14ac:dyDescent="0.25">
      <c r="A3254" s="29"/>
      <c r="B3254" s="15"/>
      <c r="C3254" s="19"/>
      <c r="D3254" s="19"/>
      <c r="E3254" s="19"/>
      <c r="F3254" s="19"/>
      <c r="G3254" s="19"/>
      <c r="H3254" s="82"/>
    </row>
    <row r="3255" spans="1:8" s="28" customFormat="1" x14ac:dyDescent="0.25">
      <c r="A3255" s="29"/>
      <c r="B3255" s="15"/>
      <c r="C3255" s="19"/>
      <c r="D3255" s="19"/>
      <c r="E3255" s="19"/>
      <c r="F3255" s="19"/>
      <c r="G3255" s="19"/>
      <c r="H3255" s="82"/>
    </row>
    <row r="3256" spans="1:8" s="28" customFormat="1" x14ac:dyDescent="0.25">
      <c r="A3256" s="29"/>
      <c r="B3256" s="15"/>
      <c r="C3256" s="19"/>
      <c r="D3256" s="19"/>
      <c r="E3256" s="19"/>
      <c r="F3256" s="19"/>
      <c r="G3256" s="19"/>
      <c r="H3256" s="82"/>
    </row>
    <row r="3257" spans="1:8" s="28" customFormat="1" x14ac:dyDescent="0.25">
      <c r="A3257" s="29"/>
      <c r="B3257" s="15"/>
      <c r="C3257" s="19"/>
      <c r="D3257" s="19"/>
      <c r="E3257" s="19"/>
      <c r="F3257" s="19"/>
      <c r="G3257" s="19"/>
      <c r="H3257" s="82"/>
    </row>
    <row r="3258" spans="1:8" s="28" customFormat="1" x14ac:dyDescent="0.25">
      <c r="A3258" s="29"/>
      <c r="B3258" s="15"/>
      <c r="C3258" s="19"/>
      <c r="D3258" s="19"/>
      <c r="E3258" s="19"/>
      <c r="F3258" s="19"/>
      <c r="G3258" s="19"/>
      <c r="H3258" s="82"/>
    </row>
    <row r="3259" spans="1:8" s="28" customFormat="1" x14ac:dyDescent="0.25">
      <c r="A3259" s="29"/>
      <c r="B3259" s="15"/>
      <c r="C3259" s="19"/>
      <c r="D3259" s="19"/>
      <c r="E3259" s="19"/>
      <c r="F3259" s="19"/>
      <c r="G3259" s="19"/>
      <c r="H3259" s="82"/>
    </row>
    <row r="3260" spans="1:8" s="28" customFormat="1" x14ac:dyDescent="0.25">
      <c r="A3260" s="29"/>
      <c r="B3260" s="15"/>
      <c r="C3260" s="19"/>
      <c r="D3260" s="19"/>
      <c r="E3260" s="19"/>
      <c r="F3260" s="19"/>
      <c r="G3260" s="19"/>
      <c r="H3260" s="82"/>
    </row>
    <row r="3261" spans="1:8" s="28" customFormat="1" x14ac:dyDescent="0.25">
      <c r="A3261" s="29"/>
      <c r="B3261" s="15"/>
      <c r="C3261" s="19"/>
      <c r="D3261" s="19"/>
      <c r="E3261" s="19"/>
      <c r="F3261" s="19"/>
      <c r="G3261" s="19"/>
      <c r="H3261" s="82"/>
    </row>
    <row r="3262" spans="1:8" s="28" customFormat="1" x14ac:dyDescent="0.25">
      <c r="A3262" s="29"/>
      <c r="B3262" s="15"/>
      <c r="C3262" s="19"/>
      <c r="D3262" s="19"/>
      <c r="E3262" s="19"/>
      <c r="F3262" s="19"/>
      <c r="G3262" s="19"/>
      <c r="H3262" s="82"/>
    </row>
    <row r="3263" spans="1:8" s="28" customFormat="1" x14ac:dyDescent="0.25">
      <c r="A3263" s="29"/>
      <c r="B3263" s="15"/>
      <c r="C3263" s="19"/>
      <c r="D3263" s="19"/>
      <c r="E3263" s="19"/>
      <c r="F3263" s="19"/>
      <c r="G3263" s="19"/>
      <c r="H3263" s="82"/>
    </row>
    <row r="3264" spans="1:8" s="28" customFormat="1" x14ac:dyDescent="0.25">
      <c r="A3264" s="29"/>
      <c r="B3264" s="15"/>
      <c r="C3264" s="19"/>
      <c r="D3264" s="19"/>
      <c r="E3264" s="19"/>
      <c r="F3264" s="19"/>
      <c r="G3264" s="19"/>
      <c r="H3264" s="82"/>
    </row>
    <row r="3265" spans="1:8" s="28" customFormat="1" x14ac:dyDescent="0.25">
      <c r="A3265" s="29"/>
      <c r="B3265" s="15"/>
      <c r="C3265" s="19"/>
      <c r="D3265" s="19"/>
      <c r="E3265" s="19"/>
      <c r="F3265" s="19"/>
      <c r="G3265" s="19"/>
      <c r="H3265" s="82"/>
    </row>
    <row r="3266" spans="1:8" s="28" customFormat="1" x14ac:dyDescent="0.25">
      <c r="A3266" s="29"/>
      <c r="B3266" s="15"/>
      <c r="C3266" s="19"/>
      <c r="D3266" s="19"/>
      <c r="E3266" s="19"/>
      <c r="F3266" s="19"/>
      <c r="G3266" s="19"/>
      <c r="H3266" s="82"/>
    </row>
    <row r="3267" spans="1:8" s="28" customFormat="1" x14ac:dyDescent="0.25">
      <c r="A3267" s="29"/>
      <c r="B3267" s="15"/>
      <c r="C3267" s="19"/>
      <c r="D3267" s="19"/>
      <c r="E3267" s="19"/>
      <c r="F3267" s="19"/>
      <c r="G3267" s="19"/>
      <c r="H3267" s="82"/>
    </row>
    <row r="3268" spans="1:8" s="28" customFormat="1" x14ac:dyDescent="0.25">
      <c r="A3268" s="29"/>
      <c r="B3268" s="15"/>
      <c r="C3268" s="19"/>
      <c r="D3268" s="19"/>
      <c r="E3268" s="19"/>
      <c r="F3268" s="19"/>
      <c r="G3268" s="19"/>
      <c r="H3268" s="82"/>
    </row>
    <row r="3269" spans="1:8" s="28" customFormat="1" x14ac:dyDescent="0.25">
      <c r="A3269" s="29"/>
      <c r="B3269" s="15"/>
      <c r="C3269" s="19"/>
      <c r="D3269" s="19"/>
      <c r="E3269" s="19"/>
      <c r="F3269" s="19"/>
      <c r="G3269" s="19"/>
      <c r="H3269" s="82"/>
    </row>
    <row r="3270" spans="1:8" s="28" customFormat="1" x14ac:dyDescent="0.25">
      <c r="A3270" s="29"/>
      <c r="B3270" s="15"/>
      <c r="C3270" s="19"/>
      <c r="D3270" s="19"/>
      <c r="E3270" s="19"/>
      <c r="F3270" s="19"/>
      <c r="G3270" s="19"/>
      <c r="H3270" s="82"/>
    </row>
    <row r="3271" spans="1:8" s="28" customFormat="1" x14ac:dyDescent="0.25">
      <c r="A3271" s="29"/>
      <c r="B3271" s="15"/>
      <c r="C3271" s="19"/>
      <c r="D3271" s="19"/>
      <c r="E3271" s="19"/>
      <c r="F3271" s="19"/>
      <c r="G3271" s="19"/>
      <c r="H3271" s="82"/>
    </row>
    <row r="3272" spans="1:8" s="28" customFormat="1" x14ac:dyDescent="0.25">
      <c r="A3272" s="29"/>
      <c r="B3272" s="15"/>
      <c r="C3272" s="19"/>
      <c r="D3272" s="19"/>
      <c r="E3272" s="19"/>
      <c r="F3272" s="19"/>
      <c r="G3272" s="19"/>
      <c r="H3272" s="82"/>
    </row>
    <row r="3273" spans="1:8" s="28" customFormat="1" x14ac:dyDescent="0.25">
      <c r="A3273" s="29"/>
      <c r="B3273" s="15"/>
      <c r="C3273" s="19"/>
      <c r="D3273" s="19"/>
      <c r="E3273" s="19"/>
      <c r="F3273" s="19"/>
      <c r="G3273" s="19"/>
      <c r="H3273" s="82"/>
    </row>
    <row r="3274" spans="1:8" s="28" customFormat="1" x14ac:dyDescent="0.25">
      <c r="A3274" s="29"/>
      <c r="B3274" s="15"/>
      <c r="C3274" s="19"/>
      <c r="D3274" s="19"/>
      <c r="E3274" s="19"/>
      <c r="F3274" s="19"/>
      <c r="G3274" s="19"/>
      <c r="H3274" s="82"/>
    </row>
    <row r="3275" spans="1:8" s="28" customFormat="1" x14ac:dyDescent="0.25">
      <c r="A3275" s="29"/>
      <c r="B3275" s="15"/>
      <c r="C3275" s="19"/>
      <c r="D3275" s="19"/>
      <c r="E3275" s="19"/>
      <c r="F3275" s="19"/>
      <c r="G3275" s="19"/>
      <c r="H3275" s="82"/>
    </row>
    <row r="3276" spans="1:8" s="28" customFormat="1" x14ac:dyDescent="0.25">
      <c r="A3276" s="29"/>
      <c r="B3276" s="15"/>
      <c r="C3276" s="19"/>
      <c r="D3276" s="19"/>
      <c r="E3276" s="19"/>
      <c r="F3276" s="19"/>
      <c r="G3276" s="19"/>
      <c r="H3276" s="82"/>
    </row>
    <row r="3277" spans="1:8" s="28" customFormat="1" x14ac:dyDescent="0.25">
      <c r="A3277" s="29"/>
      <c r="B3277" s="15"/>
      <c r="C3277" s="19"/>
      <c r="D3277" s="19"/>
      <c r="E3277" s="19"/>
      <c r="F3277" s="19"/>
      <c r="G3277" s="19"/>
      <c r="H3277" s="82"/>
    </row>
    <row r="3278" spans="1:8" s="28" customFormat="1" x14ac:dyDescent="0.25">
      <c r="A3278" s="29"/>
      <c r="B3278" s="15"/>
      <c r="C3278" s="19"/>
      <c r="D3278" s="19"/>
      <c r="E3278" s="19"/>
      <c r="F3278" s="19"/>
      <c r="G3278" s="19"/>
      <c r="H3278" s="82"/>
    </row>
    <row r="3279" spans="1:8" s="28" customFormat="1" x14ac:dyDescent="0.25">
      <c r="A3279" s="29"/>
      <c r="B3279" s="15"/>
      <c r="C3279" s="19"/>
      <c r="D3279" s="19"/>
      <c r="E3279" s="19"/>
      <c r="F3279" s="19"/>
      <c r="G3279" s="19"/>
      <c r="H3279" s="82"/>
    </row>
    <row r="3280" spans="1:8" s="28" customFormat="1" x14ac:dyDescent="0.25">
      <c r="A3280" s="29"/>
      <c r="B3280" s="15"/>
      <c r="C3280" s="19"/>
      <c r="D3280" s="19"/>
      <c r="E3280" s="19"/>
      <c r="F3280" s="19"/>
      <c r="G3280" s="19"/>
      <c r="H3280" s="82"/>
    </row>
    <row r="3281" spans="1:8" s="28" customFormat="1" x14ac:dyDescent="0.25">
      <c r="A3281" s="29"/>
      <c r="B3281" s="15"/>
      <c r="C3281" s="19"/>
      <c r="D3281" s="19"/>
      <c r="E3281" s="19"/>
      <c r="F3281" s="19"/>
      <c r="G3281" s="19"/>
      <c r="H3281" s="82"/>
    </row>
    <row r="3282" spans="1:8" s="28" customFormat="1" x14ac:dyDescent="0.25">
      <c r="A3282" s="29"/>
      <c r="B3282" s="15"/>
      <c r="C3282" s="19"/>
      <c r="D3282" s="19"/>
      <c r="E3282" s="19"/>
      <c r="F3282" s="19"/>
      <c r="G3282" s="19"/>
      <c r="H3282" s="82"/>
    </row>
    <row r="3283" spans="1:8" s="28" customFormat="1" x14ac:dyDescent="0.25">
      <c r="A3283" s="29"/>
      <c r="B3283" s="15"/>
      <c r="C3283" s="19"/>
      <c r="D3283" s="19"/>
      <c r="E3283" s="19"/>
      <c r="F3283" s="19"/>
      <c r="G3283" s="19"/>
      <c r="H3283" s="82"/>
    </row>
    <row r="3284" spans="1:8" s="28" customFormat="1" x14ac:dyDescent="0.25">
      <c r="A3284" s="29"/>
      <c r="B3284" s="15"/>
      <c r="C3284" s="19"/>
      <c r="D3284" s="19"/>
      <c r="E3284" s="19"/>
      <c r="F3284" s="19"/>
      <c r="G3284" s="19"/>
      <c r="H3284" s="82"/>
    </row>
    <row r="3285" spans="1:8" s="28" customFormat="1" x14ac:dyDescent="0.25">
      <c r="A3285" s="29"/>
      <c r="B3285" s="15"/>
      <c r="C3285" s="19"/>
      <c r="D3285" s="19"/>
      <c r="E3285" s="19"/>
      <c r="F3285" s="19"/>
      <c r="G3285" s="19"/>
      <c r="H3285" s="82"/>
    </row>
    <row r="3286" spans="1:8" s="28" customFormat="1" x14ac:dyDescent="0.25">
      <c r="A3286" s="29"/>
      <c r="B3286" s="15"/>
      <c r="C3286" s="19"/>
      <c r="D3286" s="19"/>
      <c r="E3286" s="19"/>
      <c r="F3286" s="19"/>
      <c r="G3286" s="19"/>
      <c r="H3286" s="82"/>
    </row>
    <row r="3287" spans="1:8" s="28" customFormat="1" x14ac:dyDescent="0.25">
      <c r="A3287" s="29"/>
      <c r="B3287" s="15"/>
      <c r="C3287" s="19"/>
      <c r="D3287" s="19"/>
      <c r="E3287" s="19"/>
      <c r="F3287" s="19"/>
      <c r="G3287" s="19"/>
      <c r="H3287" s="82"/>
    </row>
    <row r="3288" spans="1:8" s="28" customFormat="1" x14ac:dyDescent="0.25">
      <c r="A3288" s="29"/>
      <c r="B3288" s="15"/>
      <c r="C3288" s="19"/>
      <c r="D3288" s="19"/>
      <c r="E3288" s="19"/>
      <c r="F3288" s="19"/>
      <c r="G3288" s="19"/>
      <c r="H3288" s="82"/>
    </row>
    <row r="3289" spans="1:8" s="28" customFormat="1" x14ac:dyDescent="0.25">
      <c r="A3289" s="29"/>
      <c r="B3289" s="15"/>
      <c r="C3289" s="19"/>
      <c r="D3289" s="19"/>
      <c r="E3289" s="19"/>
      <c r="F3289" s="19"/>
      <c r="G3289" s="19"/>
      <c r="H3289" s="82"/>
    </row>
    <row r="3290" spans="1:8" s="28" customFormat="1" x14ac:dyDescent="0.25">
      <c r="A3290" s="29"/>
      <c r="B3290" s="15"/>
      <c r="C3290" s="19"/>
      <c r="D3290" s="19"/>
      <c r="E3290" s="19"/>
      <c r="F3290" s="19"/>
      <c r="G3290" s="19"/>
      <c r="H3290" s="82"/>
    </row>
    <row r="3291" spans="1:8" s="28" customFormat="1" x14ac:dyDescent="0.25">
      <c r="A3291" s="29"/>
      <c r="B3291" s="15"/>
      <c r="C3291" s="19"/>
      <c r="D3291" s="19"/>
      <c r="E3291" s="19"/>
      <c r="F3291" s="19"/>
      <c r="G3291" s="19"/>
      <c r="H3291" s="82"/>
    </row>
    <row r="3292" spans="1:8" s="28" customFormat="1" x14ac:dyDescent="0.25">
      <c r="A3292" s="29"/>
      <c r="B3292" s="15"/>
      <c r="C3292" s="19"/>
      <c r="D3292" s="19"/>
      <c r="E3292" s="19"/>
      <c r="F3292" s="19"/>
      <c r="G3292" s="19"/>
      <c r="H3292" s="82"/>
    </row>
    <row r="3293" spans="1:8" s="28" customFormat="1" x14ac:dyDescent="0.25">
      <c r="A3293" s="29"/>
      <c r="B3293" s="15"/>
      <c r="C3293" s="19"/>
      <c r="D3293" s="19"/>
      <c r="E3293" s="19"/>
      <c r="F3293" s="19"/>
      <c r="G3293" s="19"/>
      <c r="H3293" s="82"/>
    </row>
    <row r="3294" spans="1:8" s="28" customFormat="1" x14ac:dyDescent="0.25">
      <c r="A3294" s="29"/>
      <c r="B3294" s="15"/>
      <c r="C3294" s="19"/>
      <c r="D3294" s="19"/>
      <c r="E3294" s="19"/>
      <c r="F3294" s="19"/>
      <c r="G3294" s="19"/>
      <c r="H3294" s="82"/>
    </row>
    <row r="3295" spans="1:8" s="28" customFormat="1" x14ac:dyDescent="0.25">
      <c r="A3295" s="29"/>
      <c r="B3295" s="15"/>
      <c r="C3295" s="19"/>
      <c r="D3295" s="19"/>
      <c r="E3295" s="19"/>
      <c r="F3295" s="19"/>
      <c r="G3295" s="19"/>
      <c r="H3295" s="82"/>
    </row>
    <row r="3296" spans="1:8" s="28" customFormat="1" x14ac:dyDescent="0.25">
      <c r="A3296" s="29"/>
      <c r="B3296" s="15"/>
      <c r="C3296" s="19"/>
      <c r="D3296" s="19"/>
      <c r="E3296" s="19"/>
      <c r="F3296" s="19"/>
      <c r="G3296" s="19"/>
      <c r="H3296" s="82"/>
    </row>
    <row r="3297" spans="1:8" s="28" customFormat="1" x14ac:dyDescent="0.25">
      <c r="A3297" s="29"/>
      <c r="B3297" s="15"/>
      <c r="C3297" s="19"/>
      <c r="D3297" s="19"/>
      <c r="E3297" s="19"/>
      <c r="F3297" s="19"/>
      <c r="G3297" s="19"/>
      <c r="H3297" s="82"/>
    </row>
    <row r="3298" spans="1:8" s="28" customFormat="1" x14ac:dyDescent="0.25">
      <c r="A3298" s="29"/>
      <c r="B3298" s="15"/>
      <c r="C3298" s="19"/>
      <c r="D3298" s="19"/>
      <c r="E3298" s="19"/>
      <c r="F3298" s="19"/>
      <c r="G3298" s="19"/>
      <c r="H3298" s="82"/>
    </row>
    <row r="3299" spans="1:8" s="28" customFormat="1" x14ac:dyDescent="0.25">
      <c r="A3299" s="29"/>
      <c r="B3299" s="15"/>
      <c r="C3299" s="19"/>
      <c r="D3299" s="19"/>
      <c r="E3299" s="19"/>
      <c r="F3299" s="19"/>
      <c r="G3299" s="19"/>
      <c r="H3299" s="82"/>
    </row>
    <row r="3300" spans="1:8" s="28" customFormat="1" x14ac:dyDescent="0.25">
      <c r="A3300" s="29"/>
      <c r="B3300" s="15"/>
      <c r="C3300" s="19"/>
      <c r="D3300" s="19"/>
      <c r="E3300" s="19"/>
      <c r="F3300" s="19"/>
      <c r="G3300" s="19"/>
      <c r="H3300" s="82"/>
    </row>
    <row r="3301" spans="1:8" s="28" customFormat="1" x14ac:dyDescent="0.25">
      <c r="A3301" s="29"/>
      <c r="B3301" s="15"/>
      <c r="C3301" s="19"/>
      <c r="D3301" s="19"/>
      <c r="E3301" s="19"/>
      <c r="F3301" s="19"/>
      <c r="G3301" s="19"/>
      <c r="H3301" s="82"/>
    </row>
    <row r="3302" spans="1:8" s="28" customFormat="1" x14ac:dyDescent="0.25">
      <c r="A3302" s="29"/>
      <c r="B3302" s="15"/>
      <c r="C3302" s="19"/>
      <c r="D3302" s="19"/>
      <c r="E3302" s="19"/>
      <c r="F3302" s="19"/>
      <c r="G3302" s="19"/>
      <c r="H3302" s="82"/>
    </row>
    <row r="3303" spans="1:8" s="28" customFormat="1" x14ac:dyDescent="0.25">
      <c r="A3303" s="29"/>
      <c r="B3303" s="15"/>
      <c r="C3303" s="19"/>
      <c r="D3303" s="19"/>
      <c r="E3303" s="19"/>
      <c r="F3303" s="19"/>
      <c r="G3303" s="19"/>
      <c r="H3303" s="82"/>
    </row>
    <row r="3304" spans="1:8" s="28" customFormat="1" x14ac:dyDescent="0.25">
      <c r="A3304" s="29"/>
      <c r="B3304" s="15"/>
      <c r="C3304" s="19"/>
      <c r="D3304" s="19"/>
      <c r="E3304" s="19"/>
      <c r="F3304" s="19"/>
      <c r="G3304" s="19"/>
      <c r="H3304" s="82"/>
    </row>
    <row r="3305" spans="1:8" s="28" customFormat="1" x14ac:dyDescent="0.25">
      <c r="A3305" s="29"/>
      <c r="B3305" s="15"/>
      <c r="C3305" s="19"/>
      <c r="D3305" s="19"/>
      <c r="E3305" s="19"/>
      <c r="F3305" s="19"/>
      <c r="G3305" s="19"/>
      <c r="H3305" s="82"/>
    </row>
    <row r="3306" spans="1:8" s="28" customFormat="1" x14ac:dyDescent="0.25">
      <c r="A3306" s="29"/>
      <c r="B3306" s="15"/>
      <c r="C3306" s="19"/>
      <c r="D3306" s="19"/>
      <c r="E3306" s="19"/>
      <c r="F3306" s="19"/>
      <c r="G3306" s="19"/>
      <c r="H3306" s="82"/>
    </row>
    <row r="3307" spans="1:8" s="28" customFormat="1" x14ac:dyDescent="0.25">
      <c r="A3307" s="29"/>
      <c r="B3307" s="15"/>
      <c r="C3307" s="19"/>
      <c r="D3307" s="19"/>
      <c r="E3307" s="19"/>
      <c r="F3307" s="19"/>
      <c r="G3307" s="19"/>
      <c r="H3307" s="82"/>
    </row>
    <row r="3308" spans="1:8" s="28" customFormat="1" x14ac:dyDescent="0.25">
      <c r="A3308" s="29"/>
      <c r="B3308" s="15"/>
      <c r="C3308" s="19"/>
      <c r="D3308" s="19"/>
      <c r="E3308" s="19"/>
      <c r="F3308" s="19"/>
      <c r="G3308" s="19"/>
      <c r="H3308" s="82"/>
    </row>
    <row r="3309" spans="1:8" s="28" customFormat="1" x14ac:dyDescent="0.25">
      <c r="A3309" s="29"/>
      <c r="B3309" s="15"/>
      <c r="C3309" s="19"/>
      <c r="D3309" s="19"/>
      <c r="E3309" s="19"/>
      <c r="F3309" s="19"/>
      <c r="G3309" s="19"/>
      <c r="H3309" s="82"/>
    </row>
    <row r="3310" spans="1:8" s="28" customFormat="1" x14ac:dyDescent="0.25">
      <c r="A3310" s="29"/>
      <c r="B3310" s="15"/>
      <c r="C3310" s="19"/>
      <c r="D3310" s="19"/>
      <c r="E3310" s="19"/>
      <c r="F3310" s="19"/>
      <c r="G3310" s="19"/>
      <c r="H3310" s="82"/>
    </row>
    <row r="3311" spans="1:8" s="28" customFormat="1" x14ac:dyDescent="0.25">
      <c r="A3311" s="29"/>
      <c r="B3311" s="15"/>
      <c r="C3311" s="19"/>
      <c r="D3311" s="19"/>
      <c r="E3311" s="19"/>
      <c r="F3311" s="19"/>
      <c r="G3311" s="19"/>
      <c r="H3311" s="82"/>
    </row>
    <row r="3312" spans="1:8" s="28" customFormat="1" x14ac:dyDescent="0.25">
      <c r="A3312" s="29"/>
      <c r="B3312" s="15"/>
      <c r="C3312" s="19"/>
      <c r="D3312" s="19"/>
      <c r="E3312" s="19"/>
      <c r="F3312" s="19"/>
      <c r="G3312" s="19"/>
      <c r="H3312" s="82"/>
    </row>
    <row r="3313" spans="1:8" s="28" customFormat="1" x14ac:dyDescent="0.25">
      <c r="A3313" s="29"/>
      <c r="B3313" s="15"/>
      <c r="C3313" s="19"/>
      <c r="D3313" s="19"/>
      <c r="E3313" s="19"/>
      <c r="F3313" s="19"/>
      <c r="G3313" s="19"/>
      <c r="H3313" s="82"/>
    </row>
    <row r="3314" spans="1:8" s="28" customFormat="1" x14ac:dyDescent="0.25">
      <c r="A3314" s="29"/>
      <c r="B3314" s="15"/>
      <c r="C3314" s="19"/>
      <c r="D3314" s="19"/>
      <c r="E3314" s="19"/>
      <c r="F3314" s="19"/>
      <c r="G3314" s="19"/>
      <c r="H3314" s="82"/>
    </row>
    <row r="3315" spans="1:8" s="28" customFormat="1" x14ac:dyDescent="0.25">
      <c r="A3315" s="29"/>
      <c r="B3315" s="15"/>
      <c r="C3315" s="19"/>
      <c r="D3315" s="19"/>
      <c r="E3315" s="19"/>
      <c r="F3315" s="19"/>
      <c r="G3315" s="19"/>
      <c r="H3315" s="82"/>
    </row>
    <row r="3316" spans="1:8" s="28" customFormat="1" x14ac:dyDescent="0.25">
      <c r="A3316" s="29"/>
      <c r="B3316" s="15"/>
      <c r="C3316" s="19"/>
      <c r="D3316" s="19"/>
      <c r="E3316" s="19"/>
      <c r="F3316" s="19"/>
      <c r="G3316" s="19"/>
      <c r="H3316" s="82"/>
    </row>
    <row r="3317" spans="1:8" s="28" customFormat="1" x14ac:dyDescent="0.25">
      <c r="A3317" s="29"/>
      <c r="B3317" s="15"/>
      <c r="C3317" s="19"/>
      <c r="D3317" s="19"/>
      <c r="E3317" s="19"/>
      <c r="F3317" s="19"/>
      <c r="G3317" s="19"/>
      <c r="H3317" s="82"/>
    </row>
    <row r="3318" spans="1:8" s="28" customFormat="1" x14ac:dyDescent="0.25">
      <c r="A3318" s="29"/>
      <c r="B3318" s="15"/>
      <c r="C3318" s="19"/>
      <c r="D3318" s="19"/>
      <c r="E3318" s="19"/>
      <c r="F3318" s="19"/>
      <c r="G3318" s="19"/>
      <c r="H3318" s="82"/>
    </row>
    <row r="3319" spans="1:8" s="28" customFormat="1" x14ac:dyDescent="0.25">
      <c r="A3319" s="29"/>
      <c r="B3319" s="15"/>
      <c r="C3319" s="19"/>
      <c r="D3319" s="19"/>
      <c r="E3319" s="19"/>
      <c r="F3319" s="19"/>
      <c r="G3319" s="19"/>
      <c r="H3319" s="82"/>
    </row>
    <row r="3320" spans="1:8" s="28" customFormat="1" x14ac:dyDescent="0.25">
      <c r="A3320" s="29"/>
      <c r="B3320" s="15"/>
      <c r="C3320" s="19"/>
      <c r="D3320" s="19"/>
      <c r="E3320" s="19"/>
      <c r="F3320" s="19"/>
      <c r="G3320" s="19"/>
      <c r="H3320" s="82"/>
    </row>
    <row r="3321" spans="1:8" s="28" customFormat="1" x14ac:dyDescent="0.25">
      <c r="A3321" s="29"/>
      <c r="B3321" s="15"/>
      <c r="C3321" s="19"/>
      <c r="D3321" s="19"/>
      <c r="E3321" s="19"/>
      <c r="F3321" s="19"/>
      <c r="G3321" s="19"/>
      <c r="H3321" s="82"/>
    </row>
    <row r="3322" spans="1:8" s="28" customFormat="1" x14ac:dyDescent="0.25">
      <c r="A3322" s="29"/>
      <c r="B3322" s="15"/>
      <c r="C3322" s="19"/>
      <c r="D3322" s="19"/>
      <c r="E3322" s="19"/>
      <c r="F3322" s="19"/>
      <c r="G3322" s="19"/>
      <c r="H3322" s="82"/>
    </row>
    <row r="3323" spans="1:8" s="28" customFormat="1" x14ac:dyDescent="0.25">
      <c r="A3323" s="29"/>
      <c r="B3323" s="15"/>
      <c r="C3323" s="19"/>
      <c r="D3323" s="19"/>
      <c r="E3323" s="19"/>
      <c r="F3323" s="19"/>
      <c r="G3323" s="19"/>
      <c r="H3323" s="82"/>
    </row>
    <row r="3324" spans="1:8" s="28" customFormat="1" x14ac:dyDescent="0.25">
      <c r="A3324" s="29"/>
      <c r="B3324" s="15"/>
      <c r="C3324" s="19"/>
      <c r="D3324" s="19"/>
      <c r="E3324" s="19"/>
      <c r="F3324" s="19"/>
      <c r="G3324" s="19"/>
      <c r="H3324" s="82"/>
    </row>
    <row r="3325" spans="1:8" s="28" customFormat="1" x14ac:dyDescent="0.25">
      <c r="A3325" s="29"/>
      <c r="B3325" s="15"/>
      <c r="C3325" s="19"/>
      <c r="D3325" s="19"/>
      <c r="E3325" s="19"/>
      <c r="F3325" s="19"/>
      <c r="G3325" s="19"/>
      <c r="H3325" s="82"/>
    </row>
    <row r="3326" spans="1:8" s="28" customFormat="1" x14ac:dyDescent="0.25">
      <c r="A3326" s="29"/>
      <c r="B3326" s="15"/>
      <c r="C3326" s="19"/>
      <c r="D3326" s="19"/>
      <c r="E3326" s="19"/>
      <c r="F3326" s="19"/>
      <c r="G3326" s="19"/>
      <c r="H3326" s="82"/>
    </row>
    <row r="3327" spans="1:8" s="28" customFormat="1" x14ac:dyDescent="0.25">
      <c r="A3327" s="29"/>
      <c r="B3327" s="15"/>
      <c r="C3327" s="19"/>
      <c r="D3327" s="19"/>
      <c r="E3327" s="19"/>
      <c r="F3327" s="19"/>
      <c r="G3327" s="19"/>
      <c r="H3327" s="82"/>
    </row>
    <row r="3328" spans="1:8" s="28" customFormat="1" x14ac:dyDescent="0.25">
      <c r="A3328" s="29"/>
      <c r="B3328" s="15"/>
      <c r="C3328" s="19"/>
      <c r="D3328" s="19"/>
      <c r="E3328" s="19"/>
      <c r="F3328" s="19"/>
      <c r="G3328" s="19"/>
      <c r="H3328" s="82"/>
    </row>
    <row r="3329" spans="1:8" s="28" customFormat="1" x14ac:dyDescent="0.25">
      <c r="A3329" s="29"/>
      <c r="B3329" s="15"/>
      <c r="C3329" s="19"/>
      <c r="D3329" s="19"/>
      <c r="E3329" s="19"/>
      <c r="F3329" s="19"/>
      <c r="G3329" s="19"/>
      <c r="H3329" s="82"/>
    </row>
    <row r="3330" spans="1:8" s="28" customFormat="1" x14ac:dyDescent="0.25">
      <c r="A3330" s="29"/>
      <c r="B3330" s="15"/>
      <c r="C3330" s="19"/>
      <c r="D3330" s="19"/>
      <c r="E3330" s="19"/>
      <c r="F3330" s="19"/>
      <c r="G3330" s="19"/>
      <c r="H3330" s="82"/>
    </row>
    <row r="3331" spans="1:8" s="28" customFormat="1" x14ac:dyDescent="0.25">
      <c r="A3331" s="29"/>
      <c r="B3331" s="15"/>
      <c r="C3331" s="19"/>
      <c r="D3331" s="19"/>
      <c r="E3331" s="19"/>
      <c r="F3331" s="19"/>
      <c r="G3331" s="19"/>
      <c r="H3331" s="82"/>
    </row>
    <row r="3332" spans="1:8" s="28" customFormat="1" x14ac:dyDescent="0.25">
      <c r="A3332" s="29"/>
      <c r="B3332" s="15"/>
      <c r="C3332" s="19"/>
      <c r="D3332" s="19"/>
      <c r="E3332" s="19"/>
      <c r="F3332" s="19"/>
      <c r="G3332" s="19"/>
      <c r="H3332" s="82"/>
    </row>
    <row r="3333" spans="1:8" s="28" customFormat="1" x14ac:dyDescent="0.25">
      <c r="A3333" s="29"/>
      <c r="B3333" s="15"/>
      <c r="C3333" s="19"/>
      <c r="D3333" s="19"/>
      <c r="E3333" s="19"/>
      <c r="F3333" s="19"/>
      <c r="G3333" s="19"/>
      <c r="H3333" s="82"/>
    </row>
    <row r="3334" spans="1:8" s="28" customFormat="1" x14ac:dyDescent="0.25">
      <c r="A3334" s="29"/>
      <c r="B3334" s="15"/>
      <c r="C3334" s="19"/>
      <c r="D3334" s="19"/>
      <c r="E3334" s="19"/>
      <c r="F3334" s="19"/>
      <c r="G3334" s="19"/>
      <c r="H3334" s="82"/>
    </row>
    <row r="3335" spans="1:8" s="28" customFormat="1" x14ac:dyDescent="0.25">
      <c r="A3335" s="29"/>
      <c r="B3335" s="15"/>
      <c r="C3335" s="19"/>
      <c r="D3335" s="19"/>
      <c r="E3335" s="19"/>
      <c r="F3335" s="19"/>
      <c r="G3335" s="19"/>
      <c r="H3335" s="82"/>
    </row>
    <row r="3336" spans="1:8" s="28" customFormat="1" x14ac:dyDescent="0.25">
      <c r="A3336" s="29"/>
      <c r="B3336" s="15"/>
      <c r="C3336" s="19"/>
      <c r="D3336" s="19"/>
      <c r="E3336" s="19"/>
      <c r="F3336" s="19"/>
      <c r="G3336" s="19"/>
      <c r="H3336" s="82"/>
    </row>
    <row r="3337" spans="1:8" s="28" customFormat="1" x14ac:dyDescent="0.25">
      <c r="A3337" s="29"/>
      <c r="B3337" s="15"/>
      <c r="C3337" s="19"/>
      <c r="D3337" s="19"/>
      <c r="E3337" s="19"/>
      <c r="F3337" s="19"/>
      <c r="G3337" s="19"/>
      <c r="H3337" s="82"/>
    </row>
    <row r="3338" spans="1:8" s="28" customFormat="1" x14ac:dyDescent="0.25">
      <c r="A3338" s="29"/>
      <c r="B3338" s="15"/>
      <c r="C3338" s="19"/>
      <c r="D3338" s="19"/>
      <c r="E3338" s="19"/>
      <c r="F3338" s="19"/>
      <c r="G3338" s="19"/>
      <c r="H3338" s="82"/>
    </row>
    <row r="3339" spans="1:8" s="28" customFormat="1" x14ac:dyDescent="0.25">
      <c r="A3339" s="29"/>
      <c r="B3339" s="15"/>
      <c r="C3339" s="19"/>
      <c r="D3339" s="19"/>
      <c r="E3339" s="19"/>
      <c r="F3339" s="19"/>
      <c r="G3339" s="19"/>
      <c r="H3339" s="82"/>
    </row>
    <row r="3340" spans="1:8" s="28" customFormat="1" x14ac:dyDescent="0.25">
      <c r="A3340" s="29"/>
      <c r="B3340" s="15"/>
      <c r="C3340" s="19"/>
      <c r="D3340" s="19"/>
      <c r="E3340" s="19"/>
      <c r="F3340" s="19"/>
      <c r="G3340" s="19"/>
      <c r="H3340" s="82"/>
    </row>
    <row r="3341" spans="1:8" s="28" customFormat="1" x14ac:dyDescent="0.25">
      <c r="A3341" s="29"/>
      <c r="B3341" s="15"/>
      <c r="C3341" s="19"/>
      <c r="D3341" s="19"/>
      <c r="E3341" s="19"/>
      <c r="F3341" s="19"/>
      <c r="G3341" s="19"/>
      <c r="H3341" s="82"/>
    </row>
    <row r="3342" spans="1:8" s="28" customFormat="1" x14ac:dyDescent="0.25">
      <c r="A3342" s="29"/>
      <c r="B3342" s="15"/>
      <c r="C3342" s="19"/>
      <c r="D3342" s="19"/>
      <c r="E3342" s="19"/>
      <c r="F3342" s="19"/>
      <c r="G3342" s="19"/>
      <c r="H3342" s="82"/>
    </row>
    <row r="3343" spans="1:8" s="28" customFormat="1" x14ac:dyDescent="0.25">
      <c r="A3343" s="29"/>
      <c r="B3343" s="15"/>
      <c r="C3343" s="19"/>
      <c r="D3343" s="19"/>
      <c r="E3343" s="19"/>
      <c r="F3343" s="19"/>
      <c r="G3343" s="19"/>
      <c r="H3343" s="82"/>
    </row>
    <row r="3344" spans="1:8" s="28" customFormat="1" x14ac:dyDescent="0.25">
      <c r="A3344" s="29"/>
      <c r="B3344" s="15"/>
      <c r="C3344" s="19"/>
      <c r="D3344" s="19"/>
      <c r="E3344" s="19"/>
      <c r="F3344" s="19"/>
      <c r="G3344" s="19"/>
      <c r="H3344" s="82"/>
    </row>
    <row r="3345" spans="1:8" s="28" customFormat="1" x14ac:dyDescent="0.25">
      <c r="A3345" s="29"/>
      <c r="B3345" s="15"/>
      <c r="C3345" s="19"/>
      <c r="D3345" s="19"/>
      <c r="E3345" s="19"/>
      <c r="F3345" s="19"/>
      <c r="G3345" s="19"/>
      <c r="H3345" s="82"/>
    </row>
    <row r="3346" spans="1:8" s="28" customFormat="1" x14ac:dyDescent="0.25">
      <c r="A3346" s="29"/>
      <c r="B3346" s="15"/>
      <c r="C3346" s="19"/>
      <c r="D3346" s="19"/>
      <c r="E3346" s="19"/>
      <c r="F3346" s="19"/>
      <c r="G3346" s="19"/>
      <c r="H3346" s="82"/>
    </row>
    <row r="3347" spans="1:8" s="28" customFormat="1" x14ac:dyDescent="0.25">
      <c r="A3347" s="29"/>
      <c r="B3347" s="15"/>
      <c r="C3347" s="19"/>
      <c r="D3347" s="19"/>
      <c r="E3347" s="19"/>
      <c r="F3347" s="19"/>
      <c r="G3347" s="19"/>
      <c r="H3347" s="82"/>
    </row>
    <row r="3348" spans="1:8" s="28" customFormat="1" x14ac:dyDescent="0.25">
      <c r="A3348" s="29"/>
      <c r="B3348" s="15"/>
      <c r="C3348" s="19"/>
      <c r="D3348" s="19"/>
      <c r="E3348" s="19"/>
      <c r="F3348" s="19"/>
      <c r="G3348" s="19"/>
      <c r="H3348" s="82"/>
    </row>
    <row r="3349" spans="1:8" s="28" customFormat="1" x14ac:dyDescent="0.25">
      <c r="A3349" s="29"/>
      <c r="B3349" s="15"/>
      <c r="C3349" s="19"/>
      <c r="D3349" s="19"/>
      <c r="E3349" s="19"/>
      <c r="F3349" s="19"/>
      <c r="G3349" s="19"/>
      <c r="H3349" s="82"/>
    </row>
    <row r="3350" spans="1:8" s="28" customFormat="1" x14ac:dyDescent="0.25">
      <c r="A3350" s="29"/>
      <c r="B3350" s="15"/>
      <c r="C3350" s="19"/>
      <c r="D3350" s="19"/>
      <c r="E3350" s="19"/>
      <c r="F3350" s="19"/>
      <c r="G3350" s="19"/>
      <c r="H3350" s="82"/>
    </row>
    <row r="3351" spans="1:8" s="28" customFormat="1" x14ac:dyDescent="0.25">
      <c r="A3351" s="29"/>
      <c r="B3351" s="15"/>
      <c r="C3351" s="19"/>
      <c r="D3351" s="19"/>
      <c r="E3351" s="19"/>
      <c r="F3351" s="19"/>
      <c r="G3351" s="19"/>
      <c r="H3351" s="82"/>
    </row>
    <row r="3352" spans="1:8" s="28" customFormat="1" x14ac:dyDescent="0.25">
      <c r="A3352" s="29"/>
      <c r="B3352" s="15"/>
      <c r="C3352" s="19"/>
      <c r="D3352" s="19"/>
      <c r="E3352" s="19"/>
      <c r="F3352" s="19"/>
      <c r="G3352" s="19"/>
      <c r="H3352" s="82"/>
    </row>
    <row r="3353" spans="1:8" s="28" customFormat="1" x14ac:dyDescent="0.25">
      <c r="A3353" s="29"/>
      <c r="B3353" s="15"/>
      <c r="C3353" s="19"/>
      <c r="D3353" s="19"/>
      <c r="E3353" s="19"/>
      <c r="F3353" s="19"/>
      <c r="G3353" s="19"/>
      <c r="H3353" s="82"/>
    </row>
    <row r="3354" spans="1:8" s="28" customFormat="1" x14ac:dyDescent="0.25">
      <c r="A3354" s="29"/>
      <c r="B3354" s="15"/>
      <c r="C3354" s="19"/>
      <c r="D3354" s="19"/>
      <c r="E3354" s="19"/>
      <c r="F3354" s="19"/>
      <c r="G3354" s="19"/>
      <c r="H3354" s="82"/>
    </row>
    <row r="3355" spans="1:8" s="28" customFormat="1" x14ac:dyDescent="0.25">
      <c r="A3355" s="29"/>
      <c r="B3355" s="15"/>
      <c r="C3355" s="19"/>
      <c r="D3355" s="19"/>
      <c r="E3355" s="19"/>
      <c r="F3355" s="19"/>
      <c r="G3355" s="19"/>
      <c r="H3355" s="82"/>
    </row>
    <row r="3356" spans="1:8" s="28" customFormat="1" x14ac:dyDescent="0.25">
      <c r="A3356" s="29"/>
      <c r="B3356" s="15"/>
      <c r="C3356" s="19"/>
      <c r="D3356" s="19"/>
      <c r="E3356" s="19"/>
      <c r="F3356" s="19"/>
      <c r="G3356" s="19"/>
      <c r="H3356" s="82"/>
    </row>
    <row r="3357" spans="1:8" s="28" customFormat="1" x14ac:dyDescent="0.25">
      <c r="A3357" s="29"/>
      <c r="B3357" s="15"/>
      <c r="C3357" s="19"/>
      <c r="D3357" s="19"/>
      <c r="E3357" s="19"/>
      <c r="F3357" s="19"/>
      <c r="G3357" s="19"/>
      <c r="H3357" s="82"/>
    </row>
    <row r="3358" spans="1:8" s="28" customFormat="1" x14ac:dyDescent="0.25">
      <c r="A3358" s="29"/>
      <c r="B3358" s="15"/>
      <c r="C3358" s="19"/>
      <c r="D3358" s="19"/>
      <c r="E3358" s="19"/>
      <c r="F3358" s="19"/>
      <c r="G3358" s="19"/>
      <c r="H3358" s="82"/>
    </row>
    <row r="3359" spans="1:8" s="28" customFormat="1" x14ac:dyDescent="0.25">
      <c r="A3359" s="29"/>
      <c r="B3359" s="15"/>
      <c r="C3359" s="19"/>
      <c r="D3359" s="19"/>
      <c r="E3359" s="19"/>
      <c r="F3359" s="19"/>
      <c r="G3359" s="19"/>
      <c r="H3359" s="82"/>
    </row>
    <row r="3360" spans="1:8" s="28" customFormat="1" x14ac:dyDescent="0.25">
      <c r="A3360" s="29"/>
      <c r="B3360" s="15"/>
      <c r="C3360" s="19"/>
      <c r="D3360" s="19"/>
      <c r="E3360" s="19"/>
      <c r="F3360" s="19"/>
      <c r="G3360" s="19"/>
      <c r="H3360" s="82"/>
    </row>
    <row r="3361" spans="1:8" s="28" customFormat="1" x14ac:dyDescent="0.25">
      <c r="A3361" s="29"/>
      <c r="B3361" s="15"/>
      <c r="C3361" s="19"/>
      <c r="D3361" s="19"/>
      <c r="E3361" s="19"/>
      <c r="F3361" s="19"/>
      <c r="G3361" s="19"/>
      <c r="H3361" s="82"/>
    </row>
    <row r="3362" spans="1:8" s="28" customFormat="1" x14ac:dyDescent="0.25">
      <c r="A3362" s="29"/>
      <c r="B3362" s="15"/>
      <c r="C3362" s="19"/>
      <c r="D3362" s="19"/>
      <c r="E3362" s="19"/>
      <c r="F3362" s="19"/>
      <c r="G3362" s="19"/>
      <c r="H3362" s="82"/>
    </row>
    <row r="3363" spans="1:8" s="28" customFormat="1" x14ac:dyDescent="0.25">
      <c r="A3363" s="29"/>
      <c r="B3363" s="15"/>
      <c r="C3363" s="19"/>
      <c r="D3363" s="19"/>
      <c r="E3363" s="19"/>
      <c r="F3363" s="19"/>
      <c r="G3363" s="19"/>
      <c r="H3363" s="82"/>
    </row>
    <row r="3364" spans="1:8" s="28" customFormat="1" x14ac:dyDescent="0.25">
      <c r="A3364" s="29"/>
      <c r="B3364" s="15"/>
      <c r="C3364" s="19"/>
      <c r="D3364" s="19"/>
      <c r="E3364" s="19"/>
      <c r="F3364" s="19"/>
      <c r="G3364" s="19"/>
      <c r="H3364" s="82"/>
    </row>
    <row r="3365" spans="1:8" s="28" customFormat="1" x14ac:dyDescent="0.25">
      <c r="A3365" s="29"/>
      <c r="B3365" s="15"/>
      <c r="C3365" s="19"/>
      <c r="D3365" s="19"/>
      <c r="E3365" s="19"/>
      <c r="F3365" s="19"/>
      <c r="G3365" s="19"/>
      <c r="H3365" s="82"/>
    </row>
    <row r="3366" spans="1:8" s="28" customFormat="1" x14ac:dyDescent="0.25">
      <c r="A3366" s="29"/>
      <c r="B3366" s="15"/>
      <c r="C3366" s="19"/>
      <c r="D3366" s="19"/>
      <c r="E3366" s="19"/>
      <c r="F3366" s="19"/>
      <c r="G3366" s="19"/>
      <c r="H3366" s="82"/>
    </row>
    <row r="3367" spans="1:8" s="28" customFormat="1" x14ac:dyDescent="0.25">
      <c r="A3367" s="29"/>
      <c r="B3367" s="15"/>
      <c r="C3367" s="19"/>
      <c r="D3367" s="19"/>
      <c r="E3367" s="19"/>
      <c r="F3367" s="19"/>
      <c r="G3367" s="19"/>
      <c r="H3367" s="82"/>
    </row>
    <row r="3368" spans="1:8" s="28" customFormat="1" x14ac:dyDescent="0.25">
      <c r="A3368" s="29"/>
      <c r="B3368" s="15"/>
      <c r="C3368" s="19"/>
      <c r="D3368" s="19"/>
      <c r="E3368" s="19"/>
      <c r="F3368" s="19"/>
      <c r="G3368" s="19"/>
      <c r="H3368" s="82"/>
    </row>
    <row r="3369" spans="1:8" s="28" customFormat="1" x14ac:dyDescent="0.25">
      <c r="A3369" s="29"/>
      <c r="B3369" s="15"/>
      <c r="C3369" s="19"/>
      <c r="D3369" s="19"/>
      <c r="E3369" s="19"/>
      <c r="F3369" s="19"/>
      <c r="G3369" s="19"/>
      <c r="H3369" s="82"/>
    </row>
    <row r="3370" spans="1:8" s="28" customFormat="1" x14ac:dyDescent="0.25">
      <c r="A3370" s="29"/>
      <c r="B3370" s="15"/>
      <c r="C3370" s="19"/>
      <c r="D3370" s="19"/>
      <c r="E3370" s="19"/>
      <c r="F3370" s="19"/>
      <c r="G3370" s="19"/>
      <c r="H3370" s="82"/>
    </row>
    <row r="3371" spans="1:8" s="28" customFormat="1" x14ac:dyDescent="0.25">
      <c r="A3371" s="29"/>
      <c r="B3371" s="15"/>
      <c r="C3371" s="19"/>
      <c r="D3371" s="19"/>
      <c r="E3371" s="19"/>
      <c r="F3371" s="19"/>
      <c r="G3371" s="19"/>
      <c r="H3371" s="82"/>
    </row>
    <row r="3372" spans="1:8" s="28" customFormat="1" x14ac:dyDescent="0.25">
      <c r="A3372" s="29"/>
      <c r="B3372" s="15"/>
      <c r="C3372" s="19"/>
      <c r="D3372" s="19"/>
      <c r="E3372" s="19"/>
      <c r="F3372" s="19"/>
      <c r="G3372" s="19"/>
      <c r="H3372" s="82"/>
    </row>
    <row r="3373" spans="1:8" s="28" customFormat="1" x14ac:dyDescent="0.25">
      <c r="A3373" s="29"/>
      <c r="B3373" s="15"/>
      <c r="C3373" s="19"/>
      <c r="D3373" s="19"/>
      <c r="E3373" s="19"/>
      <c r="F3373" s="19"/>
      <c r="G3373" s="19"/>
      <c r="H3373" s="82"/>
    </row>
    <row r="3374" spans="1:8" s="28" customFormat="1" x14ac:dyDescent="0.25">
      <c r="A3374" s="29"/>
      <c r="B3374" s="15"/>
      <c r="C3374" s="19"/>
      <c r="D3374" s="19"/>
      <c r="E3374" s="19"/>
      <c r="F3374" s="19"/>
      <c r="G3374" s="19"/>
      <c r="H3374" s="82"/>
    </row>
    <row r="3375" spans="1:8" s="28" customFormat="1" x14ac:dyDescent="0.25">
      <c r="A3375" s="29"/>
      <c r="B3375" s="15"/>
      <c r="C3375" s="19"/>
      <c r="D3375" s="19"/>
      <c r="E3375" s="19"/>
      <c r="F3375" s="19"/>
      <c r="G3375" s="19"/>
      <c r="H3375" s="82"/>
    </row>
    <row r="3376" spans="1:8" s="28" customFormat="1" x14ac:dyDescent="0.25">
      <c r="A3376" s="29"/>
      <c r="B3376" s="15"/>
      <c r="C3376" s="19"/>
      <c r="D3376" s="19"/>
      <c r="E3376" s="19"/>
      <c r="F3376" s="19"/>
      <c r="G3376" s="19"/>
      <c r="H3376" s="82"/>
    </row>
    <row r="3377" spans="1:8" s="28" customFormat="1" x14ac:dyDescent="0.25">
      <c r="A3377" s="29"/>
      <c r="B3377" s="15"/>
      <c r="C3377" s="19"/>
      <c r="D3377" s="19"/>
      <c r="E3377" s="19"/>
      <c r="F3377" s="19"/>
      <c r="G3377" s="19"/>
      <c r="H3377" s="82"/>
    </row>
    <row r="3378" spans="1:8" s="28" customFormat="1" x14ac:dyDescent="0.25">
      <c r="A3378" s="29"/>
      <c r="B3378" s="15"/>
      <c r="C3378" s="19"/>
      <c r="D3378" s="19"/>
      <c r="E3378" s="19"/>
      <c r="F3378" s="19"/>
      <c r="G3378" s="19"/>
      <c r="H3378" s="82"/>
    </row>
    <row r="3379" spans="1:8" s="28" customFormat="1" x14ac:dyDescent="0.25">
      <c r="A3379" s="29"/>
      <c r="B3379" s="15"/>
      <c r="C3379" s="19"/>
      <c r="D3379" s="19"/>
      <c r="E3379" s="19"/>
      <c r="F3379" s="19"/>
      <c r="G3379" s="19"/>
      <c r="H3379" s="82"/>
    </row>
    <row r="3380" spans="1:8" s="28" customFormat="1" x14ac:dyDescent="0.25">
      <c r="A3380" s="29"/>
      <c r="B3380" s="15"/>
      <c r="C3380" s="19"/>
      <c r="D3380" s="19"/>
      <c r="E3380" s="19"/>
      <c r="F3380" s="19"/>
      <c r="G3380" s="19"/>
      <c r="H3380" s="82"/>
    </row>
    <row r="3381" spans="1:8" s="28" customFormat="1" x14ac:dyDescent="0.25">
      <c r="A3381" s="29"/>
      <c r="B3381" s="15"/>
      <c r="C3381" s="19"/>
      <c r="D3381" s="19"/>
      <c r="E3381" s="19"/>
      <c r="F3381" s="19"/>
      <c r="G3381" s="19"/>
      <c r="H3381" s="82"/>
    </row>
    <row r="3382" spans="1:8" s="28" customFormat="1" x14ac:dyDescent="0.25">
      <c r="A3382" s="29"/>
      <c r="B3382" s="15"/>
      <c r="C3382" s="19"/>
      <c r="D3382" s="19"/>
      <c r="E3382" s="19"/>
      <c r="F3382" s="19"/>
      <c r="G3382" s="19"/>
      <c r="H3382" s="82"/>
    </row>
    <row r="3383" spans="1:8" s="28" customFormat="1" x14ac:dyDescent="0.25">
      <c r="A3383" s="29"/>
      <c r="B3383" s="15"/>
      <c r="C3383" s="19"/>
      <c r="D3383" s="19"/>
      <c r="E3383" s="19"/>
      <c r="F3383" s="19"/>
      <c r="G3383" s="19"/>
      <c r="H3383" s="82"/>
    </row>
    <row r="3384" spans="1:8" s="28" customFormat="1" x14ac:dyDescent="0.25">
      <c r="A3384" s="29"/>
      <c r="B3384" s="15"/>
      <c r="C3384" s="19"/>
      <c r="D3384" s="19"/>
      <c r="E3384" s="19"/>
      <c r="F3384" s="19"/>
      <c r="G3384" s="19"/>
      <c r="H3384" s="82"/>
    </row>
    <row r="3385" spans="1:8" s="28" customFormat="1" x14ac:dyDescent="0.25">
      <c r="A3385" s="29"/>
      <c r="B3385" s="15"/>
      <c r="C3385" s="19"/>
      <c r="D3385" s="19"/>
      <c r="E3385" s="19"/>
      <c r="F3385" s="19"/>
      <c r="G3385" s="19"/>
      <c r="H3385" s="82"/>
    </row>
    <row r="3386" spans="1:8" s="28" customFormat="1" x14ac:dyDescent="0.25">
      <c r="A3386" s="29"/>
      <c r="B3386" s="15"/>
      <c r="C3386" s="19"/>
      <c r="D3386" s="19"/>
      <c r="E3386" s="19"/>
      <c r="F3386" s="19"/>
      <c r="G3386" s="19"/>
      <c r="H3386" s="82"/>
    </row>
    <row r="3387" spans="1:8" s="28" customFormat="1" x14ac:dyDescent="0.25">
      <c r="A3387" s="29"/>
      <c r="B3387" s="15"/>
      <c r="C3387" s="19"/>
      <c r="D3387" s="19"/>
      <c r="E3387" s="19"/>
      <c r="F3387" s="19"/>
      <c r="G3387" s="19"/>
      <c r="H3387" s="82"/>
    </row>
    <row r="3388" spans="1:8" s="28" customFormat="1" x14ac:dyDescent="0.25">
      <c r="A3388" s="29"/>
      <c r="B3388" s="15"/>
      <c r="C3388" s="19"/>
      <c r="D3388" s="19"/>
      <c r="E3388" s="19"/>
      <c r="F3388" s="19"/>
      <c r="G3388" s="19"/>
      <c r="H3388" s="82"/>
    </row>
    <row r="3389" spans="1:8" s="28" customFormat="1" x14ac:dyDescent="0.25">
      <c r="A3389" s="29"/>
      <c r="B3389" s="15"/>
      <c r="C3389" s="19"/>
      <c r="D3389" s="19"/>
      <c r="E3389" s="19"/>
      <c r="F3389" s="19"/>
      <c r="G3389" s="19"/>
      <c r="H3389" s="82"/>
    </row>
    <row r="3390" spans="1:8" s="28" customFormat="1" x14ac:dyDescent="0.25">
      <c r="A3390" s="29"/>
      <c r="B3390" s="15"/>
      <c r="C3390" s="19"/>
      <c r="D3390" s="19"/>
      <c r="E3390" s="19"/>
      <c r="F3390" s="19"/>
      <c r="G3390" s="19"/>
      <c r="H3390" s="82"/>
    </row>
    <row r="3391" spans="1:8" s="28" customFormat="1" x14ac:dyDescent="0.25">
      <c r="A3391" s="29"/>
      <c r="B3391" s="15"/>
      <c r="C3391" s="19"/>
      <c r="D3391" s="19"/>
      <c r="E3391" s="19"/>
      <c r="F3391" s="19"/>
      <c r="G3391" s="19"/>
      <c r="H3391" s="82"/>
    </row>
    <row r="3392" spans="1:8" s="28" customFormat="1" x14ac:dyDescent="0.25">
      <c r="A3392" s="29"/>
      <c r="B3392" s="15"/>
      <c r="C3392" s="19"/>
      <c r="D3392" s="19"/>
      <c r="E3392" s="19"/>
      <c r="F3392" s="19"/>
      <c r="G3392" s="19"/>
      <c r="H3392" s="82"/>
    </row>
    <row r="3393" spans="1:8" s="28" customFormat="1" x14ac:dyDescent="0.25">
      <c r="A3393" s="29"/>
      <c r="B3393" s="15"/>
      <c r="C3393" s="19"/>
      <c r="D3393" s="19"/>
      <c r="E3393" s="19"/>
      <c r="F3393" s="19"/>
      <c r="G3393" s="19"/>
      <c r="H3393" s="82"/>
    </row>
    <row r="3394" spans="1:8" s="28" customFormat="1" x14ac:dyDescent="0.25">
      <c r="A3394" s="29"/>
      <c r="B3394" s="15"/>
      <c r="C3394" s="19"/>
      <c r="D3394" s="19"/>
      <c r="E3394" s="19"/>
      <c r="F3394" s="19"/>
      <c r="G3394" s="19"/>
      <c r="H3394" s="82"/>
    </row>
    <row r="3395" spans="1:8" s="28" customFormat="1" x14ac:dyDescent="0.25">
      <c r="A3395" s="29"/>
      <c r="B3395" s="15"/>
      <c r="C3395" s="19"/>
      <c r="D3395" s="19"/>
      <c r="E3395" s="19"/>
      <c r="F3395" s="19"/>
      <c r="G3395" s="19"/>
      <c r="H3395" s="82"/>
    </row>
    <row r="3396" spans="1:8" s="28" customFormat="1" x14ac:dyDescent="0.25">
      <c r="A3396" s="29"/>
      <c r="B3396" s="15"/>
      <c r="C3396" s="19"/>
      <c r="D3396" s="19"/>
      <c r="E3396" s="19"/>
      <c r="F3396" s="19"/>
      <c r="G3396" s="19"/>
      <c r="H3396" s="82"/>
    </row>
    <row r="3397" spans="1:8" s="28" customFormat="1" x14ac:dyDescent="0.25">
      <c r="A3397" s="29"/>
      <c r="B3397" s="15"/>
      <c r="C3397" s="19"/>
      <c r="D3397" s="19"/>
      <c r="E3397" s="19"/>
      <c r="F3397" s="19"/>
      <c r="G3397" s="19"/>
      <c r="H3397" s="82"/>
    </row>
    <row r="3398" spans="1:8" s="28" customFormat="1" x14ac:dyDescent="0.25">
      <c r="A3398" s="29"/>
      <c r="B3398" s="15"/>
      <c r="C3398" s="19"/>
      <c r="D3398" s="19"/>
      <c r="E3398" s="19"/>
      <c r="F3398" s="19"/>
      <c r="G3398" s="19"/>
      <c r="H3398" s="82"/>
    </row>
    <row r="3399" spans="1:8" s="28" customFormat="1" x14ac:dyDescent="0.25">
      <c r="A3399" s="29"/>
      <c r="B3399" s="15"/>
      <c r="C3399" s="19"/>
      <c r="D3399" s="19"/>
      <c r="E3399" s="19"/>
      <c r="F3399" s="19"/>
      <c r="G3399" s="19"/>
      <c r="H3399" s="82"/>
    </row>
    <row r="3400" spans="1:8" s="28" customFormat="1" x14ac:dyDescent="0.25">
      <c r="A3400" s="29"/>
      <c r="B3400" s="15"/>
      <c r="C3400" s="19"/>
      <c r="D3400" s="19"/>
      <c r="E3400" s="19"/>
      <c r="F3400" s="19"/>
      <c r="G3400" s="19"/>
      <c r="H3400" s="82"/>
    </row>
    <row r="3401" spans="1:8" s="28" customFormat="1" x14ac:dyDescent="0.25">
      <c r="A3401" s="29"/>
      <c r="B3401" s="15"/>
      <c r="C3401" s="19"/>
      <c r="D3401" s="19"/>
      <c r="E3401" s="19"/>
      <c r="F3401" s="19"/>
      <c r="G3401" s="19"/>
      <c r="H3401" s="82"/>
    </row>
    <row r="3402" spans="1:8" s="28" customFormat="1" x14ac:dyDescent="0.25">
      <c r="A3402" s="29"/>
      <c r="B3402" s="15"/>
      <c r="C3402" s="19"/>
      <c r="D3402" s="19"/>
      <c r="E3402" s="19"/>
      <c r="F3402" s="19"/>
      <c r="G3402" s="19"/>
      <c r="H3402" s="82"/>
    </row>
    <row r="3403" spans="1:8" s="28" customFormat="1" x14ac:dyDescent="0.25">
      <c r="A3403" s="29"/>
      <c r="B3403" s="15"/>
      <c r="C3403" s="19"/>
      <c r="D3403" s="19"/>
      <c r="E3403" s="19"/>
      <c r="F3403" s="19"/>
      <c r="G3403" s="19"/>
      <c r="H3403" s="82"/>
    </row>
    <row r="3404" spans="1:8" s="28" customFormat="1" x14ac:dyDescent="0.25">
      <c r="A3404" s="29"/>
      <c r="B3404" s="15"/>
      <c r="C3404" s="19"/>
      <c r="D3404" s="19"/>
      <c r="E3404" s="19"/>
      <c r="F3404" s="19"/>
      <c r="G3404" s="19"/>
      <c r="H3404" s="82"/>
    </row>
    <row r="3405" spans="1:8" s="28" customFormat="1" x14ac:dyDescent="0.25">
      <c r="A3405" s="29"/>
      <c r="B3405" s="15"/>
      <c r="C3405" s="19"/>
      <c r="D3405" s="19"/>
      <c r="E3405" s="19"/>
      <c r="F3405" s="19"/>
      <c r="G3405" s="19"/>
      <c r="H3405" s="82"/>
    </row>
    <row r="3406" spans="1:8" s="28" customFormat="1" x14ac:dyDescent="0.25">
      <c r="A3406" s="29"/>
      <c r="B3406" s="15"/>
      <c r="C3406" s="19"/>
      <c r="D3406" s="19"/>
      <c r="E3406" s="19"/>
      <c r="F3406" s="19"/>
      <c r="G3406" s="19"/>
      <c r="H3406" s="82"/>
    </row>
    <row r="3407" spans="1:8" s="28" customFormat="1" x14ac:dyDescent="0.25">
      <c r="A3407" s="29"/>
      <c r="B3407" s="15"/>
      <c r="C3407" s="19"/>
      <c r="D3407" s="19"/>
      <c r="E3407" s="19"/>
      <c r="F3407" s="19"/>
      <c r="G3407" s="19"/>
      <c r="H3407" s="82"/>
    </row>
    <row r="3408" spans="1:8" s="28" customFormat="1" x14ac:dyDescent="0.25">
      <c r="A3408" s="29"/>
      <c r="B3408" s="15"/>
      <c r="C3408" s="19"/>
      <c r="D3408" s="19"/>
      <c r="E3408" s="19"/>
      <c r="F3408" s="19"/>
      <c r="G3408" s="19"/>
      <c r="H3408" s="82"/>
    </row>
    <row r="3409" spans="1:8" s="28" customFormat="1" x14ac:dyDescent="0.25">
      <c r="A3409" s="29"/>
      <c r="B3409" s="15"/>
      <c r="C3409" s="19"/>
      <c r="D3409" s="19"/>
      <c r="E3409" s="19"/>
      <c r="F3409" s="19"/>
      <c r="G3409" s="19"/>
      <c r="H3409" s="82"/>
    </row>
    <row r="3410" spans="1:8" s="28" customFormat="1" x14ac:dyDescent="0.25">
      <c r="A3410" s="29"/>
      <c r="B3410" s="15"/>
      <c r="C3410" s="19"/>
      <c r="D3410" s="19"/>
      <c r="E3410" s="19"/>
      <c r="F3410" s="19"/>
      <c r="G3410" s="19"/>
      <c r="H3410" s="82"/>
    </row>
    <row r="3411" spans="1:8" s="28" customFormat="1" x14ac:dyDescent="0.25">
      <c r="A3411" s="29"/>
      <c r="B3411" s="15"/>
      <c r="C3411" s="19"/>
      <c r="D3411" s="19"/>
      <c r="E3411" s="19"/>
      <c r="F3411" s="19"/>
      <c r="G3411" s="19"/>
      <c r="H3411" s="82"/>
    </row>
    <row r="3412" spans="1:8" s="28" customFormat="1" x14ac:dyDescent="0.25">
      <c r="A3412" s="29"/>
      <c r="B3412" s="15"/>
      <c r="C3412" s="19"/>
      <c r="D3412" s="19"/>
      <c r="E3412" s="19"/>
      <c r="F3412" s="19"/>
      <c r="G3412" s="19"/>
      <c r="H3412" s="82"/>
    </row>
    <row r="3413" spans="1:8" s="28" customFormat="1" x14ac:dyDescent="0.25">
      <c r="A3413" s="29"/>
      <c r="B3413" s="15"/>
      <c r="C3413" s="19"/>
      <c r="D3413" s="19"/>
      <c r="E3413" s="19"/>
      <c r="F3413" s="19"/>
      <c r="G3413" s="19"/>
      <c r="H3413" s="82"/>
    </row>
    <row r="3414" spans="1:8" s="28" customFormat="1" x14ac:dyDescent="0.25">
      <c r="A3414" s="29"/>
      <c r="B3414" s="15"/>
      <c r="C3414" s="19"/>
      <c r="D3414" s="19"/>
      <c r="E3414" s="19"/>
      <c r="F3414" s="19"/>
      <c r="G3414" s="19"/>
      <c r="H3414" s="82"/>
    </row>
    <row r="3415" spans="1:8" s="28" customFormat="1" x14ac:dyDescent="0.25">
      <c r="A3415" s="29"/>
      <c r="B3415" s="15"/>
      <c r="C3415" s="19"/>
      <c r="D3415" s="19"/>
      <c r="E3415" s="19"/>
      <c r="F3415" s="19"/>
      <c r="G3415" s="19"/>
      <c r="H3415" s="82"/>
    </row>
    <row r="3416" spans="1:8" s="28" customFormat="1" x14ac:dyDescent="0.25">
      <c r="A3416" s="29"/>
      <c r="B3416" s="15"/>
      <c r="C3416" s="19"/>
      <c r="D3416" s="19"/>
      <c r="E3416" s="19"/>
      <c r="F3416" s="19"/>
      <c r="G3416" s="19"/>
      <c r="H3416" s="82"/>
    </row>
    <row r="3417" spans="1:8" s="28" customFormat="1" x14ac:dyDescent="0.25">
      <c r="A3417" s="29"/>
      <c r="B3417" s="15"/>
      <c r="C3417" s="19"/>
      <c r="D3417" s="19"/>
      <c r="E3417" s="19"/>
      <c r="F3417" s="19"/>
      <c r="G3417" s="19"/>
      <c r="H3417" s="82"/>
    </row>
    <row r="3418" spans="1:8" s="28" customFormat="1" x14ac:dyDescent="0.25">
      <c r="A3418" s="29"/>
      <c r="B3418" s="15"/>
      <c r="C3418" s="19"/>
      <c r="D3418" s="19"/>
      <c r="E3418" s="19"/>
      <c r="F3418" s="19"/>
      <c r="G3418" s="19"/>
      <c r="H3418" s="82"/>
    </row>
    <row r="3419" spans="1:8" s="28" customFormat="1" x14ac:dyDescent="0.25">
      <c r="A3419" s="29"/>
      <c r="B3419" s="15"/>
      <c r="C3419" s="19"/>
      <c r="D3419" s="19"/>
      <c r="E3419" s="19"/>
      <c r="F3419" s="19"/>
      <c r="G3419" s="19"/>
      <c r="H3419" s="82"/>
    </row>
    <row r="3420" spans="1:8" s="28" customFormat="1" x14ac:dyDescent="0.25">
      <c r="A3420" s="29"/>
      <c r="B3420" s="15"/>
      <c r="C3420" s="19"/>
      <c r="D3420" s="19"/>
      <c r="E3420" s="19"/>
      <c r="F3420" s="19"/>
      <c r="G3420" s="19"/>
      <c r="H3420" s="82"/>
    </row>
    <row r="3421" spans="1:8" s="28" customFormat="1" x14ac:dyDescent="0.25">
      <c r="A3421" s="29"/>
      <c r="B3421" s="15"/>
      <c r="C3421" s="19"/>
      <c r="D3421" s="19"/>
      <c r="E3421" s="19"/>
      <c r="F3421" s="19"/>
      <c r="G3421" s="19"/>
      <c r="H3421" s="82"/>
    </row>
    <row r="3422" spans="1:8" s="28" customFormat="1" x14ac:dyDescent="0.25">
      <c r="A3422" s="29"/>
      <c r="B3422" s="15"/>
      <c r="C3422" s="19"/>
      <c r="D3422" s="19"/>
      <c r="E3422" s="19"/>
      <c r="F3422" s="19"/>
      <c r="G3422" s="19"/>
      <c r="H3422" s="82"/>
    </row>
    <row r="3423" spans="1:8" s="28" customFormat="1" x14ac:dyDescent="0.25">
      <c r="A3423" s="29"/>
      <c r="B3423" s="15"/>
      <c r="C3423" s="19"/>
      <c r="D3423" s="19"/>
      <c r="E3423" s="19"/>
      <c r="F3423" s="19"/>
      <c r="G3423" s="19"/>
      <c r="H3423" s="82"/>
    </row>
    <row r="3424" spans="1:8" s="28" customFormat="1" x14ac:dyDescent="0.25">
      <c r="A3424" s="29"/>
      <c r="B3424" s="15"/>
      <c r="C3424" s="19"/>
      <c r="D3424" s="19"/>
      <c r="E3424" s="19"/>
      <c r="F3424" s="19"/>
      <c r="G3424" s="19"/>
      <c r="H3424" s="82"/>
    </row>
    <row r="3425" spans="1:8" s="28" customFormat="1" x14ac:dyDescent="0.25">
      <c r="A3425" s="29"/>
      <c r="B3425" s="15"/>
      <c r="C3425" s="19"/>
      <c r="D3425" s="19"/>
      <c r="E3425" s="19"/>
      <c r="F3425" s="19"/>
      <c r="G3425" s="19"/>
      <c r="H3425" s="82"/>
    </row>
    <row r="3426" spans="1:8" s="28" customFormat="1" x14ac:dyDescent="0.25">
      <c r="A3426" s="29"/>
      <c r="B3426" s="15"/>
      <c r="C3426" s="19"/>
      <c r="D3426" s="19"/>
      <c r="E3426" s="19"/>
      <c r="F3426" s="19"/>
      <c r="G3426" s="19"/>
      <c r="H3426" s="82"/>
    </row>
    <row r="3427" spans="1:8" s="28" customFormat="1" x14ac:dyDescent="0.25">
      <c r="A3427" s="29"/>
      <c r="B3427" s="15"/>
      <c r="C3427" s="19"/>
      <c r="D3427" s="19"/>
      <c r="E3427" s="19"/>
      <c r="F3427" s="19"/>
      <c r="G3427" s="19"/>
      <c r="H3427" s="82"/>
    </row>
    <row r="3428" spans="1:8" s="28" customFormat="1" x14ac:dyDescent="0.25">
      <c r="A3428" s="29"/>
      <c r="B3428" s="15"/>
      <c r="C3428" s="19"/>
      <c r="D3428" s="19"/>
      <c r="E3428" s="19"/>
      <c r="F3428" s="19"/>
      <c r="G3428" s="19"/>
      <c r="H3428" s="82"/>
    </row>
    <row r="3429" spans="1:8" s="28" customFormat="1" x14ac:dyDescent="0.25">
      <c r="A3429" s="29"/>
      <c r="B3429" s="15"/>
      <c r="C3429" s="19"/>
      <c r="D3429" s="19"/>
      <c r="E3429" s="19"/>
      <c r="F3429" s="19"/>
      <c r="G3429" s="19"/>
      <c r="H3429" s="82"/>
    </row>
    <row r="3430" spans="1:8" s="28" customFormat="1" x14ac:dyDescent="0.25">
      <c r="A3430" s="29"/>
      <c r="B3430" s="15"/>
      <c r="C3430" s="19"/>
      <c r="D3430" s="19"/>
      <c r="E3430" s="19"/>
      <c r="F3430" s="19"/>
      <c r="G3430" s="19"/>
      <c r="H3430" s="82"/>
    </row>
    <row r="3431" spans="1:8" s="28" customFormat="1" x14ac:dyDescent="0.25">
      <c r="A3431" s="29"/>
      <c r="B3431" s="15"/>
      <c r="C3431" s="19"/>
      <c r="D3431" s="19"/>
      <c r="E3431" s="19"/>
      <c r="F3431" s="19"/>
      <c r="G3431" s="19"/>
      <c r="H3431" s="82"/>
    </row>
    <row r="3432" spans="1:8" s="28" customFormat="1" x14ac:dyDescent="0.25">
      <c r="A3432" s="29"/>
      <c r="B3432" s="15"/>
      <c r="C3432" s="19"/>
      <c r="D3432" s="19"/>
      <c r="E3432" s="19"/>
      <c r="F3432" s="19"/>
      <c r="G3432" s="19"/>
      <c r="H3432" s="82"/>
    </row>
    <row r="3433" spans="1:8" s="28" customFormat="1" x14ac:dyDescent="0.25">
      <c r="A3433" s="29"/>
      <c r="B3433" s="15"/>
      <c r="C3433" s="19"/>
      <c r="D3433" s="19"/>
      <c r="E3433" s="19"/>
      <c r="F3433" s="19"/>
      <c r="G3433" s="19"/>
      <c r="H3433" s="82"/>
    </row>
    <row r="3434" spans="1:8" s="28" customFormat="1" x14ac:dyDescent="0.25">
      <c r="A3434" s="29"/>
      <c r="B3434" s="15"/>
      <c r="C3434" s="19"/>
      <c r="D3434" s="19"/>
      <c r="E3434" s="19"/>
      <c r="F3434" s="19"/>
      <c r="G3434" s="19"/>
      <c r="H3434" s="82"/>
    </row>
    <row r="3435" spans="1:8" s="28" customFormat="1" x14ac:dyDescent="0.25">
      <c r="A3435" s="29"/>
      <c r="B3435" s="15"/>
      <c r="C3435" s="19"/>
      <c r="D3435" s="19"/>
      <c r="E3435" s="19"/>
      <c r="F3435" s="19"/>
      <c r="G3435" s="19"/>
      <c r="H3435" s="82"/>
    </row>
    <row r="3436" spans="1:8" s="28" customFormat="1" x14ac:dyDescent="0.25">
      <c r="A3436" s="29"/>
      <c r="B3436" s="15"/>
      <c r="C3436" s="19"/>
      <c r="D3436" s="19"/>
      <c r="E3436" s="19"/>
      <c r="F3436" s="19"/>
      <c r="G3436" s="19"/>
      <c r="H3436" s="82"/>
    </row>
    <row r="3437" spans="1:8" s="28" customFormat="1" x14ac:dyDescent="0.25">
      <c r="A3437" s="29"/>
      <c r="B3437" s="15"/>
      <c r="C3437" s="19"/>
      <c r="D3437" s="19"/>
      <c r="E3437" s="19"/>
      <c r="F3437" s="19"/>
      <c r="G3437" s="19"/>
      <c r="H3437" s="82"/>
    </row>
    <row r="3438" spans="1:8" s="28" customFormat="1" x14ac:dyDescent="0.25">
      <c r="A3438" s="29"/>
      <c r="B3438" s="15"/>
      <c r="C3438" s="19"/>
      <c r="D3438" s="19"/>
      <c r="E3438" s="19"/>
      <c r="F3438" s="19"/>
      <c r="G3438" s="19"/>
      <c r="H3438" s="82"/>
    </row>
    <row r="3439" spans="1:8" s="28" customFormat="1" x14ac:dyDescent="0.25">
      <c r="A3439" s="29"/>
      <c r="B3439" s="15"/>
      <c r="C3439" s="19"/>
      <c r="D3439" s="19"/>
      <c r="E3439" s="19"/>
      <c r="F3439" s="19"/>
      <c r="G3439" s="19"/>
      <c r="H3439" s="82"/>
    </row>
    <row r="3440" spans="1:8" s="28" customFormat="1" x14ac:dyDescent="0.25">
      <c r="A3440" s="29"/>
      <c r="B3440" s="15"/>
      <c r="C3440" s="19"/>
      <c r="D3440" s="19"/>
      <c r="E3440" s="19"/>
      <c r="F3440" s="19"/>
      <c r="G3440" s="19"/>
      <c r="H3440" s="82"/>
    </row>
    <row r="3441" spans="1:8" s="28" customFormat="1" x14ac:dyDescent="0.25">
      <c r="A3441" s="29"/>
      <c r="B3441" s="15"/>
      <c r="C3441" s="19"/>
      <c r="D3441" s="19"/>
      <c r="E3441" s="19"/>
      <c r="F3441" s="19"/>
      <c r="G3441" s="19"/>
      <c r="H3441" s="82"/>
    </row>
    <row r="3442" spans="1:8" s="28" customFormat="1" x14ac:dyDescent="0.25">
      <c r="A3442" s="29"/>
      <c r="B3442" s="15"/>
      <c r="C3442" s="19"/>
      <c r="D3442" s="19"/>
      <c r="E3442" s="19"/>
      <c r="F3442" s="19"/>
      <c r="G3442" s="19"/>
      <c r="H3442" s="82"/>
    </row>
    <row r="3443" spans="1:8" s="28" customFormat="1" x14ac:dyDescent="0.25">
      <c r="A3443" s="29"/>
      <c r="B3443" s="15"/>
      <c r="C3443" s="19"/>
      <c r="D3443" s="19"/>
      <c r="E3443" s="19"/>
      <c r="F3443" s="19"/>
      <c r="G3443" s="19"/>
      <c r="H3443" s="82"/>
    </row>
    <row r="3444" spans="1:8" s="28" customFormat="1" x14ac:dyDescent="0.25">
      <c r="A3444" s="29"/>
      <c r="B3444" s="15"/>
      <c r="C3444" s="19"/>
      <c r="D3444" s="19"/>
      <c r="E3444" s="19"/>
      <c r="F3444" s="19"/>
      <c r="G3444" s="19"/>
      <c r="H3444" s="82"/>
    </row>
    <row r="3445" spans="1:8" s="28" customFormat="1" x14ac:dyDescent="0.25">
      <c r="A3445" s="29"/>
      <c r="B3445" s="15"/>
      <c r="C3445" s="19"/>
      <c r="D3445" s="19"/>
      <c r="E3445" s="19"/>
      <c r="F3445" s="19"/>
      <c r="G3445" s="19"/>
      <c r="H3445" s="82"/>
    </row>
    <row r="3446" spans="1:8" s="28" customFormat="1" x14ac:dyDescent="0.25">
      <c r="A3446" s="29"/>
      <c r="B3446" s="15"/>
      <c r="C3446" s="19"/>
      <c r="D3446" s="19"/>
      <c r="E3446" s="19"/>
      <c r="F3446" s="19"/>
      <c r="G3446" s="19"/>
      <c r="H3446" s="82"/>
    </row>
    <row r="3447" spans="1:8" s="28" customFormat="1" x14ac:dyDescent="0.25">
      <c r="A3447" s="29"/>
      <c r="B3447" s="15"/>
      <c r="C3447" s="19"/>
      <c r="D3447" s="19"/>
      <c r="E3447" s="19"/>
      <c r="F3447" s="19"/>
      <c r="G3447" s="19"/>
      <c r="H3447" s="82"/>
    </row>
    <row r="3448" spans="1:8" s="28" customFormat="1" x14ac:dyDescent="0.25">
      <c r="A3448" s="29"/>
      <c r="B3448" s="15"/>
      <c r="C3448" s="19"/>
      <c r="D3448" s="19"/>
      <c r="E3448" s="19"/>
      <c r="F3448" s="19"/>
      <c r="G3448" s="19"/>
      <c r="H3448" s="82"/>
    </row>
    <row r="3449" spans="1:8" s="28" customFormat="1" x14ac:dyDescent="0.25">
      <c r="A3449" s="29"/>
      <c r="B3449" s="15"/>
      <c r="C3449" s="19"/>
      <c r="D3449" s="19"/>
      <c r="E3449" s="19"/>
      <c r="F3449" s="19"/>
      <c r="G3449" s="19"/>
      <c r="H3449" s="82"/>
    </row>
    <row r="3450" spans="1:8" s="28" customFormat="1" x14ac:dyDescent="0.25">
      <c r="A3450" s="29"/>
      <c r="B3450" s="15"/>
      <c r="C3450" s="19"/>
      <c r="D3450" s="19"/>
      <c r="E3450" s="19"/>
      <c r="F3450" s="19"/>
      <c r="G3450" s="19"/>
      <c r="H3450" s="82"/>
    </row>
    <row r="3451" spans="1:8" s="28" customFormat="1" x14ac:dyDescent="0.25">
      <c r="A3451" s="29"/>
      <c r="B3451" s="15"/>
      <c r="C3451" s="19"/>
      <c r="D3451" s="19"/>
      <c r="E3451" s="19"/>
      <c r="F3451" s="19"/>
      <c r="G3451" s="19"/>
      <c r="H3451" s="82"/>
    </row>
    <row r="3452" spans="1:8" s="28" customFormat="1" x14ac:dyDescent="0.25">
      <c r="A3452" s="29"/>
      <c r="B3452" s="15"/>
      <c r="C3452" s="19"/>
      <c r="D3452" s="19"/>
      <c r="E3452" s="19"/>
      <c r="F3452" s="19"/>
      <c r="G3452" s="19"/>
      <c r="H3452" s="82"/>
    </row>
    <row r="3453" spans="1:8" s="28" customFormat="1" x14ac:dyDescent="0.25">
      <c r="A3453" s="29"/>
      <c r="B3453" s="15"/>
      <c r="C3453" s="19"/>
      <c r="D3453" s="19"/>
      <c r="E3453" s="19"/>
      <c r="F3453" s="19"/>
      <c r="G3453" s="19"/>
      <c r="H3453" s="82"/>
    </row>
    <row r="3454" spans="1:8" s="28" customFormat="1" x14ac:dyDescent="0.25">
      <c r="A3454" s="29"/>
      <c r="B3454" s="15"/>
      <c r="C3454" s="19"/>
      <c r="D3454" s="19"/>
      <c r="E3454" s="19"/>
      <c r="F3454" s="19"/>
      <c r="G3454" s="19"/>
      <c r="H3454" s="82"/>
    </row>
    <row r="3455" spans="1:8" s="28" customFormat="1" x14ac:dyDescent="0.25">
      <c r="A3455" s="29"/>
      <c r="B3455" s="15"/>
      <c r="C3455" s="19"/>
      <c r="D3455" s="19"/>
      <c r="E3455" s="19"/>
      <c r="F3455" s="19"/>
      <c r="G3455" s="19"/>
      <c r="H3455" s="82"/>
    </row>
    <row r="3456" spans="1:8" s="28" customFormat="1" x14ac:dyDescent="0.25">
      <c r="A3456" s="29"/>
      <c r="B3456" s="15"/>
      <c r="C3456" s="19"/>
      <c r="D3456" s="19"/>
      <c r="E3456" s="19"/>
      <c r="F3456" s="19"/>
      <c r="G3456" s="19"/>
      <c r="H3456" s="82"/>
    </row>
    <row r="3457" spans="1:8" s="28" customFormat="1" x14ac:dyDescent="0.25">
      <c r="A3457" s="29"/>
      <c r="B3457" s="15"/>
      <c r="C3457" s="19"/>
      <c r="D3457" s="19"/>
      <c r="E3457" s="19"/>
      <c r="F3457" s="19"/>
      <c r="G3457" s="19"/>
      <c r="H3457" s="82"/>
    </row>
    <row r="3458" spans="1:8" s="28" customFormat="1" x14ac:dyDescent="0.25">
      <c r="A3458" s="29"/>
      <c r="B3458" s="15"/>
      <c r="C3458" s="19"/>
      <c r="D3458" s="19"/>
      <c r="E3458" s="19"/>
      <c r="F3458" s="19"/>
      <c r="G3458" s="19"/>
      <c r="H3458" s="82"/>
    </row>
    <row r="3459" spans="1:8" s="28" customFormat="1" x14ac:dyDescent="0.25">
      <c r="A3459" s="29"/>
      <c r="B3459" s="15"/>
      <c r="C3459" s="19"/>
      <c r="D3459" s="19"/>
      <c r="E3459" s="19"/>
      <c r="F3459" s="19"/>
      <c r="G3459" s="19"/>
      <c r="H3459" s="82"/>
    </row>
    <row r="3460" spans="1:8" s="28" customFormat="1" x14ac:dyDescent="0.25">
      <c r="A3460" s="29"/>
      <c r="B3460" s="15"/>
      <c r="C3460" s="19"/>
      <c r="D3460" s="19"/>
      <c r="E3460" s="19"/>
      <c r="F3460" s="19"/>
      <c r="G3460" s="19"/>
      <c r="H3460" s="82"/>
    </row>
    <row r="3461" spans="1:8" s="28" customFormat="1" x14ac:dyDescent="0.25">
      <c r="A3461" s="29"/>
      <c r="B3461" s="15"/>
      <c r="C3461" s="19"/>
      <c r="D3461" s="19"/>
      <c r="E3461" s="19"/>
      <c r="F3461" s="19"/>
      <c r="G3461" s="19"/>
      <c r="H3461" s="82"/>
    </row>
    <row r="3462" spans="1:8" s="28" customFormat="1" x14ac:dyDescent="0.25">
      <c r="A3462" s="29"/>
      <c r="B3462" s="15"/>
      <c r="C3462" s="19"/>
      <c r="D3462" s="19"/>
      <c r="E3462" s="19"/>
      <c r="F3462" s="19"/>
      <c r="G3462" s="19"/>
      <c r="H3462" s="82"/>
    </row>
    <row r="3463" spans="1:8" s="28" customFormat="1" x14ac:dyDescent="0.25">
      <c r="A3463" s="29"/>
      <c r="B3463" s="15"/>
      <c r="C3463" s="19"/>
      <c r="D3463" s="19"/>
      <c r="E3463" s="19"/>
      <c r="F3463" s="19"/>
      <c r="G3463" s="19"/>
      <c r="H3463" s="82"/>
    </row>
    <row r="3464" spans="1:8" s="28" customFormat="1" x14ac:dyDescent="0.25">
      <c r="A3464" s="29"/>
      <c r="B3464" s="15"/>
      <c r="C3464" s="19"/>
      <c r="D3464" s="19"/>
      <c r="E3464" s="19"/>
      <c r="F3464" s="19"/>
      <c r="G3464" s="19"/>
      <c r="H3464" s="82"/>
    </row>
    <row r="3465" spans="1:8" s="28" customFormat="1" x14ac:dyDescent="0.25">
      <c r="A3465" s="29"/>
      <c r="B3465" s="15"/>
      <c r="C3465" s="19"/>
      <c r="D3465" s="19"/>
      <c r="E3465" s="19"/>
      <c r="F3465" s="19"/>
      <c r="G3465" s="19"/>
      <c r="H3465" s="82"/>
    </row>
    <row r="3466" spans="1:8" s="28" customFormat="1" x14ac:dyDescent="0.25">
      <c r="A3466" s="29"/>
      <c r="B3466" s="15"/>
      <c r="C3466" s="19"/>
      <c r="D3466" s="19"/>
      <c r="E3466" s="19"/>
      <c r="F3466" s="19"/>
      <c r="G3466" s="19"/>
      <c r="H3466" s="82"/>
    </row>
    <row r="3467" spans="1:8" s="28" customFormat="1" x14ac:dyDescent="0.25">
      <c r="A3467" s="29"/>
      <c r="B3467" s="15"/>
      <c r="C3467" s="19"/>
      <c r="D3467" s="19"/>
      <c r="E3467" s="19"/>
      <c r="F3467" s="19"/>
      <c r="G3467" s="19"/>
      <c r="H3467" s="82"/>
    </row>
    <row r="3468" spans="1:8" s="28" customFormat="1" x14ac:dyDescent="0.25">
      <c r="A3468" s="29"/>
      <c r="B3468" s="15"/>
      <c r="C3468" s="19"/>
      <c r="D3468" s="19"/>
      <c r="E3468" s="19"/>
      <c r="F3468" s="19"/>
      <c r="G3468" s="19"/>
      <c r="H3468" s="82"/>
    </row>
    <row r="3469" spans="1:8" s="28" customFormat="1" x14ac:dyDescent="0.25">
      <c r="A3469" s="29"/>
      <c r="B3469" s="15"/>
      <c r="C3469" s="19"/>
      <c r="D3469" s="19"/>
      <c r="E3469" s="19"/>
      <c r="F3469" s="19"/>
      <c r="G3469" s="19"/>
      <c r="H3469" s="82"/>
    </row>
    <row r="3470" spans="1:8" s="28" customFormat="1" x14ac:dyDescent="0.25">
      <c r="A3470" s="29"/>
      <c r="B3470" s="15"/>
      <c r="C3470" s="19"/>
      <c r="D3470" s="19"/>
      <c r="E3470" s="19"/>
      <c r="F3470" s="19"/>
      <c r="G3470" s="19"/>
      <c r="H3470" s="82"/>
    </row>
    <row r="3471" spans="1:8" s="28" customFormat="1" x14ac:dyDescent="0.25">
      <c r="A3471" s="29"/>
      <c r="B3471" s="15"/>
      <c r="C3471" s="19"/>
      <c r="D3471" s="19"/>
      <c r="E3471" s="19"/>
      <c r="F3471" s="19"/>
      <c r="G3471" s="19"/>
      <c r="H3471" s="82"/>
    </row>
    <row r="3472" spans="1:8" s="28" customFormat="1" x14ac:dyDescent="0.25">
      <c r="A3472" s="29"/>
      <c r="B3472" s="15"/>
      <c r="C3472" s="19"/>
      <c r="D3472" s="19"/>
      <c r="E3472" s="19"/>
      <c r="F3472" s="19"/>
      <c r="G3472" s="19"/>
      <c r="H3472" s="82"/>
    </row>
    <row r="3473" spans="1:8" s="28" customFormat="1" x14ac:dyDescent="0.25">
      <c r="A3473" s="29"/>
      <c r="B3473" s="15"/>
      <c r="C3473" s="19"/>
      <c r="D3473" s="19"/>
      <c r="E3473" s="19"/>
      <c r="F3473" s="19"/>
      <c r="G3473" s="19"/>
      <c r="H3473" s="82"/>
    </row>
    <row r="3474" spans="1:8" s="28" customFormat="1" x14ac:dyDescent="0.25">
      <c r="A3474" s="29"/>
      <c r="B3474" s="15"/>
      <c r="C3474" s="19"/>
      <c r="D3474" s="19"/>
      <c r="E3474" s="19"/>
      <c r="F3474" s="19"/>
      <c r="G3474" s="19"/>
      <c r="H3474" s="82"/>
    </row>
    <row r="3475" spans="1:8" s="28" customFormat="1" x14ac:dyDescent="0.25">
      <c r="A3475" s="29"/>
      <c r="B3475" s="15"/>
      <c r="C3475" s="19"/>
      <c r="D3475" s="19"/>
      <c r="E3475" s="19"/>
      <c r="F3475" s="19"/>
      <c r="G3475" s="19"/>
      <c r="H3475" s="82"/>
    </row>
    <row r="3476" spans="1:8" s="28" customFormat="1" x14ac:dyDescent="0.25">
      <c r="A3476" s="29"/>
      <c r="B3476" s="15"/>
      <c r="C3476" s="19"/>
      <c r="D3476" s="19"/>
      <c r="E3476" s="19"/>
      <c r="F3476" s="19"/>
      <c r="G3476" s="19"/>
      <c r="H3476" s="82"/>
    </row>
    <row r="3477" spans="1:8" s="28" customFormat="1" x14ac:dyDescent="0.25">
      <c r="A3477" s="29"/>
      <c r="B3477" s="15"/>
      <c r="C3477" s="19"/>
      <c r="D3477" s="19"/>
      <c r="E3477" s="19"/>
      <c r="F3477" s="19"/>
      <c r="G3477" s="19"/>
      <c r="H3477" s="82"/>
    </row>
    <row r="3478" spans="1:8" s="28" customFormat="1" x14ac:dyDescent="0.25">
      <c r="A3478" s="29"/>
      <c r="B3478" s="15"/>
      <c r="C3478" s="19"/>
      <c r="D3478" s="19"/>
      <c r="E3478" s="19"/>
      <c r="F3478" s="19"/>
      <c r="G3478" s="19"/>
      <c r="H3478" s="82"/>
    </row>
    <row r="3479" spans="1:8" s="28" customFormat="1" x14ac:dyDescent="0.25">
      <c r="A3479" s="29"/>
      <c r="B3479" s="15"/>
      <c r="C3479" s="19"/>
      <c r="D3479" s="19"/>
      <c r="E3479" s="19"/>
      <c r="F3479" s="19"/>
      <c r="G3479" s="19"/>
      <c r="H3479" s="82"/>
    </row>
    <row r="3480" spans="1:8" s="28" customFormat="1" x14ac:dyDescent="0.25">
      <c r="A3480" s="29"/>
      <c r="B3480" s="15"/>
      <c r="C3480" s="19"/>
      <c r="D3480" s="19"/>
      <c r="E3480" s="19"/>
      <c r="F3480" s="19"/>
      <c r="G3480" s="19"/>
      <c r="H3480" s="82"/>
    </row>
    <row r="3481" spans="1:8" s="28" customFormat="1" x14ac:dyDescent="0.25">
      <c r="A3481" s="29"/>
      <c r="B3481" s="15"/>
      <c r="C3481" s="19"/>
      <c r="D3481" s="19"/>
      <c r="E3481" s="19"/>
      <c r="F3481" s="19"/>
      <c r="G3481" s="19"/>
      <c r="H3481" s="82"/>
    </row>
    <row r="3482" spans="1:8" s="28" customFormat="1" x14ac:dyDescent="0.25">
      <c r="A3482" s="29"/>
      <c r="B3482" s="15"/>
      <c r="C3482" s="19"/>
      <c r="D3482" s="19"/>
      <c r="E3482" s="19"/>
      <c r="F3482" s="19"/>
      <c r="G3482" s="19"/>
      <c r="H3482" s="82"/>
    </row>
    <row r="3483" spans="1:8" s="28" customFormat="1" x14ac:dyDescent="0.25">
      <c r="A3483" s="29"/>
      <c r="B3483" s="15"/>
      <c r="C3483" s="19"/>
      <c r="D3483" s="19"/>
      <c r="E3483" s="19"/>
      <c r="F3483" s="19"/>
      <c r="G3483" s="19"/>
      <c r="H3483" s="82"/>
    </row>
    <row r="3484" spans="1:8" s="28" customFormat="1" x14ac:dyDescent="0.25">
      <c r="A3484" s="29"/>
      <c r="B3484" s="15"/>
      <c r="C3484" s="19"/>
      <c r="D3484" s="19"/>
      <c r="E3484" s="19"/>
      <c r="F3484" s="19"/>
      <c r="G3484" s="19"/>
      <c r="H3484" s="82"/>
    </row>
    <row r="3485" spans="1:8" s="28" customFormat="1" x14ac:dyDescent="0.25">
      <c r="A3485" s="29"/>
      <c r="B3485" s="15"/>
      <c r="C3485" s="19"/>
      <c r="D3485" s="19"/>
      <c r="E3485" s="19"/>
      <c r="F3485" s="19"/>
      <c r="G3485" s="19"/>
      <c r="H3485" s="82"/>
    </row>
    <row r="3486" spans="1:8" s="28" customFormat="1" x14ac:dyDescent="0.25">
      <c r="A3486" s="29"/>
      <c r="B3486" s="15"/>
      <c r="C3486" s="19"/>
      <c r="D3486" s="19"/>
      <c r="E3486" s="19"/>
      <c r="F3486" s="19"/>
      <c r="G3486" s="19"/>
      <c r="H3486" s="82"/>
    </row>
    <row r="3487" spans="1:8" s="28" customFormat="1" x14ac:dyDescent="0.25">
      <c r="A3487" s="29"/>
      <c r="B3487" s="15"/>
      <c r="C3487" s="19"/>
      <c r="D3487" s="19"/>
      <c r="E3487" s="19"/>
      <c r="F3487" s="19"/>
      <c r="G3487" s="19"/>
      <c r="H3487" s="82"/>
    </row>
    <row r="3488" spans="1:8" s="28" customFormat="1" x14ac:dyDescent="0.25">
      <c r="A3488" s="29"/>
      <c r="B3488" s="15"/>
      <c r="C3488" s="19"/>
      <c r="D3488" s="19"/>
      <c r="E3488" s="19"/>
      <c r="F3488" s="19"/>
      <c r="G3488" s="19"/>
      <c r="H3488" s="82"/>
    </row>
    <row r="3489" spans="1:8" s="28" customFormat="1" x14ac:dyDescent="0.25">
      <c r="A3489" s="29"/>
      <c r="B3489" s="15"/>
      <c r="C3489" s="19"/>
      <c r="D3489" s="19"/>
      <c r="E3489" s="19"/>
      <c r="F3489" s="19"/>
      <c r="G3489" s="19"/>
      <c r="H3489" s="82"/>
    </row>
    <row r="3490" spans="1:8" s="28" customFormat="1" x14ac:dyDescent="0.25">
      <c r="A3490" s="29"/>
      <c r="B3490" s="15"/>
      <c r="C3490" s="19"/>
      <c r="D3490" s="19"/>
      <c r="E3490" s="19"/>
      <c r="F3490" s="19"/>
      <c r="G3490" s="19"/>
      <c r="H3490" s="82"/>
    </row>
    <row r="3491" spans="1:8" s="28" customFormat="1" x14ac:dyDescent="0.25">
      <c r="A3491" s="29"/>
      <c r="B3491" s="15"/>
      <c r="C3491" s="19"/>
      <c r="D3491" s="19"/>
      <c r="E3491" s="19"/>
      <c r="F3491" s="19"/>
      <c r="G3491" s="19"/>
      <c r="H3491" s="82"/>
    </row>
    <row r="3492" spans="1:8" s="28" customFormat="1" x14ac:dyDescent="0.25">
      <c r="A3492" s="29"/>
      <c r="B3492" s="15"/>
      <c r="C3492" s="19"/>
      <c r="D3492" s="19"/>
      <c r="E3492" s="19"/>
      <c r="F3492" s="19"/>
      <c r="G3492" s="19"/>
      <c r="H3492" s="82"/>
    </row>
    <row r="3493" spans="1:8" s="28" customFormat="1" x14ac:dyDescent="0.25">
      <c r="A3493" s="29"/>
      <c r="B3493" s="15"/>
      <c r="C3493" s="19"/>
      <c r="D3493" s="19"/>
      <c r="E3493" s="19"/>
      <c r="F3493" s="19"/>
      <c r="G3493" s="19"/>
      <c r="H3493" s="82"/>
    </row>
    <row r="3494" spans="1:8" s="28" customFormat="1" x14ac:dyDescent="0.25">
      <c r="A3494" s="29"/>
      <c r="B3494" s="15"/>
      <c r="C3494" s="19"/>
      <c r="D3494" s="19"/>
      <c r="E3494" s="19"/>
      <c r="F3494" s="19"/>
      <c r="G3494" s="19"/>
      <c r="H3494" s="82"/>
    </row>
    <row r="3495" spans="1:8" s="28" customFormat="1" x14ac:dyDescent="0.25">
      <c r="A3495" s="29"/>
      <c r="B3495" s="15"/>
      <c r="C3495" s="19"/>
      <c r="D3495" s="19"/>
      <c r="E3495" s="19"/>
      <c r="F3495" s="19"/>
      <c r="G3495" s="19"/>
      <c r="H3495" s="82"/>
    </row>
    <row r="3496" spans="1:8" s="28" customFormat="1" x14ac:dyDescent="0.25">
      <c r="A3496" s="29"/>
      <c r="B3496" s="15"/>
      <c r="C3496" s="19"/>
      <c r="D3496" s="19"/>
      <c r="E3496" s="19"/>
      <c r="F3496" s="19"/>
      <c r="G3496" s="19"/>
      <c r="H3496" s="82"/>
    </row>
    <row r="3497" spans="1:8" s="28" customFormat="1" x14ac:dyDescent="0.25">
      <c r="A3497" s="29"/>
      <c r="B3497" s="15"/>
      <c r="C3497" s="19"/>
      <c r="D3497" s="19"/>
      <c r="E3497" s="19"/>
      <c r="F3497" s="19"/>
      <c r="G3497" s="19"/>
      <c r="H3497" s="82"/>
    </row>
    <row r="3498" spans="1:8" s="28" customFormat="1" x14ac:dyDescent="0.25">
      <c r="A3498" s="29"/>
      <c r="B3498" s="15"/>
      <c r="C3498" s="19"/>
      <c r="D3498" s="19"/>
      <c r="E3498" s="19"/>
      <c r="F3498" s="19"/>
      <c r="G3498" s="19"/>
      <c r="H3498" s="82"/>
    </row>
    <row r="3499" spans="1:8" s="28" customFormat="1" x14ac:dyDescent="0.25">
      <c r="A3499" s="29"/>
      <c r="B3499" s="15"/>
      <c r="C3499" s="19"/>
      <c r="D3499" s="19"/>
      <c r="E3499" s="19"/>
      <c r="F3499" s="19"/>
      <c r="G3499" s="19"/>
      <c r="H3499" s="82"/>
    </row>
    <row r="3500" spans="1:8" s="28" customFormat="1" x14ac:dyDescent="0.25">
      <c r="A3500" s="29"/>
      <c r="B3500" s="15"/>
      <c r="C3500" s="19"/>
      <c r="D3500" s="19"/>
      <c r="E3500" s="19"/>
      <c r="F3500" s="19"/>
      <c r="G3500" s="19"/>
      <c r="H3500" s="82"/>
    </row>
    <row r="3501" spans="1:8" s="28" customFormat="1" x14ac:dyDescent="0.25">
      <c r="A3501" s="29"/>
      <c r="B3501" s="15"/>
      <c r="C3501" s="19"/>
      <c r="D3501" s="19"/>
      <c r="E3501" s="19"/>
      <c r="F3501" s="19"/>
      <c r="G3501" s="19"/>
      <c r="H3501" s="82"/>
    </row>
    <row r="3502" spans="1:8" s="28" customFormat="1" x14ac:dyDescent="0.25">
      <c r="A3502" s="29"/>
      <c r="B3502" s="15"/>
      <c r="C3502" s="19"/>
      <c r="D3502" s="19"/>
      <c r="E3502" s="19"/>
      <c r="F3502" s="19"/>
      <c r="G3502" s="19"/>
      <c r="H3502" s="82"/>
    </row>
    <row r="3503" spans="1:8" s="28" customFormat="1" x14ac:dyDescent="0.25">
      <c r="A3503" s="29"/>
      <c r="B3503" s="15"/>
      <c r="C3503" s="19"/>
      <c r="D3503" s="19"/>
      <c r="E3503" s="19"/>
      <c r="F3503" s="19"/>
      <c r="G3503" s="19"/>
      <c r="H3503" s="82"/>
    </row>
    <row r="3504" spans="1:8" s="28" customFormat="1" x14ac:dyDescent="0.25">
      <c r="A3504" s="29"/>
      <c r="B3504" s="15"/>
      <c r="C3504" s="19"/>
      <c r="D3504" s="19"/>
      <c r="E3504" s="19"/>
      <c r="F3504" s="19"/>
      <c r="G3504" s="19"/>
      <c r="H3504" s="82"/>
    </row>
    <row r="3505" spans="1:8" s="28" customFormat="1" x14ac:dyDescent="0.25">
      <c r="A3505" s="29"/>
      <c r="B3505" s="15"/>
      <c r="C3505" s="19"/>
      <c r="D3505" s="19"/>
      <c r="E3505" s="19"/>
      <c r="F3505" s="19"/>
      <c r="G3505" s="19"/>
      <c r="H3505" s="82"/>
    </row>
    <row r="3506" spans="1:8" s="28" customFormat="1" x14ac:dyDescent="0.25">
      <c r="A3506" s="29"/>
      <c r="B3506" s="15"/>
      <c r="C3506" s="19"/>
      <c r="D3506" s="19"/>
      <c r="E3506" s="19"/>
      <c r="F3506" s="19"/>
      <c r="G3506" s="19"/>
      <c r="H3506" s="82"/>
    </row>
    <row r="3507" spans="1:8" s="28" customFormat="1" x14ac:dyDescent="0.25">
      <c r="A3507" s="29"/>
      <c r="B3507" s="15"/>
      <c r="C3507" s="19"/>
      <c r="D3507" s="19"/>
      <c r="E3507" s="19"/>
      <c r="F3507" s="19"/>
      <c r="G3507" s="19"/>
      <c r="H3507" s="82"/>
    </row>
    <row r="3508" spans="1:8" s="28" customFormat="1" x14ac:dyDescent="0.25">
      <c r="A3508" s="29"/>
      <c r="B3508" s="15"/>
      <c r="C3508" s="19"/>
      <c r="D3508" s="19"/>
      <c r="E3508" s="19"/>
      <c r="F3508" s="19"/>
      <c r="G3508" s="19"/>
      <c r="H3508" s="82"/>
    </row>
    <row r="3509" spans="1:8" s="28" customFormat="1" x14ac:dyDescent="0.25">
      <c r="A3509" s="29"/>
      <c r="B3509" s="15"/>
      <c r="C3509" s="19"/>
      <c r="D3509" s="19"/>
      <c r="E3509" s="19"/>
      <c r="F3509" s="19"/>
      <c r="G3509" s="19"/>
      <c r="H3509" s="82"/>
    </row>
    <row r="3510" spans="1:8" s="28" customFormat="1" x14ac:dyDescent="0.25">
      <c r="A3510" s="29"/>
      <c r="B3510" s="15"/>
      <c r="C3510" s="19"/>
      <c r="D3510" s="19"/>
      <c r="E3510" s="19"/>
      <c r="F3510" s="19"/>
      <c r="G3510" s="19"/>
      <c r="H3510" s="82"/>
    </row>
    <row r="3511" spans="1:8" s="28" customFormat="1" x14ac:dyDescent="0.25">
      <c r="A3511" s="29"/>
      <c r="B3511" s="15"/>
      <c r="C3511" s="19"/>
      <c r="D3511" s="19"/>
      <c r="E3511" s="19"/>
      <c r="F3511" s="19"/>
      <c r="G3511" s="19"/>
      <c r="H3511" s="82"/>
    </row>
    <row r="3512" spans="1:8" s="28" customFormat="1" x14ac:dyDescent="0.25">
      <c r="A3512" s="29"/>
      <c r="B3512" s="15"/>
      <c r="C3512" s="19"/>
      <c r="D3512" s="19"/>
      <c r="E3512" s="19"/>
      <c r="F3512" s="19"/>
      <c r="G3512" s="19"/>
      <c r="H3512" s="82"/>
    </row>
    <row r="3513" spans="1:8" s="28" customFormat="1" x14ac:dyDescent="0.25">
      <c r="A3513" s="29"/>
      <c r="B3513" s="15"/>
      <c r="C3513" s="19"/>
      <c r="D3513" s="19"/>
      <c r="E3513" s="19"/>
      <c r="F3513" s="19"/>
      <c r="G3513" s="19"/>
      <c r="H3513" s="82"/>
    </row>
    <row r="3514" spans="1:8" s="28" customFormat="1" x14ac:dyDescent="0.25">
      <c r="A3514" s="29"/>
      <c r="B3514" s="15"/>
      <c r="C3514" s="19"/>
      <c r="D3514" s="19"/>
      <c r="E3514" s="19"/>
      <c r="F3514" s="19"/>
      <c r="G3514" s="19"/>
      <c r="H3514" s="82"/>
    </row>
    <row r="3515" spans="1:8" s="28" customFormat="1" x14ac:dyDescent="0.25">
      <c r="A3515" s="29"/>
      <c r="B3515" s="15"/>
      <c r="C3515" s="19"/>
      <c r="D3515" s="19"/>
      <c r="E3515" s="19"/>
      <c r="F3515" s="19"/>
      <c r="G3515" s="19"/>
      <c r="H3515" s="82"/>
    </row>
    <row r="3516" spans="1:8" s="28" customFormat="1" x14ac:dyDescent="0.25">
      <c r="A3516" s="29"/>
      <c r="B3516" s="15"/>
      <c r="C3516" s="19"/>
      <c r="D3516" s="19"/>
      <c r="E3516" s="19"/>
      <c r="F3516" s="19"/>
      <c r="G3516" s="19"/>
      <c r="H3516" s="82"/>
    </row>
    <row r="3517" spans="1:8" s="28" customFormat="1" x14ac:dyDescent="0.25">
      <c r="A3517" s="29"/>
      <c r="B3517" s="15"/>
      <c r="C3517" s="19"/>
      <c r="D3517" s="19"/>
      <c r="E3517" s="19"/>
      <c r="F3517" s="19"/>
      <c r="G3517" s="19"/>
      <c r="H3517" s="82"/>
    </row>
    <row r="3518" spans="1:8" s="28" customFormat="1" x14ac:dyDescent="0.25">
      <c r="A3518" s="29"/>
      <c r="B3518" s="15"/>
      <c r="C3518" s="19"/>
      <c r="D3518" s="19"/>
      <c r="E3518" s="19"/>
      <c r="F3518" s="19"/>
      <c r="G3518" s="19"/>
      <c r="H3518" s="82"/>
    </row>
    <row r="3519" spans="1:8" s="28" customFormat="1" x14ac:dyDescent="0.25">
      <c r="A3519" s="29"/>
      <c r="B3519" s="15"/>
      <c r="C3519" s="19"/>
      <c r="D3519" s="19"/>
      <c r="E3519" s="19"/>
      <c r="F3519" s="19"/>
      <c r="G3519" s="19"/>
      <c r="H3519" s="82"/>
    </row>
    <row r="3520" spans="1:8" s="28" customFormat="1" x14ac:dyDescent="0.25">
      <c r="A3520" s="29"/>
      <c r="B3520" s="15"/>
      <c r="C3520" s="19"/>
      <c r="D3520" s="19"/>
      <c r="E3520" s="19"/>
      <c r="F3520" s="19"/>
      <c r="G3520" s="19"/>
      <c r="H3520" s="82"/>
    </row>
    <row r="3521" spans="1:8" s="28" customFormat="1" x14ac:dyDescent="0.25">
      <c r="A3521" s="29"/>
      <c r="B3521" s="15"/>
      <c r="C3521" s="19"/>
      <c r="D3521" s="19"/>
      <c r="E3521" s="19"/>
      <c r="F3521" s="19"/>
      <c r="G3521" s="19"/>
      <c r="H3521" s="82"/>
    </row>
    <row r="3522" spans="1:8" s="28" customFormat="1" x14ac:dyDescent="0.25">
      <c r="A3522" s="29"/>
      <c r="B3522" s="15"/>
      <c r="C3522" s="19"/>
      <c r="D3522" s="19"/>
      <c r="E3522" s="19"/>
      <c r="F3522" s="19"/>
      <c r="G3522" s="19"/>
      <c r="H3522" s="82"/>
    </row>
    <row r="3523" spans="1:8" s="28" customFormat="1" x14ac:dyDescent="0.25">
      <c r="A3523" s="29"/>
      <c r="B3523" s="15"/>
      <c r="C3523" s="19"/>
      <c r="D3523" s="19"/>
      <c r="E3523" s="19"/>
      <c r="F3523" s="19"/>
      <c r="G3523" s="19"/>
      <c r="H3523" s="82"/>
    </row>
    <row r="3524" spans="1:8" s="28" customFormat="1" x14ac:dyDescent="0.25">
      <c r="A3524" s="29"/>
      <c r="B3524" s="15"/>
      <c r="C3524" s="19"/>
      <c r="D3524" s="19"/>
      <c r="E3524" s="19"/>
      <c r="F3524" s="19"/>
      <c r="G3524" s="19"/>
      <c r="H3524" s="82"/>
    </row>
    <row r="3525" spans="1:8" s="28" customFormat="1" x14ac:dyDescent="0.25">
      <c r="A3525" s="29"/>
      <c r="B3525" s="15"/>
      <c r="C3525" s="19"/>
      <c r="D3525" s="19"/>
      <c r="E3525" s="19"/>
      <c r="F3525" s="19"/>
      <c r="G3525" s="19"/>
      <c r="H3525" s="82"/>
    </row>
    <row r="3526" spans="1:8" s="28" customFormat="1" x14ac:dyDescent="0.25">
      <c r="A3526" s="29"/>
      <c r="B3526" s="15"/>
      <c r="C3526" s="19"/>
      <c r="D3526" s="19"/>
      <c r="E3526" s="19"/>
      <c r="F3526" s="19"/>
      <c r="G3526" s="19"/>
      <c r="H3526" s="82"/>
    </row>
    <row r="3527" spans="1:8" s="28" customFormat="1" x14ac:dyDescent="0.25">
      <c r="A3527" s="29"/>
      <c r="B3527" s="15"/>
      <c r="C3527" s="19"/>
      <c r="D3527" s="19"/>
      <c r="E3527" s="19"/>
      <c r="F3527" s="19"/>
      <c r="G3527" s="19"/>
      <c r="H3527" s="82"/>
    </row>
    <row r="3528" spans="1:8" s="28" customFormat="1" x14ac:dyDescent="0.25">
      <c r="A3528" s="29"/>
      <c r="B3528" s="15"/>
      <c r="C3528" s="19"/>
      <c r="D3528" s="19"/>
      <c r="E3528" s="19"/>
      <c r="F3528" s="19"/>
      <c r="G3528" s="19"/>
      <c r="H3528" s="82"/>
    </row>
    <row r="3529" spans="1:8" s="28" customFormat="1" x14ac:dyDescent="0.25">
      <c r="A3529" s="29"/>
      <c r="B3529" s="15"/>
      <c r="C3529" s="19"/>
      <c r="D3529" s="19"/>
      <c r="E3529" s="19"/>
      <c r="F3529" s="19"/>
      <c r="G3529" s="19"/>
      <c r="H3529" s="82"/>
    </row>
    <row r="3530" spans="1:8" s="28" customFormat="1" x14ac:dyDescent="0.25">
      <c r="A3530" s="29"/>
      <c r="B3530" s="15"/>
      <c r="C3530" s="19"/>
      <c r="D3530" s="19"/>
      <c r="E3530" s="19"/>
      <c r="F3530" s="19"/>
      <c r="G3530" s="19"/>
      <c r="H3530" s="82"/>
    </row>
    <row r="3531" spans="1:8" s="28" customFormat="1" x14ac:dyDescent="0.25">
      <c r="A3531" s="29"/>
      <c r="B3531" s="15"/>
      <c r="C3531" s="19"/>
      <c r="D3531" s="19"/>
      <c r="E3531" s="19"/>
      <c r="F3531" s="19"/>
      <c r="G3531" s="19"/>
      <c r="H3531" s="82"/>
    </row>
    <row r="3532" spans="1:8" s="28" customFormat="1" x14ac:dyDescent="0.25">
      <c r="A3532" s="29"/>
      <c r="B3532" s="15"/>
      <c r="C3532" s="19"/>
      <c r="D3532" s="19"/>
      <c r="E3532" s="19"/>
      <c r="F3532" s="19"/>
      <c r="G3532" s="19"/>
      <c r="H3532" s="82"/>
    </row>
    <row r="3533" spans="1:8" s="28" customFormat="1" x14ac:dyDescent="0.25">
      <c r="A3533" s="29"/>
      <c r="B3533" s="15"/>
      <c r="C3533" s="19"/>
      <c r="D3533" s="19"/>
      <c r="E3533" s="19"/>
      <c r="F3533" s="19"/>
      <c r="G3533" s="19"/>
      <c r="H3533" s="82"/>
    </row>
    <row r="3534" spans="1:8" s="28" customFormat="1" x14ac:dyDescent="0.25">
      <c r="A3534" s="29"/>
      <c r="B3534" s="15"/>
      <c r="C3534" s="19"/>
      <c r="D3534" s="19"/>
      <c r="E3534" s="19"/>
      <c r="F3534" s="19"/>
      <c r="G3534" s="19"/>
      <c r="H3534" s="82"/>
    </row>
    <row r="3535" spans="1:8" s="28" customFormat="1" x14ac:dyDescent="0.25">
      <c r="A3535" s="29"/>
      <c r="B3535" s="15"/>
      <c r="C3535" s="19"/>
      <c r="D3535" s="19"/>
      <c r="E3535" s="19"/>
      <c r="F3535" s="19"/>
      <c r="G3535" s="19"/>
      <c r="H3535" s="82"/>
    </row>
    <row r="3536" spans="1:8" s="28" customFormat="1" x14ac:dyDescent="0.25">
      <c r="A3536" s="29"/>
      <c r="B3536" s="15"/>
      <c r="C3536" s="19"/>
      <c r="D3536" s="19"/>
      <c r="E3536" s="19"/>
      <c r="F3536" s="19"/>
      <c r="G3536" s="19"/>
      <c r="H3536" s="82"/>
    </row>
    <row r="3537" spans="1:8" s="28" customFormat="1" x14ac:dyDescent="0.25">
      <c r="A3537" s="29"/>
      <c r="B3537" s="15"/>
      <c r="C3537" s="19"/>
      <c r="D3537" s="19"/>
      <c r="E3537" s="19"/>
      <c r="F3537" s="19"/>
      <c r="G3537" s="19"/>
      <c r="H3537" s="82"/>
    </row>
    <row r="3538" spans="1:8" s="28" customFormat="1" x14ac:dyDescent="0.25">
      <c r="A3538" s="29"/>
      <c r="B3538" s="15"/>
      <c r="C3538" s="19"/>
      <c r="D3538" s="19"/>
      <c r="E3538" s="19"/>
      <c r="F3538" s="19"/>
      <c r="G3538" s="19"/>
      <c r="H3538" s="82"/>
    </row>
    <row r="3539" spans="1:8" s="28" customFormat="1" x14ac:dyDescent="0.25">
      <c r="A3539" s="29"/>
      <c r="B3539" s="15"/>
      <c r="C3539" s="19"/>
      <c r="D3539" s="19"/>
      <c r="E3539" s="19"/>
      <c r="F3539" s="19"/>
      <c r="G3539" s="19"/>
      <c r="H3539" s="82"/>
    </row>
    <row r="3540" spans="1:8" s="28" customFormat="1" x14ac:dyDescent="0.25">
      <c r="A3540" s="29"/>
      <c r="B3540" s="15"/>
      <c r="C3540" s="19"/>
      <c r="D3540" s="19"/>
      <c r="E3540" s="19"/>
      <c r="F3540" s="19"/>
      <c r="G3540" s="19"/>
      <c r="H3540" s="82"/>
    </row>
    <row r="3541" spans="1:8" s="28" customFormat="1" x14ac:dyDescent="0.25">
      <c r="A3541" s="29"/>
      <c r="B3541" s="15"/>
      <c r="C3541" s="19"/>
      <c r="D3541" s="19"/>
      <c r="E3541" s="19"/>
      <c r="F3541" s="19"/>
      <c r="G3541" s="19"/>
      <c r="H3541" s="82"/>
    </row>
    <row r="3542" spans="1:8" s="28" customFormat="1" x14ac:dyDescent="0.25">
      <c r="A3542" s="29"/>
      <c r="B3542" s="15"/>
      <c r="C3542" s="19"/>
      <c r="D3542" s="19"/>
      <c r="E3542" s="19"/>
      <c r="F3542" s="19"/>
      <c r="G3542" s="19"/>
      <c r="H3542" s="82"/>
    </row>
    <row r="3543" spans="1:8" s="28" customFormat="1" x14ac:dyDescent="0.25">
      <c r="A3543" s="29"/>
      <c r="B3543" s="15"/>
      <c r="C3543" s="19"/>
      <c r="D3543" s="19"/>
      <c r="E3543" s="19"/>
      <c r="F3543" s="19"/>
      <c r="G3543" s="19"/>
      <c r="H3543" s="82"/>
    </row>
    <row r="3544" spans="1:8" s="28" customFormat="1" x14ac:dyDescent="0.25">
      <c r="A3544" s="29"/>
      <c r="B3544" s="15"/>
      <c r="C3544" s="19"/>
      <c r="D3544" s="19"/>
      <c r="E3544" s="19"/>
      <c r="F3544" s="19"/>
      <c r="G3544" s="19"/>
      <c r="H3544" s="82"/>
    </row>
    <row r="3545" spans="1:8" s="28" customFormat="1" x14ac:dyDescent="0.25">
      <c r="A3545" s="29"/>
      <c r="B3545" s="15"/>
      <c r="C3545" s="19"/>
      <c r="D3545" s="19"/>
      <c r="E3545" s="19"/>
      <c r="F3545" s="19"/>
      <c r="G3545" s="19"/>
      <c r="H3545" s="82"/>
    </row>
    <row r="3546" spans="1:8" s="28" customFormat="1" x14ac:dyDescent="0.25">
      <c r="A3546" s="29"/>
      <c r="B3546" s="15"/>
      <c r="C3546" s="19"/>
      <c r="D3546" s="19"/>
      <c r="E3546" s="19"/>
      <c r="F3546" s="19"/>
      <c r="G3546" s="19"/>
      <c r="H3546" s="82"/>
    </row>
    <row r="3547" spans="1:8" s="28" customFormat="1" x14ac:dyDescent="0.25">
      <c r="A3547" s="29"/>
      <c r="B3547" s="15"/>
      <c r="C3547" s="19"/>
      <c r="D3547" s="19"/>
      <c r="E3547" s="19"/>
      <c r="F3547" s="19"/>
      <c r="G3547" s="19"/>
      <c r="H3547" s="82"/>
    </row>
    <row r="3548" spans="1:8" s="28" customFormat="1" x14ac:dyDescent="0.25">
      <c r="A3548" s="29"/>
      <c r="B3548" s="15"/>
      <c r="C3548" s="19"/>
      <c r="D3548" s="19"/>
      <c r="E3548" s="19"/>
      <c r="F3548" s="19"/>
      <c r="G3548" s="19"/>
      <c r="H3548" s="82"/>
    </row>
    <row r="3549" spans="1:8" s="28" customFormat="1" x14ac:dyDescent="0.25">
      <c r="A3549" s="29"/>
      <c r="B3549" s="15"/>
      <c r="C3549" s="19"/>
      <c r="D3549" s="19"/>
      <c r="E3549" s="19"/>
      <c r="F3549" s="19"/>
      <c r="G3549" s="19"/>
      <c r="H3549" s="82"/>
    </row>
    <row r="3550" spans="1:8" s="28" customFormat="1" x14ac:dyDescent="0.25">
      <c r="A3550" s="29"/>
      <c r="B3550" s="15"/>
      <c r="C3550" s="19"/>
      <c r="D3550" s="19"/>
      <c r="E3550" s="19"/>
      <c r="F3550" s="19"/>
      <c r="G3550" s="19"/>
      <c r="H3550" s="82"/>
    </row>
    <row r="3551" spans="1:8" s="28" customFormat="1" x14ac:dyDescent="0.25">
      <c r="A3551" s="29"/>
      <c r="B3551" s="15"/>
      <c r="C3551" s="19"/>
      <c r="D3551" s="19"/>
      <c r="E3551" s="19"/>
      <c r="F3551" s="19"/>
      <c r="G3551" s="19"/>
      <c r="H3551" s="82"/>
    </row>
    <row r="3552" spans="1:8" s="28" customFormat="1" x14ac:dyDescent="0.25">
      <c r="A3552" s="29"/>
      <c r="B3552" s="15"/>
      <c r="C3552" s="19"/>
      <c r="D3552" s="19"/>
      <c r="E3552" s="19"/>
      <c r="F3552" s="19"/>
      <c r="G3552" s="19"/>
      <c r="H3552" s="82"/>
    </row>
    <row r="3553" spans="1:8" s="28" customFormat="1" x14ac:dyDescent="0.25">
      <c r="A3553" s="29"/>
      <c r="B3553" s="15"/>
      <c r="C3553" s="19"/>
      <c r="D3553" s="19"/>
      <c r="E3553" s="19"/>
      <c r="F3553" s="19"/>
      <c r="G3553" s="19"/>
      <c r="H3553" s="82"/>
    </row>
    <row r="3554" spans="1:8" s="28" customFormat="1" x14ac:dyDescent="0.25">
      <c r="A3554" s="29"/>
      <c r="B3554" s="15"/>
      <c r="C3554" s="19"/>
      <c r="D3554" s="19"/>
      <c r="E3554" s="19"/>
      <c r="F3554" s="19"/>
      <c r="G3554" s="19"/>
      <c r="H3554" s="82"/>
    </row>
    <row r="3555" spans="1:8" s="28" customFormat="1" x14ac:dyDescent="0.25">
      <c r="A3555" s="29"/>
      <c r="B3555" s="15"/>
      <c r="C3555" s="19"/>
      <c r="D3555" s="19"/>
      <c r="E3555" s="19"/>
      <c r="F3555" s="19"/>
      <c r="G3555" s="19"/>
      <c r="H3555" s="82"/>
    </row>
    <row r="3556" spans="1:8" s="28" customFormat="1" x14ac:dyDescent="0.25">
      <c r="A3556" s="29"/>
      <c r="B3556" s="15"/>
      <c r="C3556" s="19"/>
      <c r="D3556" s="19"/>
      <c r="E3556" s="19"/>
      <c r="F3556" s="19"/>
      <c r="G3556" s="19"/>
      <c r="H3556" s="82"/>
    </row>
    <row r="3557" spans="1:8" s="28" customFormat="1" x14ac:dyDescent="0.25">
      <c r="A3557" s="29"/>
      <c r="B3557" s="15"/>
      <c r="C3557" s="19"/>
      <c r="D3557" s="19"/>
      <c r="E3557" s="19"/>
      <c r="F3557" s="19"/>
      <c r="G3557" s="19"/>
      <c r="H3557" s="82"/>
    </row>
    <row r="3558" spans="1:8" s="28" customFormat="1" x14ac:dyDescent="0.25">
      <c r="A3558" s="29"/>
      <c r="B3558" s="15"/>
      <c r="C3558" s="19"/>
      <c r="D3558" s="19"/>
      <c r="E3558" s="19"/>
      <c r="F3558" s="19"/>
      <c r="G3558" s="19"/>
      <c r="H3558" s="82"/>
    </row>
    <row r="3559" spans="1:8" s="28" customFormat="1" x14ac:dyDescent="0.25">
      <c r="A3559" s="29"/>
      <c r="B3559" s="15"/>
      <c r="C3559" s="19"/>
      <c r="D3559" s="19"/>
      <c r="E3559" s="19"/>
      <c r="F3559" s="19"/>
      <c r="G3559" s="19"/>
      <c r="H3559" s="82"/>
    </row>
    <row r="3560" spans="1:8" s="28" customFormat="1" x14ac:dyDescent="0.25">
      <c r="A3560" s="29"/>
      <c r="B3560" s="15"/>
      <c r="C3560" s="19"/>
      <c r="D3560" s="19"/>
      <c r="E3560" s="19"/>
      <c r="F3560" s="19"/>
      <c r="G3560" s="19"/>
      <c r="H3560" s="82"/>
    </row>
    <row r="3561" spans="1:8" s="28" customFormat="1" x14ac:dyDescent="0.25">
      <c r="A3561" s="29"/>
      <c r="B3561" s="15"/>
      <c r="C3561" s="19"/>
      <c r="D3561" s="19"/>
      <c r="E3561" s="19"/>
      <c r="F3561" s="19"/>
      <c r="G3561" s="19"/>
      <c r="H3561" s="82"/>
    </row>
    <row r="3562" spans="1:8" s="28" customFormat="1" x14ac:dyDescent="0.25">
      <c r="A3562" s="29"/>
      <c r="B3562" s="15"/>
      <c r="C3562" s="19"/>
      <c r="D3562" s="19"/>
      <c r="E3562" s="19"/>
      <c r="F3562" s="19"/>
      <c r="G3562" s="19"/>
      <c r="H3562" s="82"/>
    </row>
    <row r="3563" spans="1:8" s="28" customFormat="1" x14ac:dyDescent="0.25">
      <c r="A3563" s="29"/>
      <c r="B3563" s="15"/>
      <c r="C3563" s="19"/>
      <c r="D3563" s="19"/>
      <c r="E3563" s="19"/>
      <c r="F3563" s="19"/>
      <c r="G3563" s="19"/>
      <c r="H3563" s="82"/>
    </row>
    <row r="3564" spans="1:8" s="28" customFormat="1" x14ac:dyDescent="0.25">
      <c r="A3564" s="29"/>
      <c r="B3564" s="15"/>
      <c r="C3564" s="19"/>
      <c r="D3564" s="19"/>
      <c r="E3564" s="19"/>
      <c r="F3564" s="19"/>
      <c r="G3564" s="19"/>
      <c r="H3564" s="82"/>
    </row>
    <row r="3565" spans="1:8" s="28" customFormat="1" x14ac:dyDescent="0.25">
      <c r="A3565" s="29"/>
      <c r="B3565" s="15"/>
      <c r="C3565" s="19"/>
      <c r="D3565" s="19"/>
      <c r="E3565" s="19"/>
      <c r="F3565" s="19"/>
      <c r="G3565" s="19"/>
      <c r="H3565" s="82"/>
    </row>
    <row r="3566" spans="1:8" s="28" customFormat="1" x14ac:dyDescent="0.25">
      <c r="A3566" s="29"/>
      <c r="B3566" s="15"/>
      <c r="C3566" s="19"/>
      <c r="D3566" s="19"/>
      <c r="E3566" s="19"/>
      <c r="F3566" s="19"/>
      <c r="G3566" s="19"/>
      <c r="H3566" s="82"/>
    </row>
    <row r="3567" spans="1:8" s="28" customFormat="1" x14ac:dyDescent="0.25">
      <c r="A3567" s="29"/>
      <c r="B3567" s="15"/>
      <c r="C3567" s="19"/>
      <c r="D3567" s="19"/>
      <c r="E3567" s="19"/>
      <c r="F3567" s="19"/>
      <c r="G3567" s="19"/>
      <c r="H3567" s="82"/>
    </row>
    <row r="3568" spans="1:8" s="28" customFormat="1" x14ac:dyDescent="0.25">
      <c r="A3568" s="29"/>
      <c r="B3568" s="15"/>
      <c r="C3568" s="19"/>
      <c r="D3568" s="19"/>
      <c r="E3568" s="19"/>
      <c r="F3568" s="19"/>
      <c r="G3568" s="19"/>
      <c r="H3568" s="82"/>
    </row>
    <row r="3569" spans="1:8" s="28" customFormat="1" x14ac:dyDescent="0.25">
      <c r="A3569" s="29"/>
      <c r="B3569" s="15"/>
      <c r="C3569" s="19"/>
      <c r="D3569" s="19"/>
      <c r="E3569" s="19"/>
      <c r="F3569" s="19"/>
      <c r="G3569" s="19"/>
      <c r="H3569" s="82"/>
    </row>
    <row r="3570" spans="1:8" s="28" customFormat="1" x14ac:dyDescent="0.25">
      <c r="A3570" s="29"/>
      <c r="B3570" s="15"/>
      <c r="C3570" s="19"/>
      <c r="D3570" s="19"/>
      <c r="E3570" s="19"/>
      <c r="F3570" s="19"/>
      <c r="G3570" s="19"/>
      <c r="H3570" s="82"/>
    </row>
    <row r="3571" spans="1:8" s="28" customFormat="1" x14ac:dyDescent="0.25">
      <c r="A3571" s="29"/>
      <c r="B3571" s="15"/>
      <c r="C3571" s="19"/>
      <c r="D3571" s="19"/>
      <c r="E3571" s="19"/>
      <c r="F3571" s="19"/>
      <c r="G3571" s="19"/>
      <c r="H3571" s="82"/>
    </row>
    <row r="3572" spans="1:8" s="28" customFormat="1" x14ac:dyDescent="0.25">
      <c r="A3572" s="29"/>
      <c r="B3572" s="15"/>
      <c r="C3572" s="19"/>
      <c r="D3572" s="19"/>
      <c r="E3572" s="19"/>
      <c r="F3572" s="19"/>
      <c r="G3572" s="19"/>
      <c r="H3572" s="82"/>
    </row>
    <row r="3573" spans="1:8" s="28" customFormat="1" x14ac:dyDescent="0.25">
      <c r="A3573" s="29"/>
      <c r="B3573" s="15"/>
      <c r="C3573" s="19"/>
      <c r="D3573" s="19"/>
      <c r="E3573" s="19"/>
      <c r="F3573" s="19"/>
      <c r="G3573" s="19"/>
      <c r="H3573" s="82"/>
    </row>
    <row r="3574" spans="1:8" s="28" customFormat="1" x14ac:dyDescent="0.25">
      <c r="A3574" s="29"/>
      <c r="B3574" s="15"/>
      <c r="C3574" s="19"/>
      <c r="D3574" s="19"/>
      <c r="E3574" s="19"/>
      <c r="F3574" s="19"/>
      <c r="G3574" s="19"/>
      <c r="H3574" s="82"/>
    </row>
    <row r="3575" spans="1:8" s="28" customFormat="1" x14ac:dyDescent="0.25">
      <c r="A3575" s="29"/>
      <c r="B3575" s="15"/>
      <c r="C3575" s="19"/>
      <c r="D3575" s="19"/>
      <c r="E3575" s="19"/>
      <c r="F3575" s="19"/>
      <c r="G3575" s="19"/>
      <c r="H3575" s="82"/>
    </row>
    <row r="3576" spans="1:8" s="28" customFormat="1" x14ac:dyDescent="0.25">
      <c r="A3576" s="29"/>
      <c r="B3576" s="15"/>
      <c r="C3576" s="19"/>
      <c r="D3576" s="19"/>
      <c r="E3576" s="19"/>
      <c r="F3576" s="19"/>
      <c r="G3576" s="19"/>
      <c r="H3576" s="82"/>
    </row>
    <row r="3577" spans="1:8" s="28" customFormat="1" x14ac:dyDescent="0.25">
      <c r="A3577" s="29"/>
      <c r="B3577" s="15"/>
      <c r="C3577" s="19"/>
      <c r="D3577" s="19"/>
      <c r="E3577" s="19"/>
      <c r="F3577" s="19"/>
      <c r="G3577" s="19"/>
      <c r="H3577" s="82"/>
    </row>
    <row r="3578" spans="1:8" s="28" customFormat="1" x14ac:dyDescent="0.25">
      <c r="A3578" s="29"/>
      <c r="B3578" s="15"/>
      <c r="C3578" s="19"/>
      <c r="D3578" s="19"/>
      <c r="E3578" s="19"/>
      <c r="F3578" s="19"/>
      <c r="G3578" s="19"/>
      <c r="H3578" s="82"/>
    </row>
    <row r="3579" spans="1:8" s="28" customFormat="1" x14ac:dyDescent="0.25">
      <c r="A3579" s="29"/>
      <c r="B3579" s="15"/>
      <c r="C3579" s="19"/>
      <c r="D3579" s="19"/>
      <c r="E3579" s="19"/>
      <c r="F3579" s="19"/>
      <c r="G3579" s="19"/>
      <c r="H3579" s="82"/>
    </row>
    <row r="3580" spans="1:8" s="28" customFormat="1" x14ac:dyDescent="0.25">
      <c r="A3580" s="29"/>
      <c r="B3580" s="15"/>
      <c r="C3580" s="19"/>
      <c r="D3580" s="19"/>
      <c r="E3580" s="19"/>
      <c r="F3580" s="19"/>
      <c r="G3580" s="19"/>
      <c r="H3580" s="82"/>
    </row>
    <row r="3581" spans="1:8" s="28" customFormat="1" x14ac:dyDescent="0.25">
      <c r="A3581" s="29"/>
      <c r="B3581" s="15"/>
      <c r="C3581" s="19"/>
      <c r="D3581" s="19"/>
      <c r="E3581" s="19"/>
      <c r="F3581" s="19"/>
      <c r="G3581" s="19"/>
      <c r="H3581" s="82"/>
    </row>
    <row r="3582" spans="1:8" s="28" customFormat="1" x14ac:dyDescent="0.25">
      <c r="A3582" s="29"/>
      <c r="B3582" s="15"/>
      <c r="C3582" s="19"/>
      <c r="D3582" s="19"/>
      <c r="E3582" s="19"/>
      <c r="F3582" s="19"/>
      <c r="G3582" s="19"/>
      <c r="H3582" s="82"/>
    </row>
    <row r="3583" spans="1:8" s="28" customFormat="1" x14ac:dyDescent="0.25">
      <c r="A3583" s="29"/>
      <c r="B3583" s="15"/>
      <c r="C3583" s="19"/>
      <c r="D3583" s="19"/>
      <c r="E3583" s="19"/>
      <c r="F3583" s="19"/>
      <c r="G3583" s="19"/>
      <c r="H3583" s="82"/>
    </row>
    <row r="3584" spans="1:8" s="28" customFormat="1" x14ac:dyDescent="0.25">
      <c r="A3584" s="29"/>
      <c r="B3584" s="15"/>
      <c r="C3584" s="19"/>
      <c r="D3584" s="19"/>
      <c r="E3584" s="19"/>
      <c r="F3584" s="19"/>
      <c r="G3584" s="19"/>
      <c r="H3584" s="82"/>
    </row>
    <row r="3585" spans="1:8" s="28" customFormat="1" x14ac:dyDescent="0.25">
      <c r="A3585" s="29"/>
      <c r="B3585" s="15"/>
      <c r="C3585" s="19"/>
      <c r="D3585" s="19"/>
      <c r="E3585" s="19"/>
      <c r="F3585" s="19"/>
      <c r="G3585" s="19"/>
      <c r="H3585" s="82"/>
    </row>
    <row r="3586" spans="1:8" s="28" customFormat="1" x14ac:dyDescent="0.25">
      <c r="A3586" s="29"/>
      <c r="B3586" s="15"/>
      <c r="C3586" s="19"/>
      <c r="D3586" s="19"/>
      <c r="E3586" s="19"/>
      <c r="F3586" s="19"/>
      <c r="G3586" s="19"/>
      <c r="H3586" s="82"/>
    </row>
    <row r="3587" spans="1:8" s="28" customFormat="1" x14ac:dyDescent="0.25">
      <c r="A3587" s="29"/>
      <c r="B3587" s="15"/>
      <c r="C3587" s="19"/>
      <c r="D3587" s="19"/>
      <c r="E3587" s="19"/>
      <c r="F3587" s="19"/>
      <c r="G3587" s="19"/>
      <c r="H3587" s="82"/>
    </row>
    <row r="3588" spans="1:8" s="28" customFormat="1" x14ac:dyDescent="0.25">
      <c r="A3588" s="29"/>
      <c r="B3588" s="15"/>
      <c r="C3588" s="19"/>
      <c r="D3588" s="19"/>
      <c r="E3588" s="19"/>
      <c r="F3588" s="19"/>
      <c r="G3588" s="19"/>
      <c r="H3588" s="82"/>
    </row>
    <row r="3589" spans="1:8" s="28" customFormat="1" x14ac:dyDescent="0.25">
      <c r="A3589" s="29"/>
      <c r="B3589" s="15"/>
      <c r="C3589" s="19"/>
      <c r="D3589" s="19"/>
      <c r="E3589" s="19"/>
      <c r="F3589" s="19"/>
      <c r="G3589" s="19"/>
      <c r="H3589" s="82"/>
    </row>
    <row r="3590" spans="1:8" s="28" customFormat="1" x14ac:dyDescent="0.25">
      <c r="A3590" s="29"/>
      <c r="B3590" s="15"/>
      <c r="C3590" s="19"/>
      <c r="D3590" s="19"/>
      <c r="E3590" s="19"/>
      <c r="F3590" s="19"/>
      <c r="G3590" s="19"/>
      <c r="H3590" s="82"/>
    </row>
    <row r="3591" spans="1:8" s="28" customFormat="1" x14ac:dyDescent="0.25">
      <c r="A3591" s="29"/>
      <c r="B3591" s="15"/>
      <c r="C3591" s="19"/>
      <c r="D3591" s="19"/>
      <c r="E3591" s="19"/>
      <c r="F3591" s="19"/>
      <c r="G3591" s="19"/>
      <c r="H3591" s="82"/>
    </row>
    <row r="3592" spans="1:8" s="28" customFormat="1" x14ac:dyDescent="0.25">
      <c r="A3592" s="29"/>
      <c r="B3592" s="15"/>
      <c r="C3592" s="19"/>
      <c r="D3592" s="19"/>
      <c r="E3592" s="19"/>
      <c r="F3592" s="19"/>
      <c r="G3592" s="19"/>
      <c r="H3592" s="82"/>
    </row>
    <row r="3593" spans="1:8" s="28" customFormat="1" x14ac:dyDescent="0.25">
      <c r="A3593" s="29"/>
      <c r="B3593" s="15"/>
      <c r="C3593" s="19"/>
      <c r="D3593" s="19"/>
      <c r="E3593" s="19"/>
      <c r="F3593" s="19"/>
      <c r="G3593" s="19"/>
      <c r="H3593" s="82"/>
    </row>
    <row r="3594" spans="1:8" s="28" customFormat="1" x14ac:dyDescent="0.25">
      <c r="A3594" s="29"/>
      <c r="B3594" s="15"/>
      <c r="C3594" s="19"/>
      <c r="D3594" s="19"/>
      <c r="E3594" s="19"/>
      <c r="F3594" s="19"/>
      <c r="G3594" s="19"/>
      <c r="H3594" s="82"/>
    </row>
    <row r="3595" spans="1:8" s="28" customFormat="1" x14ac:dyDescent="0.25">
      <c r="A3595" s="29"/>
      <c r="B3595" s="15"/>
      <c r="C3595" s="19"/>
      <c r="D3595" s="19"/>
      <c r="E3595" s="19"/>
      <c r="F3595" s="19"/>
      <c r="G3595" s="19"/>
      <c r="H3595" s="82"/>
    </row>
    <row r="3596" spans="1:8" s="28" customFormat="1" x14ac:dyDescent="0.25">
      <c r="A3596" s="29"/>
      <c r="B3596" s="15"/>
      <c r="C3596" s="19"/>
      <c r="D3596" s="19"/>
      <c r="E3596" s="19"/>
      <c r="F3596" s="19"/>
      <c r="G3596" s="19"/>
      <c r="H3596" s="82"/>
    </row>
    <row r="3597" spans="1:8" s="28" customFormat="1" x14ac:dyDescent="0.25">
      <c r="A3597" s="29"/>
      <c r="B3597" s="15"/>
      <c r="C3597" s="19"/>
      <c r="D3597" s="19"/>
      <c r="E3597" s="19"/>
      <c r="F3597" s="19"/>
      <c r="G3597" s="19"/>
      <c r="H3597" s="82"/>
    </row>
    <row r="3598" spans="1:8" s="28" customFormat="1" x14ac:dyDescent="0.25">
      <c r="A3598" s="29"/>
      <c r="B3598" s="15"/>
      <c r="C3598" s="19"/>
      <c r="D3598" s="19"/>
      <c r="E3598" s="19"/>
      <c r="F3598" s="19"/>
      <c r="G3598" s="19"/>
      <c r="H3598" s="82"/>
    </row>
    <row r="3599" spans="1:8" s="28" customFormat="1" x14ac:dyDescent="0.25">
      <c r="A3599" s="29"/>
      <c r="B3599" s="15"/>
      <c r="C3599" s="19"/>
      <c r="D3599" s="19"/>
      <c r="E3599" s="19"/>
      <c r="F3599" s="19"/>
      <c r="G3599" s="19"/>
      <c r="H3599" s="82"/>
    </row>
    <row r="3600" spans="1:8" s="28" customFormat="1" x14ac:dyDescent="0.25">
      <c r="A3600" s="29"/>
      <c r="B3600" s="15"/>
      <c r="C3600" s="19"/>
      <c r="D3600" s="19"/>
      <c r="E3600" s="19"/>
      <c r="F3600" s="19"/>
      <c r="G3600" s="19"/>
      <c r="H3600" s="82"/>
    </row>
    <row r="3601" spans="1:8" s="28" customFormat="1" x14ac:dyDescent="0.25">
      <c r="A3601" s="29"/>
      <c r="B3601" s="15"/>
      <c r="C3601" s="19"/>
      <c r="D3601" s="19"/>
      <c r="E3601" s="19"/>
      <c r="F3601" s="19"/>
      <c r="G3601" s="19"/>
      <c r="H3601" s="82"/>
    </row>
    <row r="3602" spans="1:8" s="28" customFormat="1" x14ac:dyDescent="0.25">
      <c r="A3602" s="29"/>
      <c r="B3602" s="15"/>
      <c r="C3602" s="19"/>
      <c r="D3602" s="19"/>
      <c r="E3602" s="19"/>
      <c r="F3602" s="19"/>
      <c r="G3602" s="19"/>
      <c r="H3602" s="82"/>
    </row>
    <row r="3603" spans="1:8" s="28" customFormat="1" x14ac:dyDescent="0.25">
      <c r="A3603" s="29"/>
      <c r="B3603" s="15"/>
      <c r="C3603" s="19"/>
      <c r="D3603" s="19"/>
      <c r="E3603" s="19"/>
      <c r="F3603" s="19"/>
      <c r="G3603" s="19"/>
      <c r="H3603" s="82"/>
    </row>
    <row r="3604" spans="1:8" s="28" customFormat="1" x14ac:dyDescent="0.25">
      <c r="A3604" s="29"/>
      <c r="B3604" s="15"/>
      <c r="C3604" s="19"/>
      <c r="D3604" s="19"/>
      <c r="E3604" s="19"/>
      <c r="F3604" s="19"/>
      <c r="G3604" s="19"/>
      <c r="H3604" s="82"/>
    </row>
    <row r="3605" spans="1:8" s="28" customFormat="1" x14ac:dyDescent="0.25">
      <c r="A3605" s="29"/>
      <c r="B3605" s="15"/>
      <c r="C3605" s="19"/>
      <c r="D3605" s="19"/>
      <c r="E3605" s="19"/>
      <c r="F3605" s="19"/>
      <c r="G3605" s="19"/>
      <c r="H3605" s="82"/>
    </row>
    <row r="3606" spans="1:8" s="28" customFormat="1" x14ac:dyDescent="0.25">
      <c r="A3606" s="29"/>
      <c r="B3606" s="15"/>
      <c r="C3606" s="19"/>
      <c r="D3606" s="19"/>
      <c r="E3606" s="19"/>
      <c r="F3606" s="19"/>
      <c r="G3606" s="19"/>
      <c r="H3606" s="82"/>
    </row>
    <row r="3607" spans="1:8" s="28" customFormat="1" x14ac:dyDescent="0.25">
      <c r="A3607" s="29"/>
      <c r="B3607" s="15"/>
      <c r="C3607" s="19"/>
      <c r="D3607" s="19"/>
      <c r="E3607" s="19"/>
      <c r="F3607" s="19"/>
      <c r="G3607" s="19"/>
      <c r="H3607" s="82"/>
    </row>
    <row r="3608" spans="1:8" s="28" customFormat="1" x14ac:dyDescent="0.25">
      <c r="A3608" s="29"/>
      <c r="B3608" s="15"/>
      <c r="C3608" s="19"/>
      <c r="D3608" s="19"/>
      <c r="E3608" s="19"/>
      <c r="F3608" s="19"/>
      <c r="G3608" s="19"/>
      <c r="H3608" s="82"/>
    </row>
    <row r="3609" spans="1:8" s="28" customFormat="1" x14ac:dyDescent="0.25">
      <c r="A3609" s="29"/>
      <c r="B3609" s="15"/>
      <c r="C3609" s="19"/>
      <c r="D3609" s="19"/>
      <c r="E3609" s="19"/>
      <c r="F3609" s="19"/>
      <c r="G3609" s="19"/>
      <c r="H3609" s="82"/>
    </row>
    <row r="3610" spans="1:8" s="28" customFormat="1" x14ac:dyDescent="0.25">
      <c r="A3610" s="29"/>
      <c r="B3610" s="15"/>
      <c r="C3610" s="19"/>
      <c r="D3610" s="19"/>
      <c r="E3610" s="19"/>
      <c r="F3610" s="19"/>
      <c r="G3610" s="19"/>
      <c r="H3610" s="82"/>
    </row>
    <row r="3611" spans="1:8" s="28" customFormat="1" x14ac:dyDescent="0.25">
      <c r="A3611" s="29"/>
      <c r="B3611" s="15"/>
      <c r="C3611" s="19"/>
      <c r="D3611" s="19"/>
      <c r="E3611" s="19"/>
      <c r="F3611" s="19"/>
      <c r="G3611" s="19"/>
      <c r="H3611" s="82"/>
    </row>
    <row r="3612" spans="1:8" s="28" customFormat="1" x14ac:dyDescent="0.25">
      <c r="A3612" s="29"/>
      <c r="B3612" s="15"/>
      <c r="C3612" s="19"/>
      <c r="D3612" s="19"/>
      <c r="E3612" s="19"/>
      <c r="F3612" s="19"/>
      <c r="G3612" s="19"/>
      <c r="H3612" s="82"/>
    </row>
    <row r="3613" spans="1:8" s="28" customFormat="1" x14ac:dyDescent="0.25">
      <c r="A3613" s="29"/>
      <c r="B3613" s="15"/>
      <c r="C3613" s="19"/>
      <c r="D3613" s="19"/>
      <c r="E3613" s="19"/>
      <c r="F3613" s="19"/>
      <c r="G3613" s="19"/>
      <c r="H3613" s="82"/>
    </row>
    <row r="3614" spans="1:8" s="28" customFormat="1" x14ac:dyDescent="0.25">
      <c r="A3614" s="29"/>
      <c r="B3614" s="15"/>
      <c r="C3614" s="19"/>
      <c r="D3614" s="19"/>
      <c r="E3614" s="19"/>
      <c r="F3614" s="19"/>
      <c r="G3614" s="19"/>
      <c r="H3614" s="82"/>
    </row>
    <row r="3615" spans="1:8" s="28" customFormat="1" x14ac:dyDescent="0.25">
      <c r="A3615" s="29"/>
      <c r="B3615" s="15"/>
      <c r="C3615" s="19"/>
      <c r="D3615" s="19"/>
      <c r="E3615" s="19"/>
      <c r="F3615" s="19"/>
      <c r="G3615" s="19"/>
      <c r="H3615" s="82"/>
    </row>
    <row r="3616" spans="1:8" s="28" customFormat="1" x14ac:dyDescent="0.25">
      <c r="A3616" s="29"/>
      <c r="B3616" s="15"/>
      <c r="C3616" s="19"/>
      <c r="D3616" s="19"/>
      <c r="E3616" s="19"/>
      <c r="F3616" s="19"/>
      <c r="G3616" s="19"/>
      <c r="H3616" s="82"/>
    </row>
    <row r="3617" spans="1:8" s="28" customFormat="1" x14ac:dyDescent="0.25">
      <c r="A3617" s="29"/>
      <c r="B3617" s="15"/>
      <c r="C3617" s="19"/>
      <c r="D3617" s="19"/>
      <c r="E3617" s="19"/>
      <c r="F3617" s="19"/>
      <c r="G3617" s="19"/>
      <c r="H3617" s="82"/>
    </row>
    <row r="3618" spans="1:8" s="28" customFormat="1" x14ac:dyDescent="0.25">
      <c r="A3618" s="29"/>
      <c r="B3618" s="15"/>
      <c r="C3618" s="19"/>
      <c r="D3618" s="19"/>
      <c r="E3618" s="19"/>
      <c r="F3618" s="19"/>
      <c r="G3618" s="19"/>
      <c r="H3618" s="82"/>
    </row>
    <row r="3619" spans="1:8" s="28" customFormat="1" x14ac:dyDescent="0.25">
      <c r="A3619" s="29"/>
      <c r="B3619" s="15"/>
      <c r="C3619" s="19"/>
      <c r="D3619" s="19"/>
      <c r="E3619" s="19"/>
      <c r="F3619" s="19"/>
      <c r="G3619" s="19"/>
      <c r="H3619" s="82"/>
    </row>
    <row r="3620" spans="1:8" s="28" customFormat="1" x14ac:dyDescent="0.25">
      <c r="A3620" s="29"/>
      <c r="B3620" s="15"/>
      <c r="C3620" s="19"/>
      <c r="D3620" s="19"/>
      <c r="E3620" s="19"/>
      <c r="F3620" s="19"/>
      <c r="G3620" s="19"/>
      <c r="H3620" s="82"/>
    </row>
    <row r="3621" spans="1:8" s="28" customFormat="1" x14ac:dyDescent="0.25">
      <c r="A3621" s="29"/>
      <c r="B3621" s="15"/>
      <c r="C3621" s="19"/>
      <c r="D3621" s="19"/>
      <c r="E3621" s="19"/>
      <c r="F3621" s="19"/>
      <c r="G3621" s="19"/>
      <c r="H3621" s="82"/>
    </row>
    <row r="3622" spans="1:8" s="28" customFormat="1" x14ac:dyDescent="0.25">
      <c r="A3622" s="29"/>
      <c r="B3622" s="15"/>
      <c r="C3622" s="19"/>
      <c r="D3622" s="19"/>
      <c r="E3622" s="19"/>
      <c r="F3622" s="19"/>
      <c r="G3622" s="19"/>
      <c r="H3622" s="82"/>
    </row>
    <row r="3623" spans="1:8" s="28" customFormat="1" x14ac:dyDescent="0.25">
      <c r="A3623" s="29"/>
      <c r="B3623" s="15"/>
      <c r="C3623" s="19"/>
      <c r="D3623" s="19"/>
      <c r="E3623" s="19"/>
      <c r="F3623" s="19"/>
      <c r="G3623" s="19"/>
      <c r="H3623" s="82"/>
    </row>
    <row r="3624" spans="1:8" s="28" customFormat="1" x14ac:dyDescent="0.25">
      <c r="A3624" s="29"/>
      <c r="B3624" s="15"/>
      <c r="C3624" s="19"/>
      <c r="D3624" s="19"/>
      <c r="E3624" s="19"/>
      <c r="F3624" s="19"/>
      <c r="G3624" s="19"/>
      <c r="H3624" s="82"/>
    </row>
    <row r="3625" spans="1:8" s="28" customFormat="1" x14ac:dyDescent="0.25">
      <c r="A3625" s="29"/>
      <c r="B3625" s="15"/>
      <c r="C3625" s="19"/>
      <c r="D3625" s="19"/>
      <c r="E3625" s="19"/>
      <c r="F3625" s="19"/>
      <c r="G3625" s="19"/>
      <c r="H3625" s="82"/>
    </row>
    <row r="3626" spans="1:8" s="28" customFormat="1" x14ac:dyDescent="0.25">
      <c r="A3626" s="29"/>
      <c r="B3626" s="15"/>
      <c r="C3626" s="19"/>
      <c r="D3626" s="19"/>
      <c r="E3626" s="19"/>
      <c r="F3626" s="19"/>
      <c r="G3626" s="19"/>
      <c r="H3626" s="82"/>
    </row>
    <row r="3627" spans="1:8" s="28" customFormat="1" x14ac:dyDescent="0.25">
      <c r="A3627" s="29"/>
      <c r="B3627" s="15"/>
      <c r="C3627" s="19"/>
      <c r="D3627" s="19"/>
      <c r="E3627" s="19"/>
      <c r="F3627" s="19"/>
      <c r="G3627" s="19"/>
      <c r="H3627" s="82"/>
    </row>
    <row r="3628" spans="1:8" s="28" customFormat="1" x14ac:dyDescent="0.25">
      <c r="A3628" s="29"/>
      <c r="B3628" s="15"/>
      <c r="C3628" s="19"/>
      <c r="D3628" s="19"/>
      <c r="E3628" s="19"/>
      <c r="F3628" s="19"/>
      <c r="G3628" s="19"/>
      <c r="H3628" s="82"/>
    </row>
    <row r="3629" spans="1:8" s="28" customFormat="1" x14ac:dyDescent="0.25">
      <c r="A3629" s="29"/>
      <c r="B3629" s="15"/>
      <c r="C3629" s="19"/>
      <c r="D3629" s="19"/>
      <c r="E3629" s="19"/>
      <c r="F3629" s="19"/>
      <c r="G3629" s="19"/>
      <c r="H3629" s="82"/>
    </row>
    <row r="3630" spans="1:8" s="28" customFormat="1" x14ac:dyDescent="0.25">
      <c r="A3630" s="29"/>
      <c r="B3630" s="15"/>
      <c r="C3630" s="19"/>
      <c r="D3630" s="19"/>
      <c r="E3630" s="19"/>
      <c r="F3630" s="19"/>
      <c r="G3630" s="19"/>
      <c r="H3630" s="82"/>
    </row>
    <row r="3631" spans="1:8" s="28" customFormat="1" x14ac:dyDescent="0.25">
      <c r="A3631" s="29"/>
      <c r="B3631" s="15"/>
      <c r="C3631" s="19"/>
      <c r="D3631" s="19"/>
      <c r="E3631" s="19"/>
      <c r="F3631" s="19"/>
      <c r="G3631" s="19"/>
      <c r="H3631" s="82"/>
    </row>
    <row r="3632" spans="1:8" s="28" customFormat="1" x14ac:dyDescent="0.25">
      <c r="A3632" s="29"/>
      <c r="B3632" s="15"/>
      <c r="C3632" s="19"/>
      <c r="D3632" s="19"/>
      <c r="E3632" s="19"/>
      <c r="F3632" s="19"/>
      <c r="G3632" s="19"/>
      <c r="H3632" s="82"/>
    </row>
    <row r="3633" spans="1:8" s="28" customFormat="1" x14ac:dyDescent="0.25">
      <c r="A3633" s="29"/>
      <c r="B3633" s="15"/>
      <c r="C3633" s="19"/>
      <c r="D3633" s="19"/>
      <c r="E3633" s="19"/>
      <c r="F3633" s="19"/>
      <c r="G3633" s="19"/>
      <c r="H3633" s="82"/>
    </row>
    <row r="3634" spans="1:8" s="28" customFormat="1" x14ac:dyDescent="0.25">
      <c r="A3634" s="29"/>
      <c r="B3634" s="15"/>
      <c r="C3634" s="19"/>
      <c r="D3634" s="19"/>
      <c r="E3634" s="19"/>
      <c r="F3634" s="19"/>
      <c r="G3634" s="19"/>
      <c r="H3634" s="82"/>
    </row>
    <row r="3635" spans="1:8" s="28" customFormat="1" x14ac:dyDescent="0.25">
      <c r="A3635" s="29"/>
      <c r="B3635" s="15"/>
      <c r="C3635" s="19"/>
      <c r="D3635" s="19"/>
      <c r="E3635" s="19"/>
      <c r="F3635" s="19"/>
      <c r="G3635" s="19"/>
      <c r="H3635" s="82"/>
    </row>
    <row r="3636" spans="1:8" s="28" customFormat="1" x14ac:dyDescent="0.25">
      <c r="A3636" s="29"/>
      <c r="B3636" s="15"/>
      <c r="C3636" s="19"/>
      <c r="D3636" s="19"/>
      <c r="E3636" s="19"/>
      <c r="F3636" s="19"/>
      <c r="G3636" s="19"/>
      <c r="H3636" s="82"/>
    </row>
    <row r="3637" spans="1:8" s="28" customFormat="1" x14ac:dyDescent="0.25">
      <c r="A3637" s="29"/>
      <c r="B3637" s="15"/>
      <c r="C3637" s="19"/>
      <c r="D3637" s="19"/>
      <c r="E3637" s="19"/>
      <c r="F3637" s="19"/>
      <c r="G3637" s="19"/>
      <c r="H3637" s="82"/>
    </row>
    <row r="3638" spans="1:8" s="28" customFormat="1" x14ac:dyDescent="0.25">
      <c r="A3638" s="29"/>
      <c r="B3638" s="15"/>
      <c r="C3638" s="19"/>
      <c r="D3638" s="19"/>
      <c r="E3638" s="19"/>
      <c r="F3638" s="19"/>
      <c r="G3638" s="19"/>
      <c r="H3638" s="82"/>
    </row>
    <row r="3639" spans="1:8" s="28" customFormat="1" x14ac:dyDescent="0.25">
      <c r="A3639" s="29"/>
      <c r="B3639" s="15"/>
      <c r="C3639" s="19"/>
      <c r="D3639" s="19"/>
      <c r="E3639" s="19"/>
      <c r="F3639" s="19"/>
      <c r="G3639" s="19"/>
      <c r="H3639" s="82"/>
    </row>
    <row r="3640" spans="1:8" s="28" customFormat="1" x14ac:dyDescent="0.25">
      <c r="A3640" s="29"/>
      <c r="B3640" s="15"/>
      <c r="C3640" s="19"/>
      <c r="D3640" s="19"/>
      <c r="E3640" s="19"/>
      <c r="F3640" s="19"/>
      <c r="G3640" s="19"/>
      <c r="H3640" s="82"/>
    </row>
    <row r="3641" spans="1:8" s="28" customFormat="1" x14ac:dyDescent="0.25">
      <c r="A3641" s="29"/>
      <c r="B3641" s="15"/>
      <c r="C3641" s="19"/>
      <c r="D3641" s="19"/>
      <c r="E3641" s="19"/>
      <c r="F3641" s="19"/>
      <c r="G3641" s="19"/>
      <c r="H3641" s="82"/>
    </row>
    <row r="3642" spans="1:8" s="28" customFormat="1" x14ac:dyDescent="0.25">
      <c r="A3642" s="29"/>
      <c r="B3642" s="15"/>
      <c r="C3642" s="19"/>
      <c r="D3642" s="19"/>
      <c r="E3642" s="19"/>
      <c r="F3642" s="19"/>
      <c r="G3642" s="19"/>
      <c r="H3642" s="82"/>
    </row>
    <row r="3643" spans="1:8" s="28" customFormat="1" x14ac:dyDescent="0.25">
      <c r="A3643" s="29"/>
      <c r="B3643" s="15"/>
      <c r="C3643" s="19"/>
      <c r="D3643" s="19"/>
      <c r="E3643" s="19"/>
      <c r="F3643" s="19"/>
      <c r="G3643" s="19"/>
      <c r="H3643" s="82"/>
    </row>
    <row r="3644" spans="1:8" s="28" customFormat="1" x14ac:dyDescent="0.25">
      <c r="A3644" s="29"/>
      <c r="B3644" s="15"/>
      <c r="C3644" s="19"/>
      <c r="D3644" s="19"/>
      <c r="E3644" s="19"/>
      <c r="F3644" s="19"/>
      <c r="G3644" s="19"/>
      <c r="H3644" s="82"/>
    </row>
    <row r="3645" spans="1:8" s="28" customFormat="1" x14ac:dyDescent="0.25">
      <c r="A3645" s="29"/>
      <c r="B3645" s="15"/>
      <c r="C3645" s="19"/>
      <c r="D3645" s="19"/>
      <c r="E3645" s="19"/>
      <c r="F3645" s="19"/>
      <c r="G3645" s="19"/>
      <c r="H3645" s="82"/>
    </row>
    <row r="3646" spans="1:8" s="28" customFormat="1" x14ac:dyDescent="0.25">
      <c r="A3646" s="29"/>
      <c r="B3646" s="15"/>
      <c r="C3646" s="19"/>
      <c r="D3646" s="19"/>
      <c r="E3646" s="19"/>
      <c r="F3646" s="19"/>
      <c r="G3646" s="19"/>
      <c r="H3646" s="82"/>
    </row>
    <row r="3647" spans="1:8" s="28" customFormat="1" x14ac:dyDescent="0.25">
      <c r="A3647" s="29"/>
      <c r="B3647" s="15"/>
      <c r="C3647" s="19"/>
      <c r="D3647" s="19"/>
      <c r="E3647" s="19"/>
      <c r="F3647" s="19"/>
      <c r="G3647" s="19"/>
      <c r="H3647" s="82"/>
    </row>
    <row r="3648" spans="1:8" s="28" customFormat="1" x14ac:dyDescent="0.25">
      <c r="A3648" s="29"/>
      <c r="B3648" s="15"/>
      <c r="C3648" s="19"/>
      <c r="D3648" s="19"/>
      <c r="E3648" s="19"/>
      <c r="F3648" s="19"/>
      <c r="G3648" s="19"/>
      <c r="H3648" s="82"/>
    </row>
    <row r="3649" spans="1:8" s="28" customFormat="1" x14ac:dyDescent="0.25">
      <c r="A3649" s="29"/>
      <c r="B3649" s="15"/>
      <c r="C3649" s="19"/>
      <c r="D3649" s="19"/>
      <c r="E3649" s="19"/>
      <c r="F3649" s="19"/>
      <c r="G3649" s="19"/>
      <c r="H3649" s="82"/>
    </row>
    <row r="3650" spans="1:8" s="28" customFormat="1" x14ac:dyDescent="0.25">
      <c r="A3650" s="29"/>
      <c r="B3650" s="15"/>
      <c r="C3650" s="19"/>
      <c r="D3650" s="19"/>
      <c r="E3650" s="19"/>
      <c r="F3650" s="19"/>
      <c r="G3650" s="19"/>
      <c r="H3650" s="82"/>
    </row>
    <row r="3651" spans="1:8" s="28" customFormat="1" x14ac:dyDescent="0.25">
      <c r="A3651" s="29"/>
      <c r="B3651" s="15"/>
      <c r="C3651" s="19"/>
      <c r="D3651" s="19"/>
      <c r="E3651" s="19"/>
      <c r="F3651" s="19"/>
      <c r="G3651" s="19"/>
      <c r="H3651" s="82"/>
    </row>
    <row r="3652" spans="1:8" s="28" customFormat="1" x14ac:dyDescent="0.25">
      <c r="A3652" s="29"/>
      <c r="B3652" s="15"/>
      <c r="C3652" s="19"/>
      <c r="D3652" s="19"/>
      <c r="E3652" s="19"/>
      <c r="F3652" s="19"/>
      <c r="G3652" s="19"/>
      <c r="H3652" s="82"/>
    </row>
    <row r="3653" spans="1:8" s="28" customFormat="1" x14ac:dyDescent="0.25">
      <c r="A3653" s="29"/>
      <c r="B3653" s="15"/>
      <c r="C3653" s="19"/>
      <c r="D3653" s="19"/>
      <c r="E3653" s="19"/>
      <c r="F3653" s="19"/>
      <c r="G3653" s="19"/>
      <c r="H3653" s="82"/>
    </row>
    <row r="3654" spans="1:8" s="28" customFormat="1" x14ac:dyDescent="0.25">
      <c r="A3654" s="29"/>
      <c r="B3654" s="15"/>
      <c r="C3654" s="19"/>
      <c r="D3654" s="19"/>
      <c r="E3654" s="19"/>
      <c r="F3654" s="19"/>
      <c r="G3654" s="19"/>
      <c r="H3654" s="82"/>
    </row>
    <row r="3655" spans="1:8" s="28" customFormat="1" x14ac:dyDescent="0.25">
      <c r="A3655" s="29"/>
      <c r="B3655" s="15"/>
      <c r="C3655" s="19"/>
      <c r="D3655" s="19"/>
      <c r="E3655" s="19"/>
      <c r="F3655" s="19"/>
      <c r="G3655" s="19"/>
      <c r="H3655" s="82"/>
    </row>
    <row r="3656" spans="1:8" s="28" customFormat="1" x14ac:dyDescent="0.25">
      <c r="A3656" s="29"/>
      <c r="B3656" s="15"/>
      <c r="C3656" s="19"/>
      <c r="D3656" s="19"/>
      <c r="E3656" s="19"/>
      <c r="F3656" s="19"/>
      <c r="G3656" s="19"/>
      <c r="H3656" s="82"/>
    </row>
    <row r="3657" spans="1:8" s="28" customFormat="1" x14ac:dyDescent="0.25">
      <c r="A3657" s="29"/>
      <c r="B3657" s="15"/>
      <c r="C3657" s="19"/>
      <c r="D3657" s="19"/>
      <c r="E3657" s="19"/>
      <c r="F3657" s="19"/>
      <c r="G3657" s="19"/>
      <c r="H3657" s="82"/>
    </row>
    <row r="3658" spans="1:8" s="28" customFormat="1" x14ac:dyDescent="0.25">
      <c r="A3658" s="29"/>
      <c r="B3658" s="15"/>
      <c r="C3658" s="19"/>
      <c r="D3658" s="19"/>
      <c r="E3658" s="19"/>
      <c r="F3658" s="19"/>
      <c r="G3658" s="19"/>
      <c r="H3658" s="82"/>
    </row>
    <row r="3659" spans="1:8" s="28" customFormat="1" x14ac:dyDescent="0.25">
      <c r="A3659" s="29"/>
      <c r="B3659" s="15"/>
      <c r="C3659" s="19"/>
      <c r="D3659" s="19"/>
      <c r="E3659" s="19"/>
      <c r="F3659" s="19"/>
      <c r="G3659" s="19"/>
      <c r="H3659" s="82"/>
    </row>
    <row r="3660" spans="1:8" s="28" customFormat="1" x14ac:dyDescent="0.25">
      <c r="A3660" s="29"/>
      <c r="B3660" s="15"/>
      <c r="C3660" s="19"/>
      <c r="D3660" s="19"/>
      <c r="E3660" s="19"/>
      <c r="F3660" s="19"/>
      <c r="G3660" s="19"/>
      <c r="H3660" s="82"/>
    </row>
    <row r="3661" spans="1:8" s="28" customFormat="1" x14ac:dyDescent="0.25">
      <c r="A3661" s="29"/>
      <c r="B3661" s="15"/>
      <c r="C3661" s="19"/>
      <c r="D3661" s="19"/>
      <c r="E3661" s="19"/>
      <c r="F3661" s="19"/>
      <c r="G3661" s="19"/>
      <c r="H3661" s="82"/>
    </row>
    <row r="3662" spans="1:8" s="28" customFormat="1" x14ac:dyDescent="0.25">
      <c r="A3662" s="29"/>
      <c r="B3662" s="15"/>
      <c r="C3662" s="19"/>
      <c r="D3662" s="19"/>
      <c r="E3662" s="19"/>
      <c r="F3662" s="19"/>
      <c r="G3662" s="19"/>
      <c r="H3662" s="82"/>
    </row>
    <row r="3663" spans="1:8" s="28" customFormat="1" x14ac:dyDescent="0.25">
      <c r="A3663" s="29"/>
      <c r="B3663" s="15"/>
      <c r="C3663" s="19"/>
      <c r="D3663" s="19"/>
      <c r="E3663" s="19"/>
      <c r="F3663" s="19"/>
      <c r="G3663" s="19"/>
      <c r="H3663" s="82"/>
    </row>
    <row r="3664" spans="1:8" s="28" customFormat="1" x14ac:dyDescent="0.25">
      <c r="A3664" s="29"/>
      <c r="B3664" s="15"/>
      <c r="C3664" s="19"/>
      <c r="D3664" s="19"/>
      <c r="E3664" s="19"/>
      <c r="F3664" s="19"/>
      <c r="G3664" s="19"/>
      <c r="H3664" s="82"/>
    </row>
    <row r="3665" spans="1:8" s="28" customFormat="1" x14ac:dyDescent="0.25">
      <c r="A3665" s="29"/>
      <c r="B3665" s="15"/>
      <c r="C3665" s="19"/>
      <c r="D3665" s="19"/>
      <c r="E3665" s="19"/>
      <c r="F3665" s="19"/>
      <c r="G3665" s="19"/>
      <c r="H3665" s="82"/>
    </row>
    <row r="3666" spans="1:8" s="28" customFormat="1" x14ac:dyDescent="0.25">
      <c r="A3666" s="29"/>
      <c r="B3666" s="15"/>
      <c r="C3666" s="19"/>
      <c r="D3666" s="19"/>
      <c r="E3666" s="19"/>
      <c r="F3666" s="19"/>
      <c r="G3666" s="19"/>
      <c r="H3666" s="82"/>
    </row>
    <row r="3667" spans="1:8" s="28" customFormat="1" x14ac:dyDescent="0.25">
      <c r="A3667" s="29"/>
      <c r="B3667" s="15"/>
      <c r="C3667" s="19"/>
      <c r="D3667" s="19"/>
      <c r="E3667" s="19"/>
      <c r="F3667" s="19"/>
      <c r="G3667" s="19"/>
      <c r="H3667" s="82"/>
    </row>
    <row r="3668" spans="1:8" s="28" customFormat="1" x14ac:dyDescent="0.25">
      <c r="A3668" s="29"/>
      <c r="B3668" s="15"/>
      <c r="C3668" s="19"/>
      <c r="D3668" s="19"/>
      <c r="E3668" s="19"/>
      <c r="F3668" s="19"/>
      <c r="G3668" s="19"/>
      <c r="H3668" s="82"/>
    </row>
    <row r="3669" spans="1:8" s="28" customFormat="1" x14ac:dyDescent="0.25">
      <c r="A3669" s="29"/>
      <c r="B3669" s="15"/>
      <c r="C3669" s="19"/>
      <c r="D3669" s="19"/>
      <c r="E3669" s="19"/>
      <c r="F3669" s="19"/>
      <c r="G3669" s="19"/>
      <c r="H3669" s="82"/>
    </row>
    <row r="3670" spans="1:8" s="28" customFormat="1" x14ac:dyDescent="0.25">
      <c r="A3670" s="29"/>
      <c r="B3670" s="15"/>
      <c r="C3670" s="19"/>
      <c r="D3670" s="19"/>
      <c r="E3670" s="19"/>
      <c r="F3670" s="19"/>
      <c r="G3670" s="19"/>
      <c r="H3670" s="82"/>
    </row>
    <row r="3671" spans="1:8" s="28" customFormat="1" x14ac:dyDescent="0.25">
      <c r="A3671" s="29"/>
      <c r="B3671" s="15"/>
      <c r="C3671" s="19"/>
      <c r="D3671" s="19"/>
      <c r="E3671" s="19"/>
      <c r="F3671" s="19"/>
      <c r="G3671" s="19"/>
      <c r="H3671" s="82"/>
    </row>
    <row r="3672" spans="1:8" s="28" customFormat="1" x14ac:dyDescent="0.25">
      <c r="A3672" s="29"/>
      <c r="B3672" s="15"/>
      <c r="C3672" s="19"/>
      <c r="D3672" s="19"/>
      <c r="E3672" s="19"/>
      <c r="F3672" s="19"/>
      <c r="G3672" s="19"/>
      <c r="H3672" s="82"/>
    </row>
    <row r="3673" spans="1:8" s="28" customFormat="1" x14ac:dyDescent="0.25">
      <c r="A3673" s="29"/>
      <c r="B3673" s="15"/>
      <c r="C3673" s="19"/>
      <c r="D3673" s="19"/>
      <c r="E3673" s="19"/>
      <c r="F3673" s="19"/>
      <c r="G3673" s="19"/>
      <c r="H3673" s="82"/>
    </row>
    <row r="3674" spans="1:8" s="28" customFormat="1" x14ac:dyDescent="0.25">
      <c r="A3674" s="29"/>
      <c r="B3674" s="15"/>
      <c r="C3674" s="19"/>
      <c r="D3674" s="19"/>
      <c r="E3674" s="19"/>
      <c r="F3674" s="19"/>
      <c r="G3674" s="19"/>
      <c r="H3674" s="82"/>
    </row>
    <row r="3675" spans="1:8" s="28" customFormat="1" x14ac:dyDescent="0.25">
      <c r="A3675" s="29"/>
      <c r="B3675" s="15"/>
      <c r="C3675" s="19"/>
      <c r="D3675" s="19"/>
      <c r="E3675" s="19"/>
      <c r="F3675" s="19"/>
      <c r="G3675" s="19"/>
      <c r="H3675" s="82"/>
    </row>
    <row r="3676" spans="1:8" s="28" customFormat="1" x14ac:dyDescent="0.25">
      <c r="A3676" s="29"/>
      <c r="B3676" s="15"/>
      <c r="C3676" s="19"/>
      <c r="D3676" s="19"/>
      <c r="E3676" s="19"/>
      <c r="F3676" s="19"/>
      <c r="G3676" s="19"/>
      <c r="H3676" s="82"/>
    </row>
    <row r="3677" spans="1:8" s="28" customFormat="1" x14ac:dyDescent="0.25">
      <c r="A3677" s="29"/>
      <c r="B3677" s="15"/>
      <c r="C3677" s="19"/>
      <c r="D3677" s="19"/>
      <c r="E3677" s="19"/>
      <c r="F3677" s="19"/>
      <c r="G3677" s="19"/>
      <c r="H3677" s="82"/>
    </row>
    <row r="3678" spans="1:8" s="28" customFormat="1" x14ac:dyDescent="0.25">
      <c r="A3678" s="29"/>
      <c r="B3678" s="15"/>
      <c r="C3678" s="19"/>
      <c r="D3678" s="19"/>
      <c r="E3678" s="19"/>
      <c r="F3678" s="19"/>
      <c r="G3678" s="19"/>
      <c r="H3678" s="82"/>
    </row>
    <row r="3679" spans="1:8" s="28" customFormat="1" x14ac:dyDescent="0.25">
      <c r="A3679" s="29"/>
      <c r="B3679" s="15"/>
      <c r="C3679" s="19"/>
      <c r="D3679" s="19"/>
      <c r="E3679" s="19"/>
      <c r="F3679" s="19"/>
      <c r="G3679" s="19"/>
      <c r="H3679" s="82"/>
    </row>
    <row r="3680" spans="1:8" s="28" customFormat="1" x14ac:dyDescent="0.25">
      <c r="A3680" s="29"/>
      <c r="B3680" s="15"/>
      <c r="C3680" s="19"/>
      <c r="D3680" s="19"/>
      <c r="E3680" s="19"/>
      <c r="F3680" s="19"/>
      <c r="G3680" s="19"/>
      <c r="H3680" s="82"/>
    </row>
    <row r="3681" spans="1:8" s="28" customFormat="1" x14ac:dyDescent="0.25">
      <c r="A3681" s="29"/>
      <c r="B3681" s="15"/>
      <c r="C3681" s="19"/>
      <c r="D3681" s="19"/>
      <c r="E3681" s="19"/>
      <c r="F3681" s="19"/>
      <c r="G3681" s="19"/>
      <c r="H3681" s="82"/>
    </row>
    <row r="3682" spans="1:8" s="28" customFormat="1" x14ac:dyDescent="0.25">
      <c r="A3682" s="29"/>
      <c r="B3682" s="15"/>
      <c r="C3682" s="19"/>
      <c r="D3682" s="19"/>
      <c r="E3682" s="19"/>
      <c r="F3682" s="19"/>
      <c r="G3682" s="19"/>
      <c r="H3682" s="82"/>
    </row>
    <row r="3683" spans="1:8" s="28" customFormat="1" x14ac:dyDescent="0.25">
      <c r="A3683" s="29"/>
      <c r="B3683" s="15"/>
      <c r="C3683" s="19"/>
      <c r="D3683" s="19"/>
      <c r="E3683" s="19"/>
      <c r="F3683" s="19"/>
      <c r="G3683" s="19"/>
      <c r="H3683" s="82"/>
    </row>
    <row r="3684" spans="1:8" s="28" customFormat="1" x14ac:dyDescent="0.25">
      <c r="A3684" s="29"/>
      <c r="B3684" s="15"/>
      <c r="C3684" s="19"/>
      <c r="D3684" s="19"/>
      <c r="E3684" s="19"/>
      <c r="F3684" s="19"/>
      <c r="G3684" s="19"/>
      <c r="H3684" s="82"/>
    </row>
    <row r="3685" spans="1:8" s="28" customFormat="1" x14ac:dyDescent="0.25">
      <c r="A3685" s="29"/>
      <c r="B3685" s="15"/>
      <c r="C3685" s="19"/>
      <c r="D3685" s="19"/>
      <c r="E3685" s="19"/>
      <c r="F3685" s="19"/>
      <c r="G3685" s="19"/>
      <c r="H3685" s="82"/>
    </row>
    <row r="3686" spans="1:8" s="28" customFormat="1" x14ac:dyDescent="0.25">
      <c r="A3686" s="29"/>
      <c r="B3686" s="15"/>
      <c r="C3686" s="19"/>
      <c r="D3686" s="19"/>
      <c r="E3686" s="19"/>
      <c r="F3686" s="19"/>
      <c r="G3686" s="19"/>
      <c r="H3686" s="82"/>
    </row>
    <row r="3687" spans="1:8" s="28" customFormat="1" x14ac:dyDescent="0.25">
      <c r="A3687" s="29"/>
      <c r="B3687" s="15"/>
      <c r="C3687" s="19"/>
      <c r="D3687" s="19"/>
      <c r="E3687" s="19"/>
      <c r="F3687" s="19"/>
      <c r="G3687" s="19"/>
      <c r="H3687" s="82"/>
    </row>
    <row r="3688" spans="1:8" s="28" customFormat="1" x14ac:dyDescent="0.25">
      <c r="A3688" s="29"/>
      <c r="B3688" s="15"/>
      <c r="C3688" s="19"/>
      <c r="D3688" s="19"/>
      <c r="E3688" s="19"/>
      <c r="F3688" s="19"/>
      <c r="G3688" s="19"/>
      <c r="H3688" s="82"/>
    </row>
    <row r="3689" spans="1:8" s="28" customFormat="1" x14ac:dyDescent="0.25">
      <c r="A3689" s="29"/>
      <c r="B3689" s="15"/>
      <c r="C3689" s="19"/>
      <c r="D3689" s="19"/>
      <c r="E3689" s="19"/>
      <c r="F3689" s="19"/>
      <c r="G3689" s="19"/>
      <c r="H3689" s="82"/>
    </row>
    <row r="3690" spans="1:8" s="28" customFormat="1" x14ac:dyDescent="0.25">
      <c r="A3690" s="29"/>
      <c r="B3690" s="15"/>
      <c r="C3690" s="19"/>
      <c r="D3690" s="19"/>
      <c r="E3690" s="19"/>
      <c r="F3690" s="19"/>
      <c r="G3690" s="19"/>
      <c r="H3690" s="82"/>
    </row>
    <row r="3691" spans="1:8" s="28" customFormat="1" x14ac:dyDescent="0.25">
      <c r="A3691" s="29"/>
      <c r="B3691" s="15"/>
      <c r="C3691" s="19"/>
      <c r="D3691" s="19"/>
      <c r="E3691" s="19"/>
      <c r="F3691" s="19"/>
      <c r="G3691" s="19"/>
      <c r="H3691" s="82"/>
    </row>
    <row r="3692" spans="1:8" s="28" customFormat="1" x14ac:dyDescent="0.25">
      <c r="A3692" s="29"/>
      <c r="B3692" s="15"/>
      <c r="C3692" s="19"/>
      <c r="D3692" s="19"/>
      <c r="E3692" s="19"/>
      <c r="F3692" s="19"/>
      <c r="G3692" s="19"/>
      <c r="H3692" s="82"/>
    </row>
    <row r="3693" spans="1:8" s="28" customFormat="1" x14ac:dyDescent="0.25">
      <c r="A3693" s="29"/>
      <c r="B3693" s="15"/>
      <c r="C3693" s="19"/>
      <c r="D3693" s="19"/>
      <c r="E3693" s="19"/>
      <c r="F3693" s="19"/>
      <c r="G3693" s="19"/>
      <c r="H3693" s="82"/>
    </row>
    <row r="3694" spans="1:8" s="28" customFormat="1" x14ac:dyDescent="0.25">
      <c r="A3694" s="29"/>
      <c r="B3694" s="15"/>
      <c r="C3694" s="19"/>
      <c r="D3694" s="19"/>
      <c r="E3694" s="19"/>
      <c r="F3694" s="19"/>
      <c r="G3694" s="19"/>
      <c r="H3694" s="82"/>
    </row>
    <row r="3695" spans="1:8" s="28" customFormat="1" x14ac:dyDescent="0.25">
      <c r="A3695" s="29"/>
      <c r="B3695" s="15"/>
      <c r="C3695" s="19"/>
      <c r="D3695" s="19"/>
      <c r="E3695" s="19"/>
      <c r="F3695" s="19"/>
      <c r="G3695" s="19"/>
      <c r="H3695" s="82"/>
    </row>
    <row r="3696" spans="1:8" s="28" customFormat="1" x14ac:dyDescent="0.25">
      <c r="A3696" s="29"/>
      <c r="B3696" s="15"/>
      <c r="C3696" s="19"/>
      <c r="D3696" s="19"/>
      <c r="E3696" s="19"/>
      <c r="F3696" s="19"/>
      <c r="G3696" s="19"/>
      <c r="H3696" s="82"/>
    </row>
    <row r="3697" spans="1:8" s="28" customFormat="1" x14ac:dyDescent="0.25">
      <c r="A3697" s="29"/>
      <c r="B3697" s="15"/>
      <c r="C3697" s="19"/>
      <c r="D3697" s="19"/>
      <c r="E3697" s="19"/>
      <c r="F3697" s="19"/>
      <c r="G3697" s="19"/>
      <c r="H3697" s="82"/>
    </row>
    <row r="3698" spans="1:8" s="28" customFormat="1" x14ac:dyDescent="0.25">
      <c r="A3698" s="29"/>
      <c r="B3698" s="15"/>
      <c r="C3698" s="19"/>
      <c r="D3698" s="19"/>
      <c r="E3698" s="19"/>
      <c r="F3698" s="19"/>
      <c r="G3698" s="19"/>
      <c r="H3698" s="82"/>
    </row>
    <row r="3699" spans="1:8" s="28" customFormat="1" x14ac:dyDescent="0.25">
      <c r="A3699" s="29"/>
      <c r="B3699" s="15"/>
      <c r="C3699" s="19"/>
      <c r="D3699" s="19"/>
      <c r="E3699" s="19"/>
      <c r="F3699" s="19"/>
      <c r="G3699" s="19"/>
      <c r="H3699" s="82"/>
    </row>
    <row r="3700" spans="1:8" s="28" customFormat="1" x14ac:dyDescent="0.25">
      <c r="A3700" s="29"/>
      <c r="B3700" s="15"/>
      <c r="C3700" s="19"/>
      <c r="D3700" s="19"/>
      <c r="E3700" s="19"/>
      <c r="F3700" s="19"/>
      <c r="G3700" s="19"/>
      <c r="H3700" s="82"/>
    </row>
    <row r="3701" spans="1:8" s="28" customFormat="1" x14ac:dyDescent="0.25">
      <c r="A3701" s="29"/>
      <c r="B3701" s="15"/>
      <c r="C3701" s="19"/>
      <c r="D3701" s="19"/>
      <c r="E3701" s="19"/>
      <c r="F3701" s="19"/>
      <c r="G3701" s="19"/>
      <c r="H3701" s="82"/>
    </row>
    <row r="3702" spans="1:8" s="28" customFormat="1" x14ac:dyDescent="0.25">
      <c r="A3702" s="29"/>
      <c r="B3702" s="15"/>
      <c r="C3702" s="19"/>
      <c r="D3702" s="19"/>
      <c r="E3702" s="19"/>
      <c r="F3702" s="19"/>
      <c r="G3702" s="19"/>
      <c r="H3702" s="82"/>
    </row>
    <row r="3703" spans="1:8" s="28" customFormat="1" x14ac:dyDescent="0.25">
      <c r="A3703" s="29"/>
      <c r="B3703" s="15"/>
      <c r="C3703" s="19"/>
      <c r="D3703" s="19"/>
      <c r="E3703" s="19"/>
      <c r="F3703" s="19"/>
      <c r="G3703" s="19"/>
      <c r="H3703" s="82"/>
    </row>
    <row r="3704" spans="1:8" s="28" customFormat="1" x14ac:dyDescent="0.25">
      <c r="A3704" s="29"/>
      <c r="B3704" s="15"/>
      <c r="C3704" s="19"/>
      <c r="D3704" s="19"/>
      <c r="E3704" s="19"/>
      <c r="F3704" s="19"/>
      <c r="G3704" s="19"/>
      <c r="H3704" s="82"/>
    </row>
    <row r="3705" spans="1:8" s="28" customFormat="1" x14ac:dyDescent="0.25">
      <c r="A3705" s="29"/>
      <c r="B3705" s="15"/>
      <c r="C3705" s="19"/>
      <c r="D3705" s="19"/>
      <c r="E3705" s="19"/>
      <c r="F3705" s="19"/>
      <c r="G3705" s="19"/>
      <c r="H3705" s="82"/>
    </row>
    <row r="3706" spans="1:8" s="28" customFormat="1" x14ac:dyDescent="0.25">
      <c r="A3706" s="29"/>
      <c r="B3706" s="15"/>
      <c r="C3706" s="19"/>
      <c r="D3706" s="19"/>
      <c r="E3706" s="19"/>
      <c r="F3706" s="19"/>
      <c r="G3706" s="19"/>
      <c r="H3706" s="82"/>
    </row>
    <row r="3707" spans="1:8" s="28" customFormat="1" x14ac:dyDescent="0.25">
      <c r="A3707" s="29"/>
      <c r="B3707" s="15"/>
      <c r="C3707" s="19"/>
      <c r="D3707" s="19"/>
      <c r="E3707" s="19"/>
      <c r="F3707" s="19"/>
      <c r="G3707" s="19"/>
      <c r="H3707" s="82"/>
    </row>
    <row r="3708" spans="1:8" s="28" customFormat="1" x14ac:dyDescent="0.25">
      <c r="A3708" s="29"/>
      <c r="B3708" s="15"/>
      <c r="C3708" s="19"/>
      <c r="D3708" s="19"/>
      <c r="E3708" s="19"/>
      <c r="F3708" s="19"/>
      <c r="G3708" s="19"/>
      <c r="H3708" s="82"/>
    </row>
    <row r="3709" spans="1:8" s="28" customFormat="1" x14ac:dyDescent="0.25">
      <c r="A3709" s="29"/>
      <c r="B3709" s="15"/>
      <c r="C3709" s="19"/>
      <c r="D3709" s="19"/>
      <c r="E3709" s="19"/>
      <c r="F3709" s="19"/>
      <c r="G3709" s="19"/>
      <c r="H3709" s="82"/>
    </row>
    <row r="3710" spans="1:8" s="28" customFormat="1" x14ac:dyDescent="0.25">
      <c r="A3710" s="29"/>
      <c r="B3710" s="15"/>
      <c r="C3710" s="19"/>
      <c r="D3710" s="19"/>
      <c r="E3710" s="19"/>
      <c r="F3710" s="19"/>
      <c r="G3710" s="19"/>
      <c r="H3710" s="82"/>
    </row>
    <row r="3711" spans="1:8" s="28" customFormat="1" x14ac:dyDescent="0.25">
      <c r="A3711" s="29"/>
      <c r="B3711" s="15"/>
      <c r="C3711" s="19"/>
      <c r="D3711" s="19"/>
      <c r="E3711" s="19"/>
      <c r="F3711" s="19"/>
      <c r="G3711" s="19"/>
      <c r="H3711" s="82"/>
    </row>
    <row r="3712" spans="1:8" s="28" customFormat="1" x14ac:dyDescent="0.25">
      <c r="A3712" s="29"/>
      <c r="B3712" s="15"/>
      <c r="C3712" s="19"/>
      <c r="D3712" s="19"/>
      <c r="E3712" s="19"/>
      <c r="F3712" s="19"/>
      <c r="G3712" s="19"/>
      <c r="H3712" s="82"/>
    </row>
    <row r="3713" spans="1:8" s="28" customFormat="1" x14ac:dyDescent="0.25">
      <c r="A3713" s="29"/>
      <c r="B3713" s="15"/>
      <c r="C3713" s="19"/>
      <c r="D3713" s="19"/>
      <c r="E3713" s="19"/>
      <c r="F3713" s="19"/>
      <c r="G3713" s="19"/>
      <c r="H3713" s="82"/>
    </row>
    <row r="3714" spans="1:8" s="28" customFormat="1" x14ac:dyDescent="0.25">
      <c r="A3714" s="29"/>
      <c r="B3714" s="15"/>
      <c r="C3714" s="19"/>
      <c r="D3714" s="19"/>
      <c r="E3714" s="19"/>
      <c r="F3714" s="19"/>
      <c r="G3714" s="19"/>
      <c r="H3714" s="82"/>
    </row>
    <row r="3715" spans="1:8" s="28" customFormat="1" x14ac:dyDescent="0.25">
      <c r="A3715" s="29"/>
      <c r="B3715" s="15"/>
      <c r="C3715" s="19"/>
      <c r="D3715" s="19"/>
      <c r="E3715" s="19"/>
      <c r="F3715" s="19"/>
      <c r="G3715" s="19"/>
      <c r="H3715" s="82"/>
    </row>
    <row r="3716" spans="1:8" s="28" customFormat="1" x14ac:dyDescent="0.25">
      <c r="A3716" s="29"/>
      <c r="B3716" s="15"/>
      <c r="C3716" s="19"/>
      <c r="D3716" s="19"/>
      <c r="E3716" s="19"/>
      <c r="F3716" s="19"/>
      <c r="G3716" s="19"/>
      <c r="H3716" s="82"/>
    </row>
    <row r="3717" spans="1:8" s="28" customFormat="1" x14ac:dyDescent="0.25">
      <c r="A3717" s="29"/>
      <c r="B3717" s="15"/>
      <c r="C3717" s="19"/>
      <c r="D3717" s="19"/>
      <c r="E3717" s="19"/>
      <c r="F3717" s="19"/>
      <c r="G3717" s="19"/>
      <c r="H3717" s="82"/>
    </row>
    <row r="3718" spans="1:8" s="28" customFormat="1" x14ac:dyDescent="0.25">
      <c r="A3718" s="29"/>
      <c r="B3718" s="15"/>
      <c r="C3718" s="19"/>
      <c r="D3718" s="19"/>
      <c r="E3718" s="19"/>
      <c r="F3718" s="19"/>
      <c r="G3718" s="19"/>
      <c r="H3718" s="82"/>
    </row>
    <row r="3719" spans="1:8" s="28" customFormat="1" x14ac:dyDescent="0.25">
      <c r="A3719" s="29"/>
      <c r="B3719" s="15"/>
      <c r="C3719" s="19"/>
      <c r="D3719" s="19"/>
      <c r="E3719" s="19"/>
      <c r="F3719" s="19"/>
      <c r="G3719" s="19"/>
      <c r="H3719" s="82"/>
    </row>
    <row r="3720" spans="1:8" s="28" customFormat="1" x14ac:dyDescent="0.25">
      <c r="A3720" s="29"/>
      <c r="B3720" s="15"/>
      <c r="C3720" s="19"/>
      <c r="D3720" s="19"/>
      <c r="E3720" s="19"/>
      <c r="F3720" s="19"/>
      <c r="G3720" s="19"/>
      <c r="H3720" s="82"/>
    </row>
    <row r="3721" spans="1:8" s="28" customFormat="1" x14ac:dyDescent="0.25">
      <c r="A3721" s="29"/>
      <c r="B3721" s="15"/>
      <c r="C3721" s="19"/>
      <c r="D3721" s="19"/>
      <c r="E3721" s="19"/>
      <c r="F3721" s="19"/>
      <c r="G3721" s="19"/>
      <c r="H3721" s="82"/>
    </row>
    <row r="3722" spans="1:8" s="28" customFormat="1" x14ac:dyDescent="0.25">
      <c r="A3722" s="29"/>
      <c r="B3722" s="15"/>
      <c r="C3722" s="19"/>
      <c r="D3722" s="19"/>
      <c r="E3722" s="19"/>
      <c r="F3722" s="19"/>
      <c r="G3722" s="19"/>
      <c r="H3722" s="82"/>
    </row>
    <row r="3723" spans="1:8" s="28" customFormat="1" x14ac:dyDescent="0.25">
      <c r="A3723" s="29"/>
      <c r="B3723" s="15"/>
      <c r="C3723" s="19"/>
      <c r="D3723" s="19"/>
      <c r="E3723" s="19"/>
      <c r="F3723" s="19"/>
      <c r="G3723" s="19"/>
      <c r="H3723" s="82"/>
    </row>
    <row r="3724" spans="1:8" s="28" customFormat="1" x14ac:dyDescent="0.25">
      <c r="A3724" s="29"/>
      <c r="B3724" s="15"/>
      <c r="C3724" s="19"/>
      <c r="D3724" s="19"/>
      <c r="E3724" s="19"/>
      <c r="F3724" s="19"/>
      <c r="G3724" s="19"/>
      <c r="H3724" s="82"/>
    </row>
    <row r="3725" spans="1:8" s="28" customFormat="1" x14ac:dyDescent="0.25">
      <c r="A3725" s="29"/>
      <c r="B3725" s="15"/>
      <c r="C3725" s="19"/>
      <c r="D3725" s="19"/>
      <c r="E3725" s="19"/>
      <c r="F3725" s="19"/>
      <c r="G3725" s="19"/>
      <c r="H3725" s="82"/>
    </row>
    <row r="3726" spans="1:8" s="28" customFormat="1" x14ac:dyDescent="0.25">
      <c r="A3726" s="29"/>
      <c r="B3726" s="15"/>
      <c r="C3726" s="19"/>
      <c r="D3726" s="19"/>
      <c r="E3726" s="19"/>
      <c r="F3726" s="19"/>
      <c r="G3726" s="19"/>
      <c r="H3726" s="82"/>
    </row>
    <row r="3727" spans="1:8" s="28" customFormat="1" x14ac:dyDescent="0.25">
      <c r="A3727" s="29"/>
      <c r="B3727" s="15"/>
      <c r="C3727" s="19"/>
      <c r="D3727" s="19"/>
      <c r="E3727" s="19"/>
      <c r="F3727" s="19"/>
      <c r="G3727" s="19"/>
      <c r="H3727" s="82"/>
    </row>
    <row r="3728" spans="1:8" s="28" customFormat="1" x14ac:dyDescent="0.25">
      <c r="A3728" s="29"/>
      <c r="B3728" s="15"/>
      <c r="C3728" s="19"/>
      <c r="D3728" s="19"/>
      <c r="E3728" s="19"/>
      <c r="F3728" s="19"/>
      <c r="G3728" s="19"/>
      <c r="H3728" s="82"/>
    </row>
    <row r="3729" spans="1:8" s="28" customFormat="1" x14ac:dyDescent="0.25">
      <c r="A3729" s="29"/>
      <c r="B3729" s="15"/>
      <c r="C3729" s="19"/>
      <c r="D3729" s="19"/>
      <c r="E3729" s="19"/>
      <c r="F3729" s="19"/>
      <c r="G3729" s="19"/>
      <c r="H3729" s="82"/>
    </row>
    <row r="3730" spans="1:8" s="28" customFormat="1" x14ac:dyDescent="0.25">
      <c r="A3730" s="29"/>
      <c r="B3730" s="15"/>
      <c r="C3730" s="19"/>
      <c r="D3730" s="19"/>
      <c r="E3730" s="19"/>
      <c r="F3730" s="19"/>
      <c r="G3730" s="19"/>
      <c r="H3730" s="82"/>
    </row>
    <row r="3731" spans="1:8" s="28" customFormat="1" x14ac:dyDescent="0.25">
      <c r="A3731" s="29"/>
      <c r="B3731" s="15"/>
      <c r="C3731" s="19"/>
      <c r="D3731" s="19"/>
      <c r="E3731" s="19"/>
      <c r="F3731" s="19"/>
      <c r="G3731" s="19"/>
      <c r="H3731" s="82"/>
    </row>
    <row r="3732" spans="1:8" s="28" customFormat="1" x14ac:dyDescent="0.25">
      <c r="A3732" s="29"/>
      <c r="B3732" s="15"/>
      <c r="C3732" s="19"/>
      <c r="D3732" s="19"/>
      <c r="E3732" s="19"/>
      <c r="F3732" s="19"/>
      <c r="G3732" s="19"/>
      <c r="H3732" s="82"/>
    </row>
    <row r="3733" spans="1:8" s="28" customFormat="1" x14ac:dyDescent="0.25">
      <c r="A3733" s="29"/>
      <c r="B3733" s="15"/>
      <c r="C3733" s="19"/>
      <c r="D3733" s="19"/>
      <c r="E3733" s="19"/>
      <c r="F3733" s="19"/>
      <c r="G3733" s="19"/>
      <c r="H3733" s="82"/>
    </row>
    <row r="3734" spans="1:8" s="28" customFormat="1" x14ac:dyDescent="0.25">
      <c r="A3734" s="29"/>
      <c r="B3734" s="15"/>
      <c r="C3734" s="19"/>
      <c r="D3734" s="19"/>
      <c r="E3734" s="19"/>
      <c r="F3734" s="19"/>
      <c r="G3734" s="19"/>
      <c r="H3734" s="82"/>
    </row>
    <row r="3735" spans="1:8" s="28" customFormat="1" x14ac:dyDescent="0.25">
      <c r="A3735" s="29"/>
      <c r="B3735" s="15"/>
      <c r="C3735" s="19"/>
      <c r="D3735" s="19"/>
      <c r="E3735" s="19"/>
      <c r="F3735" s="19"/>
      <c r="G3735" s="19"/>
      <c r="H3735" s="82"/>
    </row>
    <row r="3736" spans="1:8" s="28" customFormat="1" x14ac:dyDescent="0.25">
      <c r="A3736" s="29"/>
      <c r="B3736" s="15"/>
      <c r="C3736" s="19"/>
      <c r="D3736" s="19"/>
      <c r="E3736" s="19"/>
      <c r="F3736" s="19"/>
      <c r="G3736" s="19"/>
      <c r="H3736" s="82"/>
    </row>
    <row r="3737" spans="1:8" s="28" customFormat="1" x14ac:dyDescent="0.25">
      <c r="A3737" s="29"/>
      <c r="B3737" s="15"/>
      <c r="C3737" s="19"/>
      <c r="D3737" s="19"/>
      <c r="E3737" s="19"/>
      <c r="F3737" s="19"/>
      <c r="G3737" s="19"/>
      <c r="H3737" s="82"/>
    </row>
    <row r="3738" spans="1:8" s="28" customFormat="1" x14ac:dyDescent="0.25">
      <c r="A3738" s="29"/>
      <c r="B3738" s="15"/>
      <c r="C3738" s="19"/>
      <c r="D3738" s="19"/>
      <c r="E3738" s="19"/>
      <c r="F3738" s="19"/>
      <c r="G3738" s="19"/>
      <c r="H3738" s="82"/>
    </row>
    <row r="3739" spans="1:8" s="28" customFormat="1" x14ac:dyDescent="0.25">
      <c r="A3739" s="29"/>
      <c r="B3739" s="15"/>
      <c r="C3739" s="19"/>
      <c r="D3739" s="19"/>
      <c r="E3739" s="19"/>
      <c r="F3739" s="19"/>
      <c r="G3739" s="19"/>
      <c r="H3739" s="82"/>
    </row>
    <row r="3740" spans="1:8" s="28" customFormat="1" x14ac:dyDescent="0.25">
      <c r="A3740" s="29"/>
      <c r="B3740" s="15"/>
      <c r="C3740" s="19"/>
      <c r="D3740" s="19"/>
      <c r="E3740" s="19"/>
      <c r="F3740" s="19"/>
      <c r="G3740" s="19"/>
      <c r="H3740" s="82"/>
    </row>
    <row r="3741" spans="1:8" s="28" customFormat="1" x14ac:dyDescent="0.25">
      <c r="A3741" s="29"/>
      <c r="B3741" s="15"/>
      <c r="C3741" s="19"/>
      <c r="D3741" s="19"/>
      <c r="E3741" s="19"/>
      <c r="F3741" s="19"/>
      <c r="G3741" s="19"/>
      <c r="H3741" s="82"/>
    </row>
    <row r="3742" spans="1:8" s="28" customFormat="1" x14ac:dyDescent="0.25">
      <c r="A3742" s="29"/>
      <c r="B3742" s="15"/>
      <c r="C3742" s="19"/>
      <c r="D3742" s="19"/>
      <c r="E3742" s="19"/>
      <c r="F3742" s="19"/>
      <c r="G3742" s="19"/>
      <c r="H3742" s="82"/>
    </row>
    <row r="3743" spans="1:8" s="28" customFormat="1" x14ac:dyDescent="0.25">
      <c r="A3743" s="29"/>
      <c r="B3743" s="15"/>
      <c r="C3743" s="19"/>
      <c r="D3743" s="19"/>
      <c r="E3743" s="19"/>
      <c r="F3743" s="19"/>
      <c r="G3743" s="19"/>
      <c r="H3743" s="82"/>
    </row>
    <row r="3744" spans="1:8" s="28" customFormat="1" x14ac:dyDescent="0.25">
      <c r="A3744" s="29"/>
      <c r="B3744" s="15"/>
      <c r="C3744" s="19"/>
      <c r="D3744" s="19"/>
      <c r="E3744" s="19"/>
      <c r="F3744" s="19"/>
      <c r="G3744" s="19"/>
      <c r="H3744" s="82"/>
    </row>
    <row r="3745" spans="1:8" s="28" customFormat="1" x14ac:dyDescent="0.25">
      <c r="A3745" s="29"/>
      <c r="B3745" s="15"/>
      <c r="C3745" s="19"/>
      <c r="D3745" s="19"/>
      <c r="E3745" s="19"/>
      <c r="F3745" s="19"/>
      <c r="G3745" s="19"/>
      <c r="H3745" s="82"/>
    </row>
    <row r="3746" spans="1:8" s="28" customFormat="1" x14ac:dyDescent="0.25">
      <c r="A3746" s="29"/>
      <c r="B3746" s="15"/>
      <c r="C3746" s="19"/>
      <c r="D3746" s="19"/>
      <c r="E3746" s="19"/>
      <c r="F3746" s="19"/>
      <c r="G3746" s="19"/>
      <c r="H3746" s="82"/>
    </row>
    <row r="3747" spans="1:8" s="28" customFormat="1" x14ac:dyDescent="0.25">
      <c r="A3747" s="29"/>
      <c r="B3747" s="15"/>
      <c r="C3747" s="19"/>
      <c r="D3747" s="19"/>
      <c r="E3747" s="19"/>
      <c r="F3747" s="19"/>
      <c r="G3747" s="19"/>
      <c r="H3747" s="82"/>
    </row>
    <row r="3748" spans="1:8" s="28" customFormat="1" x14ac:dyDescent="0.25">
      <c r="A3748" s="29"/>
      <c r="B3748" s="15"/>
      <c r="C3748" s="19"/>
      <c r="D3748" s="19"/>
      <c r="E3748" s="19"/>
      <c r="F3748" s="19"/>
      <c r="G3748" s="19"/>
      <c r="H3748" s="82"/>
    </row>
    <row r="3749" spans="1:8" s="28" customFormat="1" x14ac:dyDescent="0.25">
      <c r="A3749" s="29"/>
      <c r="B3749" s="15"/>
      <c r="C3749" s="19"/>
      <c r="D3749" s="19"/>
      <c r="E3749" s="19"/>
      <c r="F3749" s="19"/>
      <c r="G3749" s="19"/>
      <c r="H3749" s="82"/>
    </row>
    <row r="3750" spans="1:8" s="28" customFormat="1" x14ac:dyDescent="0.25">
      <c r="A3750" s="29"/>
      <c r="B3750" s="15"/>
      <c r="C3750" s="19"/>
      <c r="D3750" s="19"/>
      <c r="E3750" s="19"/>
      <c r="F3750" s="19"/>
      <c r="G3750" s="19"/>
      <c r="H3750" s="82"/>
    </row>
    <row r="3751" spans="1:8" s="28" customFormat="1" x14ac:dyDescent="0.25">
      <c r="A3751" s="29"/>
      <c r="B3751" s="15"/>
      <c r="C3751" s="19"/>
      <c r="D3751" s="19"/>
      <c r="E3751" s="19"/>
      <c r="F3751" s="19"/>
      <c r="G3751" s="19"/>
      <c r="H3751" s="82"/>
    </row>
    <row r="3752" spans="1:8" s="28" customFormat="1" x14ac:dyDescent="0.25">
      <c r="A3752" s="29"/>
      <c r="B3752" s="15"/>
      <c r="C3752" s="19"/>
      <c r="D3752" s="19"/>
      <c r="E3752" s="19"/>
      <c r="F3752" s="19"/>
      <c r="G3752" s="19"/>
      <c r="H3752" s="82"/>
    </row>
    <row r="3753" spans="1:8" s="28" customFormat="1" x14ac:dyDescent="0.25">
      <c r="A3753" s="29"/>
      <c r="B3753" s="15"/>
      <c r="C3753" s="19"/>
      <c r="D3753" s="19"/>
      <c r="E3753" s="19"/>
      <c r="F3753" s="19"/>
      <c r="G3753" s="19"/>
      <c r="H3753" s="82"/>
    </row>
    <row r="3754" spans="1:8" s="28" customFormat="1" x14ac:dyDescent="0.25">
      <c r="A3754" s="29"/>
      <c r="B3754" s="15"/>
      <c r="C3754" s="19"/>
      <c r="D3754" s="19"/>
      <c r="E3754" s="19"/>
      <c r="F3754" s="19"/>
      <c r="G3754" s="19"/>
      <c r="H3754" s="82"/>
    </row>
    <row r="3755" spans="1:8" s="28" customFormat="1" x14ac:dyDescent="0.25">
      <c r="A3755" s="29"/>
      <c r="B3755" s="15"/>
      <c r="C3755" s="19"/>
      <c r="D3755" s="19"/>
      <c r="E3755" s="19"/>
      <c r="F3755" s="19"/>
      <c r="G3755" s="19"/>
      <c r="H3755" s="82"/>
    </row>
    <row r="3756" spans="1:8" s="28" customFormat="1" x14ac:dyDescent="0.25">
      <c r="A3756" s="29"/>
      <c r="B3756" s="15"/>
      <c r="C3756" s="19"/>
      <c r="D3756" s="19"/>
      <c r="E3756" s="19"/>
      <c r="F3756" s="19"/>
      <c r="G3756" s="19"/>
      <c r="H3756" s="82"/>
    </row>
    <row r="3757" spans="1:8" s="28" customFormat="1" x14ac:dyDescent="0.25">
      <c r="A3757" s="29"/>
      <c r="B3757" s="15"/>
      <c r="C3757" s="19"/>
      <c r="D3757" s="19"/>
      <c r="E3757" s="19"/>
      <c r="F3757" s="19"/>
      <c r="G3757" s="19"/>
      <c r="H3757" s="82"/>
    </row>
    <row r="3758" spans="1:8" s="28" customFormat="1" x14ac:dyDescent="0.25">
      <c r="A3758" s="29"/>
      <c r="B3758" s="15"/>
      <c r="C3758" s="19"/>
      <c r="D3758" s="19"/>
      <c r="E3758" s="19"/>
      <c r="F3758" s="19"/>
      <c r="G3758" s="19"/>
      <c r="H3758" s="82"/>
    </row>
    <row r="3759" spans="1:8" s="28" customFormat="1" x14ac:dyDescent="0.25">
      <c r="A3759" s="29"/>
      <c r="B3759" s="15"/>
      <c r="C3759" s="19"/>
      <c r="D3759" s="19"/>
      <c r="E3759" s="19"/>
      <c r="F3759" s="19"/>
      <c r="G3759" s="19"/>
      <c r="H3759" s="82"/>
    </row>
    <row r="3760" spans="1:8" s="28" customFormat="1" x14ac:dyDescent="0.25">
      <c r="A3760" s="29"/>
      <c r="B3760" s="15"/>
      <c r="C3760" s="19"/>
      <c r="D3760" s="19"/>
      <c r="E3760" s="19"/>
      <c r="F3760" s="19"/>
      <c r="G3760" s="19"/>
      <c r="H3760" s="82"/>
    </row>
    <row r="3761" spans="1:8" s="28" customFormat="1" x14ac:dyDescent="0.25">
      <c r="A3761" s="29"/>
      <c r="B3761" s="15"/>
      <c r="C3761" s="19"/>
      <c r="D3761" s="19"/>
      <c r="E3761" s="19"/>
      <c r="F3761" s="19"/>
      <c r="G3761" s="19"/>
      <c r="H3761" s="82"/>
    </row>
    <row r="3762" spans="1:8" s="28" customFormat="1" x14ac:dyDescent="0.25">
      <c r="A3762" s="29"/>
      <c r="B3762" s="15"/>
      <c r="C3762" s="19"/>
      <c r="D3762" s="19"/>
      <c r="E3762" s="19"/>
      <c r="F3762" s="19"/>
      <c r="G3762" s="19"/>
      <c r="H3762" s="82"/>
    </row>
    <row r="3763" spans="1:8" s="28" customFormat="1" x14ac:dyDescent="0.25">
      <c r="A3763" s="29"/>
      <c r="B3763" s="15"/>
      <c r="C3763" s="19"/>
      <c r="D3763" s="19"/>
      <c r="E3763" s="19"/>
      <c r="F3763" s="19"/>
      <c r="G3763" s="19"/>
      <c r="H3763" s="82"/>
    </row>
    <row r="3764" spans="1:8" s="28" customFormat="1" x14ac:dyDescent="0.25">
      <c r="A3764" s="29"/>
      <c r="B3764" s="15"/>
      <c r="C3764" s="19"/>
      <c r="D3764" s="19"/>
      <c r="E3764" s="19"/>
      <c r="F3764" s="19"/>
      <c r="G3764" s="19"/>
      <c r="H3764" s="82"/>
    </row>
    <row r="3765" spans="1:8" s="28" customFormat="1" x14ac:dyDescent="0.25">
      <c r="A3765" s="29"/>
      <c r="B3765" s="15"/>
      <c r="C3765" s="19"/>
      <c r="D3765" s="19"/>
      <c r="E3765" s="19"/>
      <c r="F3765" s="19"/>
      <c r="G3765" s="19"/>
      <c r="H3765" s="82"/>
    </row>
    <row r="3766" spans="1:8" s="28" customFormat="1" x14ac:dyDescent="0.25">
      <c r="A3766" s="29"/>
      <c r="B3766" s="15"/>
      <c r="C3766" s="19"/>
      <c r="D3766" s="19"/>
      <c r="E3766" s="19"/>
      <c r="F3766" s="19"/>
      <c r="G3766" s="19"/>
      <c r="H3766" s="82"/>
    </row>
    <row r="3767" spans="1:8" s="28" customFormat="1" x14ac:dyDescent="0.25">
      <c r="A3767" s="29"/>
      <c r="B3767" s="15"/>
      <c r="C3767" s="19"/>
      <c r="D3767" s="19"/>
      <c r="E3767" s="19"/>
      <c r="F3767" s="19"/>
      <c r="G3767" s="19"/>
      <c r="H3767" s="82"/>
    </row>
    <row r="3768" spans="1:8" s="28" customFormat="1" x14ac:dyDescent="0.25">
      <c r="A3768" s="29"/>
      <c r="B3768" s="15"/>
      <c r="C3768" s="19"/>
      <c r="D3768" s="19"/>
      <c r="E3768" s="19"/>
      <c r="F3768" s="19"/>
      <c r="G3768" s="19"/>
      <c r="H3768" s="82"/>
    </row>
    <row r="3769" spans="1:8" s="28" customFormat="1" x14ac:dyDescent="0.25">
      <c r="A3769" s="29"/>
      <c r="B3769" s="15"/>
      <c r="C3769" s="19"/>
      <c r="D3769" s="19"/>
      <c r="E3769" s="19"/>
      <c r="F3769" s="19"/>
      <c r="G3769" s="19"/>
      <c r="H3769" s="82"/>
    </row>
    <row r="3770" spans="1:8" s="28" customFormat="1" x14ac:dyDescent="0.25">
      <c r="A3770" s="29"/>
      <c r="B3770" s="15"/>
      <c r="C3770" s="19"/>
      <c r="D3770" s="19"/>
      <c r="E3770" s="19"/>
      <c r="F3770" s="19"/>
      <c r="G3770" s="19"/>
      <c r="H3770" s="82"/>
    </row>
    <row r="3771" spans="1:8" s="28" customFormat="1" x14ac:dyDescent="0.25">
      <c r="A3771" s="29"/>
      <c r="B3771" s="15"/>
      <c r="C3771" s="19"/>
      <c r="D3771" s="19"/>
      <c r="E3771" s="19"/>
      <c r="F3771" s="19"/>
      <c r="G3771" s="19"/>
      <c r="H3771" s="82"/>
    </row>
    <row r="3772" spans="1:8" s="28" customFormat="1" x14ac:dyDescent="0.25">
      <c r="A3772" s="29"/>
      <c r="B3772" s="15"/>
      <c r="C3772" s="19"/>
      <c r="D3772" s="19"/>
      <c r="E3772" s="19"/>
      <c r="F3772" s="19"/>
      <c r="G3772" s="19"/>
      <c r="H3772" s="82"/>
    </row>
    <row r="3773" spans="1:8" s="28" customFormat="1" x14ac:dyDescent="0.25">
      <c r="A3773" s="29"/>
      <c r="B3773" s="15"/>
      <c r="C3773" s="19"/>
      <c r="D3773" s="19"/>
      <c r="E3773" s="19"/>
      <c r="F3773" s="19"/>
      <c r="G3773" s="19"/>
      <c r="H3773" s="82"/>
    </row>
    <row r="3774" spans="1:8" s="28" customFormat="1" x14ac:dyDescent="0.25">
      <c r="A3774" s="29"/>
      <c r="B3774" s="15"/>
      <c r="C3774" s="19"/>
      <c r="D3774" s="19"/>
      <c r="E3774" s="19"/>
      <c r="F3774" s="19"/>
      <c r="G3774" s="19"/>
      <c r="H3774" s="82"/>
    </row>
    <row r="3775" spans="1:8" s="28" customFormat="1" x14ac:dyDescent="0.25">
      <c r="A3775" s="29"/>
      <c r="B3775" s="15"/>
      <c r="C3775" s="19"/>
      <c r="D3775" s="19"/>
      <c r="E3775" s="19"/>
      <c r="F3775" s="19"/>
      <c r="G3775" s="19"/>
      <c r="H3775" s="82"/>
    </row>
    <row r="3776" spans="1:8" s="28" customFormat="1" x14ac:dyDescent="0.25">
      <c r="A3776" s="29"/>
      <c r="B3776" s="15"/>
      <c r="C3776" s="19"/>
      <c r="D3776" s="19"/>
      <c r="E3776" s="19"/>
      <c r="F3776" s="19"/>
      <c r="G3776" s="19"/>
      <c r="H3776" s="82"/>
    </row>
    <row r="3777" spans="1:8" s="28" customFormat="1" x14ac:dyDescent="0.25">
      <c r="A3777" s="29"/>
      <c r="B3777" s="15"/>
      <c r="C3777" s="19"/>
      <c r="D3777" s="19"/>
      <c r="E3777" s="19"/>
      <c r="F3777" s="19"/>
      <c r="G3777" s="19"/>
      <c r="H3777" s="82"/>
    </row>
    <row r="3778" spans="1:8" s="28" customFormat="1" x14ac:dyDescent="0.25">
      <c r="A3778" s="29"/>
      <c r="B3778" s="15"/>
      <c r="C3778" s="19"/>
      <c r="D3778" s="19"/>
      <c r="E3778" s="19"/>
      <c r="F3778" s="19"/>
      <c r="G3778" s="19"/>
      <c r="H3778" s="82"/>
    </row>
    <row r="3779" spans="1:8" s="28" customFormat="1" x14ac:dyDescent="0.25">
      <c r="A3779" s="29"/>
      <c r="B3779" s="15"/>
      <c r="C3779" s="19"/>
      <c r="D3779" s="19"/>
      <c r="E3779" s="19"/>
      <c r="F3779" s="19"/>
      <c r="G3779" s="19"/>
      <c r="H3779" s="82"/>
    </row>
    <row r="3780" spans="1:8" s="28" customFormat="1" x14ac:dyDescent="0.25">
      <c r="A3780" s="29"/>
      <c r="B3780" s="15"/>
      <c r="C3780" s="19"/>
      <c r="D3780" s="19"/>
      <c r="E3780" s="19"/>
      <c r="F3780" s="19"/>
      <c r="G3780" s="19"/>
      <c r="H3780" s="82"/>
    </row>
    <row r="3781" spans="1:8" s="28" customFormat="1" x14ac:dyDescent="0.25">
      <c r="A3781" s="29"/>
      <c r="B3781" s="15"/>
      <c r="C3781" s="19"/>
      <c r="D3781" s="19"/>
      <c r="E3781" s="19"/>
      <c r="F3781" s="19"/>
      <c r="G3781" s="19"/>
      <c r="H3781" s="82"/>
    </row>
    <row r="3782" spans="1:8" s="28" customFormat="1" x14ac:dyDescent="0.25">
      <c r="A3782" s="29"/>
      <c r="B3782" s="15"/>
      <c r="C3782" s="19"/>
      <c r="D3782" s="19"/>
      <c r="E3782" s="19"/>
      <c r="F3782" s="19"/>
      <c r="G3782" s="19"/>
      <c r="H3782" s="82"/>
    </row>
    <row r="3783" spans="1:8" s="28" customFormat="1" x14ac:dyDescent="0.25">
      <c r="A3783" s="29"/>
      <c r="B3783" s="15"/>
      <c r="C3783" s="19"/>
      <c r="D3783" s="19"/>
      <c r="E3783" s="19"/>
      <c r="F3783" s="19"/>
      <c r="G3783" s="19"/>
      <c r="H3783" s="82"/>
    </row>
    <row r="3784" spans="1:8" s="28" customFormat="1" x14ac:dyDescent="0.25">
      <c r="A3784" s="29"/>
      <c r="B3784" s="15"/>
      <c r="C3784" s="19"/>
      <c r="D3784" s="19"/>
      <c r="E3784" s="19"/>
      <c r="F3784" s="19"/>
      <c r="G3784" s="19"/>
      <c r="H3784" s="82"/>
    </row>
    <row r="3785" spans="1:8" s="28" customFormat="1" x14ac:dyDescent="0.25">
      <c r="A3785" s="29"/>
      <c r="B3785" s="15"/>
      <c r="C3785" s="19"/>
      <c r="D3785" s="19"/>
      <c r="E3785" s="19"/>
      <c r="F3785" s="19"/>
      <c r="G3785" s="19"/>
      <c r="H3785" s="82"/>
    </row>
    <row r="3786" spans="1:8" s="28" customFormat="1" x14ac:dyDescent="0.25">
      <c r="A3786" s="29"/>
      <c r="B3786" s="15"/>
      <c r="C3786" s="19"/>
      <c r="D3786" s="19"/>
      <c r="E3786" s="19"/>
      <c r="F3786" s="19"/>
      <c r="G3786" s="19"/>
      <c r="H3786" s="82"/>
    </row>
    <row r="3787" spans="1:8" s="28" customFormat="1" x14ac:dyDescent="0.25">
      <c r="A3787" s="29"/>
      <c r="B3787" s="15"/>
      <c r="C3787" s="19"/>
      <c r="D3787" s="19"/>
      <c r="E3787" s="19"/>
      <c r="F3787" s="19"/>
      <c r="G3787" s="19"/>
      <c r="H3787" s="82"/>
    </row>
    <row r="3788" spans="1:8" s="28" customFormat="1" x14ac:dyDescent="0.25">
      <c r="A3788" s="29"/>
      <c r="B3788" s="15"/>
      <c r="C3788" s="19"/>
      <c r="D3788" s="19"/>
      <c r="E3788" s="19"/>
      <c r="F3788" s="19"/>
      <c r="G3788" s="19"/>
      <c r="H3788" s="82"/>
    </row>
    <row r="3789" spans="1:8" s="28" customFormat="1" x14ac:dyDescent="0.25">
      <c r="A3789" s="29"/>
      <c r="B3789" s="15"/>
      <c r="C3789" s="19"/>
      <c r="D3789" s="19"/>
      <c r="E3789" s="19"/>
      <c r="F3789" s="19"/>
      <c r="G3789" s="19"/>
      <c r="H3789" s="82"/>
    </row>
    <row r="3790" spans="1:8" s="28" customFormat="1" x14ac:dyDescent="0.25">
      <c r="A3790" s="29"/>
      <c r="B3790" s="15"/>
      <c r="C3790" s="19"/>
      <c r="D3790" s="19"/>
      <c r="E3790" s="19"/>
      <c r="F3790" s="19"/>
      <c r="G3790" s="19"/>
      <c r="H3790" s="82"/>
    </row>
    <row r="3791" spans="1:8" s="28" customFormat="1" x14ac:dyDescent="0.25">
      <c r="A3791" s="29"/>
      <c r="B3791" s="15"/>
      <c r="C3791" s="19"/>
      <c r="D3791" s="19"/>
      <c r="E3791" s="19"/>
      <c r="F3791" s="19"/>
      <c r="G3791" s="19"/>
      <c r="H3791" s="82"/>
    </row>
    <row r="3792" spans="1:8" s="28" customFormat="1" x14ac:dyDescent="0.25">
      <c r="A3792" s="29"/>
      <c r="B3792" s="15"/>
      <c r="C3792" s="19"/>
      <c r="D3792" s="19"/>
      <c r="E3792" s="19"/>
      <c r="F3792" s="19"/>
      <c r="G3792" s="19"/>
      <c r="H3792" s="82"/>
    </row>
    <row r="3793" spans="1:8" s="28" customFormat="1" x14ac:dyDescent="0.25">
      <c r="A3793" s="29"/>
      <c r="B3793" s="15"/>
      <c r="C3793" s="19"/>
      <c r="D3793" s="19"/>
      <c r="E3793" s="19"/>
      <c r="F3793" s="19"/>
      <c r="G3793" s="19"/>
      <c r="H3793" s="82"/>
    </row>
    <row r="3794" spans="1:8" s="28" customFormat="1" x14ac:dyDescent="0.25">
      <c r="A3794" s="29"/>
      <c r="B3794" s="15"/>
      <c r="C3794" s="19"/>
      <c r="D3794" s="19"/>
      <c r="E3794" s="19"/>
      <c r="F3794" s="19"/>
      <c r="G3794" s="19"/>
      <c r="H3794" s="82"/>
    </row>
    <row r="3795" spans="1:8" s="28" customFormat="1" x14ac:dyDescent="0.25">
      <c r="A3795" s="29"/>
      <c r="B3795" s="15"/>
      <c r="C3795" s="19"/>
      <c r="D3795" s="19"/>
      <c r="E3795" s="19"/>
      <c r="F3795" s="19"/>
      <c r="G3795" s="19"/>
      <c r="H3795" s="82"/>
    </row>
    <row r="3796" spans="1:8" s="28" customFormat="1" x14ac:dyDescent="0.25">
      <c r="A3796" s="29"/>
      <c r="B3796" s="15"/>
      <c r="C3796" s="19"/>
      <c r="D3796" s="19"/>
      <c r="E3796" s="19"/>
      <c r="F3796" s="19"/>
      <c r="G3796" s="19"/>
      <c r="H3796" s="82"/>
    </row>
    <row r="3797" spans="1:8" s="28" customFormat="1" x14ac:dyDescent="0.25">
      <c r="A3797" s="29"/>
      <c r="B3797" s="15"/>
      <c r="C3797" s="19"/>
      <c r="D3797" s="19"/>
      <c r="E3797" s="19"/>
      <c r="F3797" s="19"/>
      <c r="G3797" s="19"/>
      <c r="H3797" s="82"/>
    </row>
    <row r="3798" spans="1:8" s="28" customFormat="1" x14ac:dyDescent="0.25">
      <c r="A3798" s="29"/>
      <c r="B3798" s="15"/>
      <c r="C3798" s="19"/>
      <c r="D3798" s="19"/>
      <c r="E3798" s="19"/>
      <c r="F3798" s="19"/>
      <c r="G3798" s="19"/>
      <c r="H3798" s="82"/>
    </row>
    <row r="3799" spans="1:8" s="28" customFormat="1" x14ac:dyDescent="0.25">
      <c r="A3799" s="29"/>
      <c r="B3799" s="15"/>
      <c r="C3799" s="19"/>
      <c r="D3799" s="19"/>
      <c r="E3799" s="19"/>
      <c r="F3799" s="19"/>
      <c r="G3799" s="19"/>
      <c r="H3799" s="82"/>
    </row>
    <row r="3800" spans="1:8" s="28" customFormat="1" x14ac:dyDescent="0.25">
      <c r="A3800" s="29"/>
      <c r="B3800" s="15"/>
      <c r="C3800" s="19"/>
      <c r="D3800" s="19"/>
      <c r="E3800" s="19"/>
      <c r="F3800" s="19"/>
      <c r="G3800" s="19"/>
      <c r="H3800" s="82"/>
    </row>
    <row r="3801" spans="1:8" s="28" customFormat="1" x14ac:dyDescent="0.25">
      <c r="A3801" s="29"/>
      <c r="B3801" s="15"/>
      <c r="C3801" s="19"/>
      <c r="D3801" s="19"/>
      <c r="E3801" s="19"/>
      <c r="F3801" s="19"/>
      <c r="G3801" s="19"/>
      <c r="H3801" s="82"/>
    </row>
    <row r="3802" spans="1:8" s="28" customFormat="1" x14ac:dyDescent="0.25">
      <c r="A3802" s="29"/>
      <c r="B3802" s="15"/>
      <c r="C3802" s="19"/>
      <c r="D3802" s="19"/>
      <c r="E3802" s="19"/>
      <c r="F3802" s="19"/>
      <c r="G3802" s="19"/>
      <c r="H3802" s="82"/>
    </row>
    <row r="3803" spans="1:8" s="28" customFormat="1" x14ac:dyDescent="0.25">
      <c r="A3803" s="29"/>
      <c r="B3803" s="15"/>
      <c r="C3803" s="19"/>
      <c r="D3803" s="19"/>
      <c r="E3803" s="19"/>
      <c r="F3803" s="19"/>
      <c r="G3803" s="19"/>
      <c r="H3803" s="82"/>
    </row>
    <row r="3804" spans="1:8" s="28" customFormat="1" x14ac:dyDescent="0.25">
      <c r="A3804" s="29"/>
      <c r="B3804" s="15"/>
      <c r="C3804" s="19"/>
      <c r="D3804" s="19"/>
      <c r="E3804" s="19"/>
      <c r="F3804" s="19"/>
      <c r="G3804" s="19"/>
      <c r="H3804" s="82"/>
    </row>
    <row r="3805" spans="1:8" s="28" customFormat="1" x14ac:dyDescent="0.25">
      <c r="A3805" s="29"/>
      <c r="B3805" s="15"/>
      <c r="C3805" s="19"/>
      <c r="D3805" s="19"/>
      <c r="E3805" s="19"/>
      <c r="F3805" s="19"/>
      <c r="G3805" s="19"/>
      <c r="H3805" s="82"/>
    </row>
    <row r="3806" spans="1:8" s="28" customFormat="1" x14ac:dyDescent="0.25">
      <c r="A3806" s="29"/>
      <c r="B3806" s="15"/>
      <c r="C3806" s="19"/>
      <c r="D3806" s="19"/>
      <c r="E3806" s="19"/>
      <c r="F3806" s="19"/>
      <c r="G3806" s="19"/>
      <c r="H3806" s="82"/>
    </row>
    <row r="3807" spans="1:8" s="28" customFormat="1" x14ac:dyDescent="0.25">
      <c r="A3807" s="29"/>
      <c r="B3807" s="15"/>
      <c r="C3807" s="19"/>
      <c r="D3807" s="19"/>
      <c r="E3807" s="19"/>
      <c r="F3807" s="19"/>
      <c r="G3807" s="19"/>
      <c r="H3807" s="82"/>
    </row>
    <row r="3808" spans="1:8" s="28" customFormat="1" x14ac:dyDescent="0.25">
      <c r="A3808" s="29"/>
      <c r="B3808" s="15"/>
      <c r="C3808" s="19"/>
      <c r="D3808" s="19"/>
      <c r="E3808" s="19"/>
      <c r="F3808" s="19"/>
      <c r="G3808" s="19"/>
      <c r="H3808" s="82"/>
    </row>
    <row r="3809" spans="1:8" s="28" customFormat="1" x14ac:dyDescent="0.25">
      <c r="A3809" s="29"/>
      <c r="B3809" s="15"/>
      <c r="C3809" s="19"/>
      <c r="D3809" s="19"/>
      <c r="E3809" s="19"/>
      <c r="F3809" s="19"/>
      <c r="G3809" s="19"/>
      <c r="H3809" s="82"/>
    </row>
    <row r="3810" spans="1:8" s="28" customFormat="1" x14ac:dyDescent="0.25">
      <c r="A3810" s="29"/>
      <c r="B3810" s="15"/>
      <c r="C3810" s="19"/>
      <c r="D3810" s="19"/>
      <c r="E3810" s="19"/>
      <c r="F3810" s="19"/>
      <c r="G3810" s="19"/>
      <c r="H3810" s="82"/>
    </row>
    <row r="3811" spans="1:8" s="28" customFormat="1" x14ac:dyDescent="0.25">
      <c r="A3811" s="29"/>
      <c r="B3811" s="15"/>
      <c r="C3811" s="19"/>
      <c r="D3811" s="19"/>
      <c r="E3811" s="19"/>
      <c r="F3811" s="19"/>
      <c r="G3811" s="19"/>
      <c r="H3811" s="82"/>
    </row>
    <row r="3812" spans="1:8" s="28" customFormat="1" x14ac:dyDescent="0.25">
      <c r="A3812" s="29"/>
      <c r="B3812" s="15"/>
      <c r="C3812" s="19"/>
      <c r="D3812" s="19"/>
      <c r="E3812" s="19"/>
      <c r="F3812" s="19"/>
      <c r="G3812" s="19"/>
      <c r="H3812" s="82"/>
    </row>
    <row r="3813" spans="1:8" s="28" customFormat="1" x14ac:dyDescent="0.25">
      <c r="A3813" s="29"/>
      <c r="B3813" s="15"/>
      <c r="C3813" s="19"/>
      <c r="D3813" s="19"/>
      <c r="E3813" s="19"/>
      <c r="F3813" s="19"/>
      <c r="G3813" s="19"/>
      <c r="H3813" s="82"/>
    </row>
    <row r="3814" spans="1:8" s="28" customFormat="1" x14ac:dyDescent="0.25">
      <c r="A3814" s="29"/>
      <c r="B3814" s="15"/>
      <c r="C3814" s="19"/>
      <c r="D3814" s="19"/>
      <c r="E3814" s="19"/>
      <c r="F3814" s="19"/>
      <c r="G3814" s="19"/>
      <c r="H3814" s="82"/>
    </row>
    <row r="3815" spans="1:8" s="28" customFormat="1" x14ac:dyDescent="0.25">
      <c r="A3815" s="29"/>
      <c r="B3815" s="15"/>
      <c r="C3815" s="19"/>
      <c r="D3815" s="19"/>
      <c r="E3815" s="19"/>
      <c r="F3815" s="19"/>
      <c r="G3815" s="19"/>
      <c r="H3815" s="82"/>
    </row>
    <row r="3816" spans="1:8" s="28" customFormat="1" x14ac:dyDescent="0.25">
      <c r="A3816" s="29"/>
      <c r="B3816" s="15"/>
      <c r="C3816" s="19"/>
      <c r="D3816" s="19"/>
      <c r="E3816" s="19"/>
      <c r="F3816" s="19"/>
      <c r="G3816" s="19"/>
      <c r="H3816" s="82"/>
    </row>
    <row r="3817" spans="1:8" s="28" customFormat="1" x14ac:dyDescent="0.25">
      <c r="A3817" s="29"/>
      <c r="B3817" s="15"/>
      <c r="C3817" s="19"/>
      <c r="D3817" s="19"/>
      <c r="E3817" s="19"/>
      <c r="F3817" s="19"/>
      <c r="G3817" s="19"/>
      <c r="H3817" s="82"/>
    </row>
    <row r="3818" spans="1:8" s="28" customFormat="1" x14ac:dyDescent="0.25">
      <c r="A3818" s="29"/>
      <c r="B3818" s="15"/>
      <c r="C3818" s="19"/>
      <c r="D3818" s="19"/>
      <c r="E3818" s="19"/>
      <c r="F3818" s="19"/>
      <c r="G3818" s="19"/>
      <c r="H3818" s="82"/>
    </row>
    <row r="3819" spans="1:8" s="28" customFormat="1" x14ac:dyDescent="0.25">
      <c r="A3819" s="29"/>
      <c r="B3819" s="15"/>
      <c r="C3819" s="19"/>
      <c r="D3819" s="19"/>
      <c r="E3819" s="19"/>
      <c r="F3819" s="19"/>
      <c r="G3819" s="19"/>
      <c r="H3819" s="82"/>
    </row>
    <row r="3820" spans="1:8" s="28" customFormat="1" x14ac:dyDescent="0.25">
      <c r="A3820" s="29"/>
      <c r="B3820" s="15"/>
      <c r="C3820" s="19"/>
      <c r="D3820" s="19"/>
      <c r="E3820" s="19"/>
      <c r="F3820" s="19"/>
      <c r="G3820" s="19"/>
      <c r="H3820" s="82"/>
    </row>
    <row r="3821" spans="1:8" s="28" customFormat="1" x14ac:dyDescent="0.25">
      <c r="A3821" s="29"/>
      <c r="B3821" s="15"/>
      <c r="C3821" s="19"/>
      <c r="D3821" s="19"/>
      <c r="E3821" s="19"/>
      <c r="F3821" s="19"/>
      <c r="G3821" s="19"/>
      <c r="H3821" s="82"/>
    </row>
    <row r="3822" spans="1:8" s="28" customFormat="1" x14ac:dyDescent="0.25">
      <c r="A3822" s="29"/>
      <c r="B3822" s="15"/>
      <c r="C3822" s="19"/>
      <c r="D3822" s="19"/>
      <c r="E3822" s="19"/>
      <c r="F3822" s="19"/>
      <c r="G3822" s="19"/>
      <c r="H3822" s="82"/>
    </row>
    <row r="3823" spans="1:8" s="28" customFormat="1" x14ac:dyDescent="0.25">
      <c r="A3823" s="29"/>
      <c r="B3823" s="15"/>
      <c r="C3823" s="19"/>
      <c r="D3823" s="19"/>
      <c r="E3823" s="19"/>
      <c r="F3823" s="19"/>
      <c r="G3823" s="19"/>
      <c r="H3823" s="82"/>
    </row>
    <row r="3824" spans="1:8" s="28" customFormat="1" x14ac:dyDescent="0.25">
      <c r="A3824" s="29"/>
      <c r="B3824" s="15"/>
      <c r="C3824" s="19"/>
      <c r="D3824" s="19"/>
      <c r="E3824" s="19"/>
      <c r="F3824" s="19"/>
      <c r="G3824" s="19"/>
      <c r="H3824" s="82"/>
    </row>
    <row r="3825" spans="1:8" s="28" customFormat="1" x14ac:dyDescent="0.25">
      <c r="A3825" s="29"/>
      <c r="B3825" s="15"/>
      <c r="C3825" s="19"/>
      <c r="D3825" s="19"/>
      <c r="E3825" s="19"/>
      <c r="F3825" s="19"/>
      <c r="G3825" s="19"/>
      <c r="H3825" s="82"/>
    </row>
    <row r="3826" spans="1:8" s="28" customFormat="1" x14ac:dyDescent="0.25">
      <c r="A3826" s="29"/>
      <c r="B3826" s="15"/>
      <c r="C3826" s="19"/>
      <c r="D3826" s="19"/>
      <c r="E3826" s="19"/>
      <c r="F3826" s="19"/>
      <c r="G3826" s="19"/>
      <c r="H3826" s="82"/>
    </row>
    <row r="3827" spans="1:8" s="28" customFormat="1" x14ac:dyDescent="0.25">
      <c r="A3827" s="29"/>
      <c r="B3827" s="15"/>
      <c r="C3827" s="19"/>
      <c r="D3827" s="19"/>
      <c r="E3827" s="19"/>
      <c r="F3827" s="19"/>
      <c r="G3827" s="19"/>
      <c r="H3827" s="82"/>
    </row>
    <row r="3828" spans="1:8" s="28" customFormat="1" x14ac:dyDescent="0.25">
      <c r="A3828" s="29"/>
      <c r="B3828" s="15"/>
      <c r="C3828" s="19"/>
      <c r="D3828" s="19"/>
      <c r="E3828" s="19"/>
      <c r="F3828" s="19"/>
      <c r="G3828" s="19"/>
      <c r="H3828" s="82"/>
    </row>
    <row r="3829" spans="1:8" s="28" customFormat="1" x14ac:dyDescent="0.25">
      <c r="A3829" s="29"/>
      <c r="B3829" s="15"/>
      <c r="C3829" s="19"/>
      <c r="D3829" s="19"/>
      <c r="E3829" s="19"/>
      <c r="F3829" s="19"/>
      <c r="G3829" s="19"/>
      <c r="H3829" s="82"/>
    </row>
    <row r="3830" spans="1:8" s="28" customFormat="1" x14ac:dyDescent="0.25">
      <c r="A3830" s="29"/>
      <c r="B3830" s="15"/>
      <c r="C3830" s="19"/>
      <c r="D3830" s="19"/>
      <c r="E3830" s="19"/>
      <c r="F3830" s="19"/>
      <c r="G3830" s="19"/>
      <c r="H3830" s="82"/>
    </row>
    <row r="3831" spans="1:8" s="28" customFormat="1" x14ac:dyDescent="0.25">
      <c r="A3831" s="29"/>
      <c r="B3831" s="15"/>
      <c r="C3831" s="19"/>
      <c r="D3831" s="19"/>
      <c r="E3831" s="19"/>
      <c r="F3831" s="19"/>
      <c r="G3831" s="19"/>
      <c r="H3831" s="82"/>
    </row>
    <row r="3832" spans="1:8" s="28" customFormat="1" x14ac:dyDescent="0.25">
      <c r="A3832" s="29"/>
      <c r="B3832" s="15"/>
      <c r="C3832" s="19"/>
      <c r="D3832" s="19"/>
      <c r="E3832" s="19"/>
      <c r="F3832" s="19"/>
      <c r="G3832" s="19"/>
      <c r="H3832" s="82"/>
    </row>
    <row r="3833" spans="1:8" s="28" customFormat="1" x14ac:dyDescent="0.25">
      <c r="A3833" s="29"/>
      <c r="B3833" s="15"/>
      <c r="C3833" s="19"/>
      <c r="D3833" s="19"/>
      <c r="E3833" s="19"/>
      <c r="F3833" s="19"/>
      <c r="G3833" s="19"/>
      <c r="H3833" s="82"/>
    </row>
    <row r="3834" spans="1:8" s="28" customFormat="1" x14ac:dyDescent="0.25">
      <c r="A3834" s="29"/>
      <c r="B3834" s="15"/>
      <c r="C3834" s="19"/>
      <c r="D3834" s="19"/>
      <c r="E3834" s="19"/>
      <c r="F3834" s="19"/>
      <c r="G3834" s="19"/>
      <c r="H3834" s="82"/>
    </row>
    <row r="3835" spans="1:8" s="28" customFormat="1" x14ac:dyDescent="0.25">
      <c r="A3835" s="29"/>
      <c r="B3835" s="15"/>
      <c r="C3835" s="19"/>
      <c r="D3835" s="19"/>
      <c r="E3835" s="19"/>
      <c r="F3835" s="19"/>
      <c r="G3835" s="19"/>
      <c r="H3835" s="82"/>
    </row>
    <row r="3836" spans="1:8" s="28" customFormat="1" x14ac:dyDescent="0.25">
      <c r="A3836" s="29"/>
      <c r="B3836" s="15"/>
      <c r="C3836" s="19"/>
      <c r="D3836" s="19"/>
      <c r="E3836" s="19"/>
      <c r="F3836" s="19"/>
      <c r="G3836" s="19"/>
      <c r="H3836" s="82"/>
    </row>
    <row r="3837" spans="1:8" s="28" customFormat="1" x14ac:dyDescent="0.25">
      <c r="A3837" s="29"/>
      <c r="B3837" s="15"/>
      <c r="C3837" s="19"/>
      <c r="D3837" s="19"/>
      <c r="E3837" s="19"/>
      <c r="F3837" s="19"/>
      <c r="G3837" s="19"/>
      <c r="H3837" s="82"/>
    </row>
    <row r="3838" spans="1:8" s="28" customFormat="1" x14ac:dyDescent="0.25">
      <c r="A3838" s="29"/>
      <c r="B3838" s="15"/>
      <c r="C3838" s="19"/>
      <c r="D3838" s="19"/>
      <c r="E3838" s="19"/>
      <c r="F3838" s="19"/>
      <c r="G3838" s="19"/>
      <c r="H3838" s="82"/>
    </row>
    <row r="3839" spans="1:8" s="28" customFormat="1" x14ac:dyDescent="0.25">
      <c r="A3839" s="29"/>
      <c r="B3839" s="15"/>
      <c r="C3839" s="19"/>
      <c r="D3839" s="19"/>
      <c r="E3839" s="19"/>
      <c r="F3839" s="19"/>
      <c r="G3839" s="19"/>
      <c r="H3839" s="82"/>
    </row>
    <row r="3840" spans="1:8" s="28" customFormat="1" x14ac:dyDescent="0.25">
      <c r="A3840" s="29"/>
      <c r="B3840" s="15"/>
      <c r="C3840" s="19"/>
      <c r="D3840" s="19"/>
      <c r="E3840" s="19"/>
      <c r="F3840" s="19"/>
      <c r="G3840" s="19"/>
      <c r="H3840" s="82"/>
    </row>
    <row r="3841" spans="1:8" s="28" customFormat="1" x14ac:dyDescent="0.25">
      <c r="A3841" s="29"/>
      <c r="B3841" s="15"/>
      <c r="C3841" s="19"/>
      <c r="D3841" s="19"/>
      <c r="E3841" s="19"/>
      <c r="F3841" s="19"/>
      <c r="G3841" s="19"/>
      <c r="H3841" s="82"/>
    </row>
    <row r="3842" spans="1:8" s="28" customFormat="1" x14ac:dyDescent="0.25">
      <c r="A3842" s="29"/>
      <c r="B3842" s="15"/>
      <c r="C3842" s="19"/>
      <c r="D3842" s="19"/>
      <c r="E3842" s="19"/>
      <c r="F3842" s="19"/>
      <c r="G3842" s="19"/>
      <c r="H3842" s="82"/>
    </row>
    <row r="3843" spans="1:8" s="28" customFormat="1" x14ac:dyDescent="0.25">
      <c r="A3843" s="29"/>
      <c r="B3843" s="15"/>
      <c r="C3843" s="19"/>
      <c r="D3843" s="19"/>
      <c r="E3843" s="19"/>
      <c r="F3843" s="19"/>
      <c r="G3843" s="19"/>
      <c r="H3843" s="82"/>
    </row>
    <row r="3844" spans="1:8" s="28" customFormat="1" x14ac:dyDescent="0.25">
      <c r="A3844" s="29"/>
      <c r="B3844" s="15"/>
      <c r="C3844" s="19"/>
      <c r="D3844" s="19"/>
      <c r="E3844" s="19"/>
      <c r="F3844" s="19"/>
      <c r="G3844" s="19"/>
      <c r="H3844" s="82"/>
    </row>
    <row r="3845" spans="1:8" s="28" customFormat="1" x14ac:dyDescent="0.25">
      <c r="A3845" s="29"/>
      <c r="B3845" s="15"/>
      <c r="C3845" s="19"/>
      <c r="D3845" s="19"/>
      <c r="E3845" s="19"/>
      <c r="F3845" s="19"/>
      <c r="G3845" s="19"/>
      <c r="H3845" s="82"/>
    </row>
    <row r="3846" spans="1:8" s="28" customFormat="1" x14ac:dyDescent="0.25">
      <c r="A3846" s="29"/>
      <c r="B3846" s="15"/>
      <c r="C3846" s="19"/>
      <c r="D3846" s="19"/>
      <c r="E3846" s="19"/>
      <c r="F3846" s="19"/>
      <c r="G3846" s="19"/>
      <c r="H3846" s="82"/>
    </row>
    <row r="3847" spans="1:8" s="28" customFormat="1" x14ac:dyDescent="0.25">
      <c r="A3847" s="29"/>
      <c r="B3847" s="15"/>
      <c r="C3847" s="19"/>
      <c r="D3847" s="19"/>
      <c r="E3847" s="19"/>
      <c r="F3847" s="19"/>
      <c r="G3847" s="19"/>
      <c r="H3847" s="82"/>
    </row>
    <row r="3848" spans="1:8" s="28" customFormat="1" x14ac:dyDescent="0.25">
      <c r="A3848" s="29"/>
      <c r="B3848" s="15"/>
      <c r="C3848" s="19"/>
      <c r="D3848" s="19"/>
      <c r="E3848" s="19"/>
      <c r="F3848" s="19"/>
      <c r="G3848" s="19"/>
      <c r="H3848" s="82"/>
    </row>
    <row r="3849" spans="1:8" s="28" customFormat="1" x14ac:dyDescent="0.25">
      <c r="A3849" s="29"/>
      <c r="B3849" s="15"/>
      <c r="C3849" s="19"/>
      <c r="D3849" s="19"/>
      <c r="E3849" s="19"/>
      <c r="F3849" s="19"/>
      <c r="G3849" s="19"/>
      <c r="H3849" s="82"/>
    </row>
    <row r="3850" spans="1:8" s="28" customFormat="1" x14ac:dyDescent="0.25">
      <c r="A3850" s="29"/>
      <c r="B3850" s="15"/>
      <c r="C3850" s="19"/>
      <c r="D3850" s="19"/>
      <c r="E3850" s="19"/>
      <c r="F3850" s="19"/>
      <c r="G3850" s="19"/>
      <c r="H3850" s="82"/>
    </row>
    <row r="3851" spans="1:8" s="28" customFormat="1" x14ac:dyDescent="0.25">
      <c r="A3851" s="29"/>
      <c r="B3851" s="15"/>
      <c r="C3851" s="19"/>
      <c r="D3851" s="19"/>
      <c r="E3851" s="19"/>
      <c r="F3851" s="19"/>
      <c r="G3851" s="19"/>
      <c r="H3851" s="82"/>
    </row>
    <row r="3852" spans="1:8" s="28" customFormat="1" x14ac:dyDescent="0.25">
      <c r="A3852" s="29"/>
      <c r="B3852" s="15"/>
      <c r="C3852" s="19"/>
      <c r="D3852" s="19"/>
      <c r="E3852" s="19"/>
      <c r="F3852" s="19"/>
      <c r="G3852" s="19"/>
      <c r="H3852" s="82"/>
    </row>
    <row r="3853" spans="1:8" s="28" customFormat="1" x14ac:dyDescent="0.25">
      <c r="A3853" s="29"/>
      <c r="B3853" s="15"/>
      <c r="C3853" s="19"/>
      <c r="D3853" s="19"/>
      <c r="E3853" s="19"/>
      <c r="F3853" s="19"/>
      <c r="G3853" s="19"/>
      <c r="H3853" s="82"/>
    </row>
    <row r="3854" spans="1:8" s="28" customFormat="1" x14ac:dyDescent="0.25">
      <c r="A3854" s="29"/>
      <c r="B3854" s="15"/>
      <c r="C3854" s="19"/>
      <c r="D3854" s="19"/>
      <c r="E3854" s="19"/>
      <c r="F3854" s="19"/>
      <c r="G3854" s="19"/>
      <c r="H3854" s="82"/>
    </row>
    <row r="3855" spans="1:8" s="28" customFormat="1" x14ac:dyDescent="0.25">
      <c r="A3855" s="29"/>
      <c r="B3855" s="15"/>
      <c r="C3855" s="19"/>
      <c r="D3855" s="19"/>
      <c r="E3855" s="19"/>
      <c r="F3855" s="19"/>
      <c r="G3855" s="19"/>
      <c r="H3855" s="82"/>
    </row>
    <row r="3856" spans="1:8" s="28" customFormat="1" x14ac:dyDescent="0.25">
      <c r="A3856" s="29"/>
      <c r="B3856" s="15"/>
      <c r="C3856" s="19"/>
      <c r="D3856" s="19"/>
      <c r="E3856" s="19"/>
      <c r="F3856" s="19"/>
      <c r="G3856" s="19"/>
      <c r="H3856" s="82"/>
    </row>
    <row r="3857" spans="1:8" s="28" customFormat="1" x14ac:dyDescent="0.25">
      <c r="A3857" s="29"/>
      <c r="B3857" s="15"/>
      <c r="C3857" s="19"/>
      <c r="D3857" s="19"/>
      <c r="E3857" s="19"/>
      <c r="F3857" s="19"/>
      <c r="G3857" s="19"/>
      <c r="H3857" s="82"/>
    </row>
    <row r="3858" spans="1:8" s="28" customFormat="1" x14ac:dyDescent="0.25">
      <c r="A3858" s="29"/>
      <c r="B3858" s="15"/>
      <c r="C3858" s="19"/>
      <c r="D3858" s="19"/>
      <c r="E3858" s="19"/>
      <c r="F3858" s="19"/>
      <c r="G3858" s="19"/>
      <c r="H3858" s="82"/>
    </row>
    <row r="3859" spans="1:8" s="28" customFormat="1" x14ac:dyDescent="0.25">
      <c r="A3859" s="29"/>
      <c r="B3859" s="15"/>
      <c r="C3859" s="19"/>
      <c r="D3859" s="19"/>
      <c r="E3859" s="19"/>
      <c r="F3859" s="19"/>
      <c r="G3859" s="19"/>
      <c r="H3859" s="82"/>
    </row>
    <row r="3860" spans="1:8" s="28" customFormat="1" x14ac:dyDescent="0.25">
      <c r="A3860" s="29"/>
      <c r="B3860" s="15"/>
      <c r="C3860" s="19"/>
      <c r="D3860" s="19"/>
      <c r="E3860" s="19"/>
      <c r="F3860" s="19"/>
      <c r="G3860" s="19"/>
      <c r="H3860" s="82"/>
    </row>
    <row r="3861" spans="1:8" s="28" customFormat="1" x14ac:dyDescent="0.25">
      <c r="A3861" s="29"/>
      <c r="B3861" s="15"/>
      <c r="C3861" s="19"/>
      <c r="D3861" s="19"/>
      <c r="E3861" s="19"/>
      <c r="F3861" s="19"/>
      <c r="G3861" s="19"/>
      <c r="H3861" s="82"/>
    </row>
    <row r="3862" spans="1:8" s="28" customFormat="1" x14ac:dyDescent="0.25">
      <c r="A3862" s="29"/>
      <c r="B3862" s="15"/>
      <c r="C3862" s="19"/>
      <c r="D3862" s="19"/>
      <c r="E3862" s="19"/>
      <c r="F3862" s="19"/>
      <c r="G3862" s="19"/>
      <c r="H3862" s="82"/>
    </row>
    <row r="3863" spans="1:8" s="28" customFormat="1" x14ac:dyDescent="0.25">
      <c r="A3863" s="29"/>
      <c r="B3863" s="15"/>
      <c r="C3863" s="19"/>
      <c r="D3863" s="19"/>
      <c r="E3863" s="19"/>
      <c r="F3863" s="19"/>
      <c r="G3863" s="19"/>
      <c r="H3863" s="82"/>
    </row>
    <row r="3864" spans="1:8" s="28" customFormat="1" x14ac:dyDescent="0.25">
      <c r="A3864" s="29"/>
      <c r="B3864" s="15"/>
      <c r="C3864" s="19"/>
      <c r="D3864" s="19"/>
      <c r="E3864" s="19"/>
      <c r="F3864" s="19"/>
      <c r="G3864" s="19"/>
      <c r="H3864" s="82"/>
    </row>
    <row r="3865" spans="1:8" s="28" customFormat="1" x14ac:dyDescent="0.25">
      <c r="A3865" s="29"/>
      <c r="B3865" s="15"/>
      <c r="C3865" s="19"/>
      <c r="D3865" s="19"/>
      <c r="E3865" s="19"/>
      <c r="F3865" s="19"/>
      <c r="G3865" s="19"/>
      <c r="H3865" s="82"/>
    </row>
    <row r="3866" spans="1:8" s="28" customFormat="1" x14ac:dyDescent="0.25">
      <c r="A3866" s="29"/>
      <c r="B3866" s="15"/>
      <c r="C3866" s="19"/>
      <c r="D3866" s="19"/>
      <c r="E3866" s="19"/>
      <c r="F3866" s="19"/>
      <c r="G3866" s="19"/>
      <c r="H3866" s="82"/>
    </row>
    <row r="3867" spans="1:8" s="28" customFormat="1" x14ac:dyDescent="0.25">
      <c r="A3867" s="29"/>
      <c r="B3867" s="15"/>
      <c r="C3867" s="19"/>
      <c r="D3867" s="19"/>
      <c r="E3867" s="19"/>
      <c r="F3867" s="19"/>
      <c r="G3867" s="19"/>
      <c r="H3867" s="82"/>
    </row>
    <row r="3868" spans="1:8" s="28" customFormat="1" x14ac:dyDescent="0.25">
      <c r="A3868" s="29"/>
      <c r="B3868" s="15"/>
      <c r="C3868" s="19"/>
      <c r="D3868" s="19"/>
      <c r="E3868" s="19"/>
      <c r="F3868" s="19"/>
      <c r="G3868" s="19"/>
      <c r="H3868" s="82"/>
    </row>
    <row r="3869" spans="1:8" s="28" customFormat="1" x14ac:dyDescent="0.25">
      <c r="A3869" s="29"/>
      <c r="B3869" s="15"/>
      <c r="C3869" s="19"/>
      <c r="D3869" s="19"/>
      <c r="E3869" s="19"/>
      <c r="F3869" s="19"/>
      <c r="G3869" s="19"/>
      <c r="H3869" s="82"/>
    </row>
    <row r="3870" spans="1:8" s="28" customFormat="1" x14ac:dyDescent="0.25">
      <c r="A3870" s="29"/>
      <c r="B3870" s="15"/>
      <c r="C3870" s="19"/>
      <c r="D3870" s="19"/>
      <c r="E3870" s="19"/>
      <c r="F3870" s="19"/>
      <c r="G3870" s="19"/>
      <c r="H3870" s="82"/>
    </row>
    <row r="3871" spans="1:8" s="28" customFormat="1" x14ac:dyDescent="0.25">
      <c r="A3871" s="29"/>
      <c r="B3871" s="15"/>
      <c r="C3871" s="19"/>
      <c r="D3871" s="19"/>
      <c r="E3871" s="19"/>
      <c r="F3871" s="19"/>
      <c r="G3871" s="19"/>
      <c r="H3871" s="82"/>
    </row>
    <row r="3872" spans="1:8" s="28" customFormat="1" x14ac:dyDescent="0.25">
      <c r="A3872" s="29"/>
      <c r="B3872" s="15"/>
      <c r="C3872" s="19"/>
      <c r="D3872" s="19"/>
      <c r="E3872" s="19"/>
      <c r="F3872" s="19"/>
      <c r="G3872" s="19"/>
      <c r="H3872" s="82"/>
    </row>
    <row r="3873" spans="1:8" s="28" customFormat="1" x14ac:dyDescent="0.25">
      <c r="A3873" s="29"/>
      <c r="B3873" s="15"/>
      <c r="C3873" s="19"/>
      <c r="D3873" s="19"/>
      <c r="E3873" s="19"/>
      <c r="F3873" s="19"/>
      <c r="G3873" s="19"/>
      <c r="H3873" s="82"/>
    </row>
    <row r="3874" spans="1:8" s="28" customFormat="1" x14ac:dyDescent="0.25">
      <c r="A3874" s="29"/>
      <c r="B3874" s="15"/>
      <c r="C3874" s="19"/>
      <c r="D3874" s="19"/>
      <c r="E3874" s="19"/>
      <c r="F3874" s="19"/>
      <c r="G3874" s="19"/>
      <c r="H3874" s="82"/>
    </row>
    <row r="3875" spans="1:8" s="28" customFormat="1" x14ac:dyDescent="0.25">
      <c r="A3875" s="29"/>
      <c r="B3875" s="15"/>
      <c r="C3875" s="19"/>
      <c r="D3875" s="19"/>
      <c r="E3875" s="19"/>
      <c r="F3875" s="19"/>
      <c r="G3875" s="19"/>
      <c r="H3875" s="82"/>
    </row>
    <row r="3876" spans="1:8" s="28" customFormat="1" x14ac:dyDescent="0.25">
      <c r="A3876" s="29"/>
      <c r="B3876" s="15"/>
      <c r="C3876" s="19"/>
      <c r="D3876" s="19"/>
      <c r="E3876" s="19"/>
      <c r="F3876" s="19"/>
      <c r="G3876" s="19"/>
      <c r="H3876" s="82"/>
    </row>
    <row r="3877" spans="1:8" s="28" customFormat="1" x14ac:dyDescent="0.25">
      <c r="A3877" s="29"/>
      <c r="B3877" s="15"/>
      <c r="C3877" s="19"/>
      <c r="D3877" s="19"/>
      <c r="E3877" s="19"/>
      <c r="F3877" s="19"/>
      <c r="G3877" s="19"/>
      <c r="H3877" s="82"/>
    </row>
    <row r="3878" spans="1:8" s="28" customFormat="1" x14ac:dyDescent="0.25">
      <c r="A3878" s="29"/>
      <c r="B3878" s="15"/>
      <c r="C3878" s="19"/>
      <c r="D3878" s="19"/>
      <c r="E3878" s="19"/>
      <c r="F3878" s="19"/>
      <c r="G3878" s="19"/>
      <c r="H3878" s="82"/>
    </row>
    <row r="3879" spans="1:8" s="28" customFormat="1" x14ac:dyDescent="0.25">
      <c r="A3879" s="29"/>
      <c r="B3879" s="15"/>
      <c r="C3879" s="19"/>
      <c r="D3879" s="19"/>
      <c r="E3879" s="19"/>
      <c r="F3879" s="19"/>
      <c r="G3879" s="19"/>
      <c r="H3879" s="82"/>
    </row>
    <row r="3880" spans="1:8" s="28" customFormat="1" x14ac:dyDescent="0.25">
      <c r="A3880" s="29"/>
      <c r="B3880" s="15"/>
      <c r="C3880" s="19"/>
      <c r="D3880" s="19"/>
      <c r="E3880" s="19"/>
      <c r="F3880" s="19"/>
      <c r="G3880" s="19"/>
      <c r="H3880" s="82"/>
    </row>
    <row r="3881" spans="1:8" s="28" customFormat="1" x14ac:dyDescent="0.25">
      <c r="A3881" s="29"/>
      <c r="B3881" s="15"/>
      <c r="C3881" s="19"/>
      <c r="D3881" s="19"/>
      <c r="E3881" s="19"/>
      <c r="F3881" s="19"/>
      <c r="G3881" s="19"/>
      <c r="H3881" s="82"/>
    </row>
    <row r="3882" spans="1:8" s="28" customFormat="1" x14ac:dyDescent="0.25">
      <c r="A3882" s="29"/>
      <c r="B3882" s="15"/>
      <c r="C3882" s="19"/>
      <c r="D3882" s="19"/>
      <c r="E3882" s="19"/>
      <c r="F3882" s="19"/>
      <c r="G3882" s="19"/>
      <c r="H3882" s="82"/>
    </row>
    <row r="3883" spans="1:8" s="28" customFormat="1" x14ac:dyDescent="0.25">
      <c r="A3883" s="29"/>
      <c r="B3883" s="15"/>
      <c r="C3883" s="19"/>
      <c r="D3883" s="19"/>
      <c r="E3883" s="19"/>
      <c r="F3883" s="19"/>
      <c r="G3883" s="19"/>
      <c r="H3883" s="82"/>
    </row>
    <row r="3884" spans="1:8" s="28" customFormat="1" x14ac:dyDescent="0.25">
      <c r="A3884" s="29"/>
      <c r="B3884" s="15"/>
      <c r="C3884" s="19"/>
      <c r="D3884" s="19"/>
      <c r="E3884" s="19"/>
      <c r="F3884" s="19"/>
      <c r="G3884" s="19"/>
      <c r="H3884" s="82"/>
    </row>
    <row r="3885" spans="1:8" s="28" customFormat="1" x14ac:dyDescent="0.25">
      <c r="A3885" s="29"/>
      <c r="B3885" s="15"/>
      <c r="C3885" s="19"/>
      <c r="D3885" s="19"/>
      <c r="E3885" s="19"/>
      <c r="F3885" s="19"/>
      <c r="G3885" s="19"/>
      <c r="H3885" s="82"/>
    </row>
    <row r="3886" spans="1:8" s="28" customFormat="1" x14ac:dyDescent="0.25">
      <c r="A3886" s="29"/>
      <c r="B3886" s="15"/>
      <c r="C3886" s="19"/>
      <c r="D3886" s="19"/>
      <c r="E3886" s="19"/>
      <c r="F3886" s="19"/>
      <c r="G3886" s="19"/>
      <c r="H3886" s="82"/>
    </row>
    <row r="3887" spans="1:8" s="28" customFormat="1" x14ac:dyDescent="0.25">
      <c r="A3887" s="29"/>
      <c r="B3887" s="15"/>
      <c r="C3887" s="19"/>
      <c r="D3887" s="19"/>
      <c r="E3887" s="19"/>
      <c r="F3887" s="19"/>
      <c r="G3887" s="19"/>
      <c r="H3887" s="82"/>
    </row>
    <row r="3888" spans="1:8" s="28" customFormat="1" x14ac:dyDescent="0.25">
      <c r="A3888" s="29"/>
      <c r="B3888" s="15"/>
      <c r="C3888" s="19"/>
      <c r="D3888" s="19"/>
      <c r="E3888" s="19"/>
      <c r="F3888" s="19"/>
      <c r="G3888" s="19"/>
      <c r="H3888" s="82"/>
    </row>
    <row r="3889" spans="1:8" s="28" customFormat="1" x14ac:dyDescent="0.25">
      <c r="A3889" s="29"/>
      <c r="B3889" s="15"/>
      <c r="C3889" s="19"/>
      <c r="D3889" s="19"/>
      <c r="E3889" s="19"/>
      <c r="F3889" s="19"/>
      <c r="G3889" s="19"/>
      <c r="H3889" s="82"/>
    </row>
    <row r="3890" spans="1:8" s="28" customFormat="1" x14ac:dyDescent="0.25">
      <c r="A3890" s="29"/>
      <c r="B3890" s="15"/>
      <c r="C3890" s="19"/>
      <c r="D3890" s="19"/>
      <c r="E3890" s="19"/>
      <c r="F3890" s="19"/>
      <c r="G3890" s="19"/>
      <c r="H3890" s="82"/>
    </row>
    <row r="3891" spans="1:8" s="28" customFormat="1" x14ac:dyDescent="0.25">
      <c r="A3891" s="29"/>
      <c r="B3891" s="15"/>
      <c r="C3891" s="19"/>
      <c r="D3891" s="19"/>
      <c r="E3891" s="19"/>
      <c r="F3891" s="19"/>
      <c r="G3891" s="19"/>
      <c r="H3891" s="82"/>
    </row>
    <row r="3892" spans="1:8" s="28" customFormat="1" x14ac:dyDescent="0.25">
      <c r="A3892" s="29"/>
      <c r="B3892" s="15"/>
      <c r="C3892" s="19"/>
      <c r="D3892" s="19"/>
      <c r="E3892" s="19"/>
      <c r="F3892" s="19"/>
      <c r="G3892" s="19"/>
      <c r="H3892" s="82"/>
    </row>
    <row r="3893" spans="1:8" s="28" customFormat="1" x14ac:dyDescent="0.25">
      <c r="A3893" s="29"/>
      <c r="B3893" s="15"/>
      <c r="C3893" s="19"/>
      <c r="D3893" s="19"/>
      <c r="E3893" s="19"/>
      <c r="F3893" s="19"/>
      <c r="G3893" s="19"/>
      <c r="H3893" s="82"/>
    </row>
    <row r="3894" spans="1:8" s="28" customFormat="1" x14ac:dyDescent="0.25">
      <c r="A3894" s="29"/>
      <c r="B3894" s="15"/>
      <c r="C3894" s="19"/>
      <c r="D3894" s="19"/>
      <c r="E3894" s="19"/>
      <c r="F3894" s="19"/>
      <c r="G3894" s="19"/>
      <c r="H3894" s="82"/>
    </row>
    <row r="3895" spans="1:8" s="28" customFormat="1" x14ac:dyDescent="0.25">
      <c r="A3895" s="29"/>
      <c r="B3895" s="15"/>
      <c r="C3895" s="19"/>
      <c r="D3895" s="19"/>
      <c r="E3895" s="19"/>
      <c r="F3895" s="19"/>
      <c r="G3895" s="19"/>
      <c r="H3895" s="82"/>
    </row>
    <row r="3896" spans="1:8" s="28" customFormat="1" x14ac:dyDescent="0.25">
      <c r="A3896" s="29"/>
      <c r="B3896" s="15"/>
      <c r="C3896" s="19"/>
      <c r="D3896" s="19"/>
      <c r="E3896" s="19"/>
      <c r="F3896" s="19"/>
      <c r="G3896" s="19"/>
      <c r="H3896" s="82"/>
    </row>
    <row r="3897" spans="1:8" s="28" customFormat="1" x14ac:dyDescent="0.25">
      <c r="A3897" s="29"/>
      <c r="B3897" s="15"/>
      <c r="C3897" s="19"/>
      <c r="D3897" s="19"/>
      <c r="E3897" s="19"/>
      <c r="F3897" s="19"/>
      <c r="G3897" s="19"/>
      <c r="H3897" s="82"/>
    </row>
    <row r="3898" spans="1:8" s="28" customFormat="1" x14ac:dyDescent="0.25">
      <c r="A3898" s="29"/>
      <c r="B3898" s="15"/>
      <c r="C3898" s="19"/>
      <c r="D3898" s="19"/>
      <c r="E3898" s="19"/>
      <c r="F3898" s="19"/>
      <c r="G3898" s="19"/>
      <c r="H3898" s="82"/>
    </row>
    <row r="3899" spans="1:8" s="28" customFormat="1" x14ac:dyDescent="0.25">
      <c r="A3899" s="29"/>
      <c r="B3899" s="15"/>
      <c r="C3899" s="19"/>
      <c r="D3899" s="19"/>
      <c r="E3899" s="19"/>
      <c r="F3899" s="19"/>
      <c r="G3899" s="19"/>
      <c r="H3899" s="82"/>
    </row>
    <row r="3900" spans="1:8" s="28" customFormat="1" x14ac:dyDescent="0.25">
      <c r="A3900" s="29"/>
      <c r="B3900" s="15"/>
      <c r="C3900" s="19"/>
      <c r="D3900" s="19"/>
      <c r="E3900" s="19"/>
      <c r="F3900" s="19"/>
      <c r="G3900" s="19"/>
      <c r="H3900" s="82"/>
    </row>
    <row r="3901" spans="1:8" s="28" customFormat="1" x14ac:dyDescent="0.25">
      <c r="A3901" s="29"/>
      <c r="B3901" s="15"/>
      <c r="C3901" s="19"/>
      <c r="D3901" s="19"/>
      <c r="E3901" s="19"/>
      <c r="F3901" s="19"/>
      <c r="G3901" s="19"/>
      <c r="H3901" s="82"/>
    </row>
    <row r="3902" spans="1:8" s="28" customFormat="1" x14ac:dyDescent="0.25">
      <c r="A3902" s="29"/>
      <c r="B3902" s="15"/>
      <c r="C3902" s="19"/>
      <c r="D3902" s="19"/>
      <c r="E3902" s="19"/>
      <c r="F3902" s="19"/>
      <c r="G3902" s="19"/>
      <c r="H3902" s="82"/>
    </row>
    <row r="3903" spans="1:8" s="28" customFormat="1" x14ac:dyDescent="0.25">
      <c r="A3903" s="29"/>
      <c r="B3903" s="15"/>
      <c r="C3903" s="19"/>
      <c r="D3903" s="19"/>
      <c r="E3903" s="19"/>
      <c r="F3903" s="19"/>
      <c r="G3903" s="19"/>
      <c r="H3903" s="82"/>
    </row>
    <row r="3904" spans="1:8" s="28" customFormat="1" x14ac:dyDescent="0.25">
      <c r="A3904" s="29"/>
      <c r="B3904" s="15"/>
      <c r="C3904" s="19"/>
      <c r="D3904" s="19"/>
      <c r="E3904" s="19"/>
      <c r="F3904" s="19"/>
      <c r="G3904" s="19"/>
      <c r="H3904" s="82"/>
    </row>
    <row r="3905" spans="1:8" s="28" customFormat="1" x14ac:dyDescent="0.25">
      <c r="A3905" s="29"/>
      <c r="B3905" s="15"/>
      <c r="C3905" s="19"/>
      <c r="D3905" s="19"/>
      <c r="E3905" s="19"/>
      <c r="F3905" s="19"/>
      <c r="G3905" s="19"/>
      <c r="H3905" s="82"/>
    </row>
    <row r="3906" spans="1:8" s="28" customFormat="1" x14ac:dyDescent="0.25">
      <c r="A3906" s="29"/>
      <c r="B3906" s="15"/>
      <c r="C3906" s="19"/>
      <c r="D3906" s="19"/>
      <c r="E3906" s="19"/>
      <c r="F3906" s="19"/>
      <c r="G3906" s="19"/>
      <c r="H3906" s="82"/>
    </row>
    <row r="3907" spans="1:8" s="28" customFormat="1" x14ac:dyDescent="0.25">
      <c r="A3907" s="29"/>
      <c r="B3907" s="15"/>
      <c r="C3907" s="19"/>
      <c r="D3907" s="19"/>
      <c r="E3907" s="19"/>
      <c r="F3907" s="19"/>
      <c r="G3907" s="19"/>
      <c r="H3907" s="82"/>
    </row>
    <row r="3908" spans="1:8" s="28" customFormat="1" x14ac:dyDescent="0.25">
      <c r="A3908" s="29"/>
      <c r="B3908" s="15"/>
      <c r="C3908" s="19"/>
      <c r="D3908" s="19"/>
      <c r="E3908" s="19"/>
      <c r="F3908" s="19"/>
      <c r="G3908" s="19"/>
      <c r="H3908" s="82"/>
    </row>
    <row r="3909" spans="1:8" s="28" customFormat="1" x14ac:dyDescent="0.25">
      <c r="A3909" s="29"/>
      <c r="B3909" s="15"/>
      <c r="C3909" s="19"/>
      <c r="D3909" s="19"/>
      <c r="E3909" s="19"/>
      <c r="F3909" s="19"/>
      <c r="G3909" s="19"/>
      <c r="H3909" s="82"/>
    </row>
    <row r="3910" spans="1:8" s="28" customFormat="1" x14ac:dyDescent="0.25">
      <c r="A3910" s="29"/>
      <c r="B3910" s="15"/>
      <c r="C3910" s="19"/>
      <c r="D3910" s="19"/>
      <c r="E3910" s="19"/>
      <c r="F3910" s="19"/>
      <c r="G3910" s="19"/>
      <c r="H3910" s="82"/>
    </row>
    <row r="3911" spans="1:8" s="28" customFormat="1" x14ac:dyDescent="0.25">
      <c r="A3911" s="29"/>
      <c r="B3911" s="15"/>
      <c r="C3911" s="19"/>
      <c r="D3911" s="19"/>
      <c r="E3911" s="19"/>
      <c r="F3911" s="19"/>
      <c r="G3911" s="19"/>
      <c r="H3911" s="82"/>
    </row>
    <row r="3912" spans="1:8" s="28" customFormat="1" x14ac:dyDescent="0.25">
      <c r="A3912" s="29"/>
      <c r="B3912" s="15"/>
      <c r="C3912" s="19"/>
      <c r="D3912" s="19"/>
      <c r="E3912" s="19"/>
      <c r="F3912" s="19"/>
      <c r="G3912" s="19"/>
      <c r="H3912" s="82"/>
    </row>
    <row r="3913" spans="1:8" s="28" customFormat="1" x14ac:dyDescent="0.25">
      <c r="A3913" s="29"/>
      <c r="B3913" s="15"/>
      <c r="C3913" s="19"/>
      <c r="D3913" s="19"/>
      <c r="E3913" s="19"/>
      <c r="F3913" s="19"/>
      <c r="G3913" s="19"/>
      <c r="H3913" s="82"/>
    </row>
    <row r="3914" spans="1:8" s="28" customFormat="1" x14ac:dyDescent="0.25">
      <c r="A3914" s="29"/>
      <c r="B3914" s="15"/>
      <c r="C3914" s="19"/>
      <c r="D3914" s="19"/>
      <c r="E3914" s="19"/>
      <c r="F3914" s="19"/>
      <c r="G3914" s="19"/>
      <c r="H3914" s="82"/>
    </row>
    <row r="3915" spans="1:8" s="28" customFormat="1" x14ac:dyDescent="0.25">
      <c r="A3915" s="29"/>
      <c r="B3915" s="15"/>
      <c r="C3915" s="19"/>
      <c r="D3915" s="19"/>
      <c r="E3915" s="19"/>
      <c r="F3915" s="19"/>
      <c r="G3915" s="19"/>
      <c r="H3915" s="82"/>
    </row>
    <row r="3916" spans="1:8" s="28" customFormat="1" x14ac:dyDescent="0.25">
      <c r="A3916" s="29"/>
      <c r="B3916" s="15"/>
      <c r="C3916" s="19"/>
      <c r="D3916" s="19"/>
      <c r="E3916" s="19"/>
      <c r="F3916" s="19"/>
      <c r="G3916" s="19"/>
      <c r="H3916" s="82"/>
    </row>
    <row r="3917" spans="1:8" s="28" customFormat="1" x14ac:dyDescent="0.25">
      <c r="A3917" s="29"/>
      <c r="B3917" s="15"/>
      <c r="C3917" s="19"/>
      <c r="D3917" s="19"/>
      <c r="E3917" s="19"/>
      <c r="F3917" s="19"/>
      <c r="G3917" s="19"/>
      <c r="H3917" s="82"/>
    </row>
    <row r="3918" spans="1:8" s="28" customFormat="1" x14ac:dyDescent="0.25">
      <c r="A3918" s="29"/>
      <c r="B3918" s="15"/>
      <c r="C3918" s="19"/>
      <c r="D3918" s="19"/>
      <c r="E3918" s="19"/>
      <c r="F3918" s="19"/>
      <c r="G3918" s="19"/>
      <c r="H3918" s="82"/>
    </row>
    <row r="3919" spans="1:8" s="28" customFormat="1" x14ac:dyDescent="0.25">
      <c r="A3919" s="29"/>
      <c r="B3919" s="15"/>
      <c r="C3919" s="19"/>
      <c r="D3919" s="19"/>
      <c r="E3919" s="19"/>
      <c r="F3919" s="19"/>
      <c r="G3919" s="19"/>
      <c r="H3919" s="82"/>
    </row>
    <row r="3920" spans="1:8" s="28" customFormat="1" x14ac:dyDescent="0.25">
      <c r="A3920" s="29"/>
      <c r="B3920" s="15"/>
      <c r="C3920" s="19"/>
      <c r="D3920" s="19"/>
      <c r="E3920" s="19"/>
      <c r="F3920" s="19"/>
      <c r="G3920" s="19"/>
      <c r="H3920" s="82"/>
    </row>
    <row r="3921" spans="1:8" s="28" customFormat="1" x14ac:dyDescent="0.25">
      <c r="A3921" s="29"/>
      <c r="B3921" s="15"/>
      <c r="C3921" s="19"/>
      <c r="D3921" s="19"/>
      <c r="E3921" s="19"/>
      <c r="F3921" s="19"/>
      <c r="G3921" s="19"/>
      <c r="H3921" s="82"/>
    </row>
    <row r="3922" spans="1:8" s="28" customFormat="1" x14ac:dyDescent="0.25">
      <c r="A3922" s="29"/>
      <c r="B3922" s="15"/>
      <c r="C3922" s="19"/>
      <c r="D3922" s="19"/>
      <c r="E3922" s="19"/>
      <c r="F3922" s="19"/>
      <c r="G3922" s="19"/>
      <c r="H3922" s="82"/>
    </row>
    <row r="3923" spans="1:8" s="28" customFormat="1" x14ac:dyDescent="0.25">
      <c r="A3923" s="29"/>
      <c r="B3923" s="15"/>
      <c r="C3923" s="19"/>
      <c r="D3923" s="19"/>
      <c r="E3923" s="19"/>
      <c r="F3923" s="19"/>
      <c r="G3923" s="19"/>
      <c r="H3923" s="82"/>
    </row>
    <row r="3924" spans="1:8" s="28" customFormat="1" x14ac:dyDescent="0.25">
      <c r="A3924" s="29"/>
      <c r="B3924" s="15"/>
      <c r="C3924" s="19"/>
      <c r="D3924" s="19"/>
      <c r="E3924" s="19"/>
      <c r="F3924" s="19"/>
      <c r="G3924" s="19"/>
      <c r="H3924" s="82"/>
    </row>
    <row r="3925" spans="1:8" s="28" customFormat="1" x14ac:dyDescent="0.25">
      <c r="A3925" s="29"/>
      <c r="B3925" s="15"/>
      <c r="C3925" s="19"/>
      <c r="D3925" s="19"/>
      <c r="E3925" s="19"/>
      <c r="F3925" s="19"/>
      <c r="G3925" s="19"/>
      <c r="H3925" s="82"/>
    </row>
    <row r="3926" spans="1:8" s="28" customFormat="1" x14ac:dyDescent="0.25">
      <c r="A3926" s="29"/>
      <c r="B3926" s="15"/>
      <c r="C3926" s="19"/>
      <c r="D3926" s="19"/>
      <c r="E3926" s="19"/>
      <c r="F3926" s="19"/>
      <c r="G3926" s="19"/>
      <c r="H3926" s="82"/>
    </row>
    <row r="3927" spans="1:8" s="28" customFormat="1" x14ac:dyDescent="0.25">
      <c r="A3927" s="29"/>
      <c r="B3927" s="15"/>
      <c r="C3927" s="19"/>
      <c r="D3927" s="19"/>
      <c r="E3927" s="19"/>
      <c r="F3927" s="19"/>
      <c r="G3927" s="19"/>
      <c r="H3927" s="82"/>
    </row>
    <row r="3928" spans="1:8" s="28" customFormat="1" x14ac:dyDescent="0.25">
      <c r="A3928" s="29"/>
      <c r="B3928" s="15"/>
      <c r="C3928" s="19"/>
      <c r="D3928" s="19"/>
      <c r="E3928" s="19"/>
      <c r="F3928" s="19"/>
      <c r="G3928" s="19"/>
      <c r="H3928" s="82"/>
    </row>
    <row r="3929" spans="1:8" s="28" customFormat="1" x14ac:dyDescent="0.25">
      <c r="A3929" s="29"/>
      <c r="B3929" s="15"/>
      <c r="C3929" s="19"/>
      <c r="D3929" s="19"/>
      <c r="E3929" s="19"/>
      <c r="F3929" s="19"/>
      <c r="G3929" s="19"/>
      <c r="H3929" s="82"/>
    </row>
    <row r="3930" spans="1:8" s="28" customFormat="1" x14ac:dyDescent="0.25">
      <c r="A3930" s="29"/>
      <c r="B3930" s="15"/>
      <c r="C3930" s="19"/>
      <c r="D3930" s="19"/>
      <c r="E3930" s="19"/>
      <c r="F3930" s="19"/>
      <c r="G3930" s="19"/>
      <c r="H3930" s="82"/>
    </row>
    <row r="3931" spans="1:8" s="28" customFormat="1" x14ac:dyDescent="0.25">
      <c r="A3931" s="29"/>
      <c r="B3931" s="15"/>
      <c r="C3931" s="19"/>
      <c r="D3931" s="19"/>
      <c r="E3931" s="19"/>
      <c r="F3931" s="19"/>
      <c r="G3931" s="19"/>
      <c r="H3931" s="82"/>
    </row>
    <row r="3932" spans="1:8" s="28" customFormat="1" x14ac:dyDescent="0.25">
      <c r="A3932" s="29"/>
      <c r="B3932" s="15"/>
      <c r="C3932" s="19"/>
      <c r="D3932" s="19"/>
      <c r="E3932" s="19"/>
      <c r="F3932" s="19"/>
      <c r="G3932" s="19"/>
      <c r="H3932" s="82"/>
    </row>
    <row r="3933" spans="1:8" s="28" customFormat="1" x14ac:dyDescent="0.25">
      <c r="A3933" s="29"/>
      <c r="B3933" s="15"/>
      <c r="C3933" s="19"/>
      <c r="D3933" s="19"/>
      <c r="E3933" s="19"/>
      <c r="F3933" s="19"/>
      <c r="G3933" s="19"/>
      <c r="H3933" s="82"/>
    </row>
    <row r="3934" spans="1:8" s="28" customFormat="1" x14ac:dyDescent="0.25">
      <c r="A3934" s="29"/>
      <c r="B3934" s="15"/>
      <c r="C3934" s="19"/>
      <c r="D3934" s="19"/>
      <c r="E3934" s="19"/>
      <c r="F3934" s="19"/>
      <c r="G3934" s="19"/>
      <c r="H3934" s="82"/>
    </row>
    <row r="3935" spans="1:8" s="28" customFormat="1" x14ac:dyDescent="0.25">
      <c r="A3935" s="29"/>
      <c r="B3935" s="15"/>
      <c r="C3935" s="19"/>
      <c r="D3935" s="19"/>
      <c r="E3935" s="19"/>
      <c r="F3935" s="19"/>
      <c r="G3935" s="19"/>
      <c r="H3935" s="82"/>
    </row>
    <row r="3936" spans="1:8" s="28" customFormat="1" x14ac:dyDescent="0.25">
      <c r="A3936" s="29"/>
      <c r="B3936" s="15"/>
      <c r="C3936" s="19"/>
      <c r="D3936" s="19"/>
      <c r="E3936" s="19"/>
      <c r="F3936" s="19"/>
      <c r="G3936" s="19"/>
      <c r="H3936" s="82"/>
    </row>
    <row r="3937" spans="1:8" s="28" customFormat="1" x14ac:dyDescent="0.25">
      <c r="A3937" s="29"/>
      <c r="B3937" s="15"/>
      <c r="C3937" s="19"/>
      <c r="D3937" s="19"/>
      <c r="E3937" s="19"/>
      <c r="F3937" s="19"/>
      <c r="G3937" s="19"/>
      <c r="H3937" s="82"/>
    </row>
    <row r="3938" spans="1:8" s="28" customFormat="1" x14ac:dyDescent="0.25">
      <c r="A3938" s="29"/>
      <c r="B3938" s="15"/>
      <c r="C3938" s="19"/>
      <c r="D3938" s="19"/>
      <c r="E3938" s="19"/>
      <c r="F3938" s="19"/>
      <c r="G3938" s="19"/>
      <c r="H3938" s="82"/>
    </row>
    <row r="3939" spans="1:8" s="28" customFormat="1" x14ac:dyDescent="0.25">
      <c r="A3939" s="29"/>
      <c r="B3939" s="15"/>
      <c r="C3939" s="19"/>
      <c r="D3939" s="19"/>
      <c r="E3939" s="19"/>
      <c r="F3939" s="19"/>
      <c r="G3939" s="19"/>
      <c r="H3939" s="82"/>
    </row>
    <row r="3940" spans="1:8" s="28" customFormat="1" x14ac:dyDescent="0.25">
      <c r="A3940" s="29"/>
      <c r="B3940" s="15"/>
      <c r="C3940" s="19"/>
      <c r="D3940" s="19"/>
      <c r="E3940" s="19"/>
      <c r="F3940" s="19"/>
      <c r="G3940" s="19"/>
      <c r="H3940" s="82"/>
    </row>
    <row r="3941" spans="1:8" s="28" customFormat="1" x14ac:dyDescent="0.25">
      <c r="A3941" s="29"/>
      <c r="B3941" s="15"/>
      <c r="C3941" s="19"/>
      <c r="D3941" s="19"/>
      <c r="E3941" s="19"/>
      <c r="F3941" s="19"/>
      <c r="G3941" s="19"/>
      <c r="H3941" s="82"/>
    </row>
    <row r="3942" spans="1:8" s="28" customFormat="1" x14ac:dyDescent="0.25">
      <c r="A3942" s="29"/>
      <c r="B3942" s="15"/>
      <c r="C3942" s="19"/>
      <c r="D3942" s="19"/>
      <c r="E3942" s="19"/>
      <c r="F3942" s="19"/>
      <c r="G3942" s="19"/>
      <c r="H3942" s="82"/>
    </row>
    <row r="3943" spans="1:8" s="28" customFormat="1" x14ac:dyDescent="0.25">
      <c r="A3943" s="29"/>
      <c r="B3943" s="15"/>
      <c r="C3943" s="19"/>
      <c r="D3943" s="19"/>
      <c r="E3943" s="19"/>
      <c r="F3943" s="19"/>
      <c r="G3943" s="19"/>
      <c r="H3943" s="82"/>
    </row>
    <row r="3944" spans="1:8" s="28" customFormat="1" x14ac:dyDescent="0.25">
      <c r="A3944" s="29"/>
      <c r="B3944" s="15"/>
      <c r="C3944" s="19"/>
      <c r="D3944" s="19"/>
      <c r="E3944" s="19"/>
      <c r="F3944" s="19"/>
      <c r="G3944" s="19"/>
      <c r="H3944" s="82"/>
    </row>
    <row r="3945" spans="1:8" s="28" customFormat="1" x14ac:dyDescent="0.25">
      <c r="A3945" s="29"/>
      <c r="B3945" s="15"/>
      <c r="C3945" s="19"/>
      <c r="D3945" s="19"/>
      <c r="E3945" s="19"/>
      <c r="F3945" s="19"/>
      <c r="G3945" s="19"/>
      <c r="H3945" s="82"/>
    </row>
    <row r="3946" spans="1:8" s="28" customFormat="1" x14ac:dyDescent="0.25">
      <c r="A3946" s="29"/>
      <c r="B3946" s="15"/>
      <c r="C3946" s="19"/>
      <c r="D3946" s="19"/>
      <c r="E3946" s="19"/>
      <c r="F3946" s="19"/>
      <c r="G3946" s="19"/>
      <c r="H3946" s="82"/>
    </row>
    <row r="3947" spans="1:8" s="28" customFormat="1" x14ac:dyDescent="0.25">
      <c r="A3947" s="29"/>
      <c r="B3947" s="15"/>
      <c r="C3947" s="19"/>
      <c r="D3947" s="19"/>
      <c r="E3947" s="19"/>
      <c r="F3947" s="19"/>
      <c r="G3947" s="19"/>
      <c r="H3947" s="82"/>
    </row>
    <row r="3948" spans="1:8" s="28" customFormat="1" x14ac:dyDescent="0.25">
      <c r="A3948" s="29"/>
      <c r="B3948" s="15"/>
      <c r="C3948" s="19"/>
      <c r="D3948" s="19"/>
      <c r="E3948" s="19"/>
      <c r="F3948" s="19"/>
      <c r="G3948" s="19"/>
      <c r="H3948" s="82"/>
    </row>
    <row r="3949" spans="1:8" s="28" customFormat="1" x14ac:dyDescent="0.25">
      <c r="A3949" s="29"/>
      <c r="B3949" s="15"/>
      <c r="C3949" s="19"/>
      <c r="D3949" s="19"/>
      <c r="E3949" s="19"/>
      <c r="F3949" s="19"/>
      <c r="G3949" s="19"/>
      <c r="H3949" s="82"/>
    </row>
    <row r="3950" spans="1:8" s="28" customFormat="1" x14ac:dyDescent="0.25">
      <c r="A3950" s="29"/>
      <c r="B3950" s="15"/>
      <c r="C3950" s="19"/>
      <c r="D3950" s="19"/>
      <c r="E3950" s="19"/>
      <c r="F3950" s="19"/>
      <c r="G3950" s="19"/>
      <c r="H3950" s="82"/>
    </row>
    <row r="3951" spans="1:8" s="28" customFormat="1" x14ac:dyDescent="0.25">
      <c r="A3951" s="29"/>
      <c r="B3951" s="15"/>
      <c r="C3951" s="19"/>
      <c r="D3951" s="19"/>
      <c r="E3951" s="19"/>
      <c r="F3951" s="19"/>
      <c r="G3951" s="19"/>
      <c r="H3951" s="82"/>
    </row>
    <row r="3952" spans="1:8" s="28" customFormat="1" x14ac:dyDescent="0.25">
      <c r="A3952" s="29"/>
      <c r="B3952" s="15"/>
      <c r="C3952" s="19"/>
      <c r="D3952" s="19"/>
      <c r="E3952" s="19"/>
      <c r="F3952" s="19"/>
      <c r="G3952" s="19"/>
      <c r="H3952" s="82"/>
    </row>
    <row r="3953" spans="1:8" s="28" customFormat="1" x14ac:dyDescent="0.25">
      <c r="A3953" s="29"/>
      <c r="B3953" s="15"/>
      <c r="C3953" s="19"/>
      <c r="D3953" s="19"/>
      <c r="E3953" s="19"/>
      <c r="F3953" s="19"/>
      <c r="G3953" s="19"/>
      <c r="H3953" s="82"/>
    </row>
    <row r="3954" spans="1:8" s="28" customFormat="1" x14ac:dyDescent="0.25">
      <c r="A3954" s="29"/>
      <c r="B3954" s="15"/>
      <c r="C3954" s="19"/>
      <c r="D3954" s="19"/>
      <c r="E3954" s="19"/>
      <c r="F3954" s="19"/>
      <c r="G3954" s="19"/>
      <c r="H3954" s="82"/>
    </row>
    <row r="3955" spans="1:8" s="28" customFormat="1" x14ac:dyDescent="0.25">
      <c r="A3955" s="29"/>
      <c r="B3955" s="15"/>
      <c r="C3955" s="19"/>
      <c r="D3955" s="19"/>
      <c r="E3955" s="19"/>
      <c r="F3955" s="19"/>
      <c r="G3955" s="19"/>
      <c r="H3955" s="82"/>
    </row>
    <row r="3956" spans="1:8" s="28" customFormat="1" x14ac:dyDescent="0.25">
      <c r="A3956" s="29"/>
      <c r="B3956" s="15"/>
      <c r="C3956" s="19"/>
      <c r="D3956" s="19"/>
      <c r="E3956" s="19"/>
      <c r="F3956" s="19"/>
      <c r="G3956" s="19"/>
      <c r="H3956" s="82"/>
    </row>
    <row r="3957" spans="1:8" s="28" customFormat="1" x14ac:dyDescent="0.25">
      <c r="A3957" s="29"/>
      <c r="B3957" s="15"/>
      <c r="C3957" s="19"/>
      <c r="D3957" s="19"/>
      <c r="E3957" s="19"/>
      <c r="F3957" s="19"/>
      <c r="G3957" s="19"/>
      <c r="H3957" s="82"/>
    </row>
    <row r="3958" spans="1:8" s="28" customFormat="1" x14ac:dyDescent="0.25">
      <c r="A3958" s="29"/>
      <c r="B3958" s="15"/>
      <c r="C3958" s="19"/>
      <c r="D3958" s="19"/>
      <c r="E3958" s="19"/>
      <c r="F3958" s="19"/>
      <c r="G3958" s="19"/>
      <c r="H3958" s="82"/>
    </row>
    <row r="3959" spans="1:8" s="28" customFormat="1" x14ac:dyDescent="0.25">
      <c r="A3959" s="29"/>
      <c r="B3959" s="15"/>
      <c r="C3959" s="19"/>
      <c r="D3959" s="19"/>
      <c r="E3959" s="19"/>
      <c r="F3959" s="19"/>
      <c r="G3959" s="19"/>
      <c r="H3959" s="82"/>
    </row>
    <row r="3960" spans="1:8" s="28" customFormat="1" x14ac:dyDescent="0.25">
      <c r="A3960" s="29"/>
      <c r="B3960" s="15"/>
      <c r="C3960" s="19"/>
      <c r="D3960" s="19"/>
      <c r="E3960" s="19"/>
      <c r="F3960" s="19"/>
      <c r="G3960" s="19"/>
      <c r="H3960" s="82"/>
    </row>
    <row r="3961" spans="1:8" s="28" customFormat="1" x14ac:dyDescent="0.25">
      <c r="A3961" s="29"/>
      <c r="B3961" s="15"/>
      <c r="C3961" s="19"/>
      <c r="D3961" s="19"/>
      <c r="E3961" s="19"/>
      <c r="F3961" s="19"/>
      <c r="G3961" s="19"/>
      <c r="H3961" s="82"/>
    </row>
    <row r="3962" spans="1:8" s="28" customFormat="1" x14ac:dyDescent="0.25">
      <c r="A3962" s="29"/>
      <c r="B3962" s="15"/>
      <c r="C3962" s="19"/>
      <c r="D3962" s="19"/>
      <c r="E3962" s="19"/>
      <c r="F3962" s="19"/>
      <c r="G3962" s="19"/>
      <c r="H3962" s="82"/>
    </row>
    <row r="3963" spans="1:8" s="28" customFormat="1" x14ac:dyDescent="0.25">
      <c r="A3963" s="29"/>
      <c r="B3963" s="15"/>
      <c r="C3963" s="19"/>
      <c r="D3963" s="19"/>
      <c r="E3963" s="19"/>
      <c r="F3963" s="19"/>
      <c r="G3963" s="19"/>
      <c r="H3963" s="82"/>
    </row>
    <row r="3964" spans="1:8" s="28" customFormat="1" x14ac:dyDescent="0.25">
      <c r="A3964" s="29"/>
      <c r="B3964" s="15"/>
      <c r="C3964" s="19"/>
      <c r="D3964" s="19"/>
      <c r="E3964" s="19"/>
      <c r="F3964" s="19"/>
      <c r="G3964" s="19"/>
      <c r="H3964" s="82"/>
    </row>
    <row r="3965" spans="1:8" s="28" customFormat="1" x14ac:dyDescent="0.25">
      <c r="A3965" s="29"/>
      <c r="B3965" s="15"/>
      <c r="C3965" s="19"/>
      <c r="D3965" s="19"/>
      <c r="E3965" s="19"/>
      <c r="F3965" s="19"/>
      <c r="G3965" s="19"/>
      <c r="H3965" s="82"/>
    </row>
    <row r="3966" spans="1:8" s="28" customFormat="1" x14ac:dyDescent="0.25">
      <c r="A3966" s="29"/>
      <c r="B3966" s="15"/>
      <c r="C3966" s="19"/>
      <c r="D3966" s="19"/>
      <c r="E3966" s="19"/>
      <c r="F3966" s="19"/>
      <c r="G3966" s="19"/>
      <c r="H3966" s="82"/>
    </row>
    <row r="3967" spans="1:8" s="28" customFormat="1" x14ac:dyDescent="0.25">
      <c r="A3967" s="29"/>
      <c r="B3967" s="15"/>
      <c r="C3967" s="19"/>
      <c r="D3967" s="19"/>
      <c r="E3967" s="19"/>
      <c r="F3967" s="19"/>
      <c r="G3967" s="19"/>
      <c r="H3967" s="82"/>
    </row>
    <row r="3968" spans="1:8" s="28" customFormat="1" x14ac:dyDescent="0.25">
      <c r="A3968" s="29"/>
      <c r="B3968" s="15"/>
      <c r="C3968" s="19"/>
      <c r="D3968" s="19"/>
      <c r="E3968" s="19"/>
      <c r="F3968" s="19"/>
      <c r="G3968" s="19"/>
      <c r="H3968" s="82"/>
    </row>
    <row r="3969" spans="1:8" s="28" customFormat="1" x14ac:dyDescent="0.25">
      <c r="A3969" s="29"/>
      <c r="B3969" s="15"/>
      <c r="C3969" s="19"/>
      <c r="D3969" s="19"/>
      <c r="E3969" s="19"/>
      <c r="F3969" s="19"/>
      <c r="G3969" s="19"/>
      <c r="H3969" s="82"/>
    </row>
    <row r="3970" spans="1:8" s="28" customFormat="1" x14ac:dyDescent="0.25">
      <c r="A3970" s="29"/>
      <c r="B3970" s="15"/>
      <c r="C3970" s="19"/>
      <c r="D3970" s="19"/>
      <c r="E3970" s="19"/>
      <c r="F3970" s="19"/>
      <c r="G3970" s="19"/>
      <c r="H3970" s="82"/>
    </row>
    <row r="3971" spans="1:8" s="28" customFormat="1" x14ac:dyDescent="0.25">
      <c r="A3971" s="29"/>
      <c r="B3971" s="15"/>
      <c r="C3971" s="19"/>
      <c r="D3971" s="19"/>
      <c r="E3971" s="19"/>
      <c r="F3971" s="19"/>
      <c r="G3971" s="19"/>
      <c r="H3971" s="82"/>
    </row>
    <row r="3972" spans="1:8" s="28" customFormat="1" x14ac:dyDescent="0.25">
      <c r="A3972" s="29"/>
      <c r="B3972" s="15"/>
      <c r="C3972" s="19"/>
      <c r="D3972" s="19"/>
      <c r="E3972" s="19"/>
      <c r="F3972" s="19"/>
      <c r="G3972" s="19"/>
      <c r="H3972" s="82"/>
    </row>
    <row r="3973" spans="1:8" s="28" customFormat="1" x14ac:dyDescent="0.25">
      <c r="A3973" s="29"/>
      <c r="B3973" s="15"/>
      <c r="C3973" s="19"/>
      <c r="D3973" s="19"/>
      <c r="E3973" s="19"/>
      <c r="F3973" s="19"/>
      <c r="G3973" s="19"/>
      <c r="H3973" s="82"/>
    </row>
    <row r="3974" spans="1:8" s="28" customFormat="1" x14ac:dyDescent="0.25">
      <c r="A3974" s="29"/>
      <c r="B3974" s="15"/>
      <c r="C3974" s="19"/>
      <c r="D3974" s="19"/>
      <c r="E3974" s="19"/>
      <c r="F3974" s="19"/>
      <c r="G3974" s="19"/>
      <c r="H3974" s="82"/>
    </row>
    <row r="3975" spans="1:8" s="28" customFormat="1" x14ac:dyDescent="0.25">
      <c r="A3975" s="29"/>
      <c r="B3975" s="15"/>
      <c r="C3975" s="19"/>
      <c r="D3975" s="19"/>
      <c r="E3975" s="19"/>
      <c r="F3975" s="19"/>
      <c r="G3975" s="19"/>
      <c r="H3975" s="82"/>
    </row>
    <row r="3976" spans="1:8" s="28" customFormat="1" x14ac:dyDescent="0.25">
      <c r="A3976" s="29"/>
      <c r="B3976" s="15"/>
      <c r="C3976" s="19"/>
      <c r="D3976" s="19"/>
      <c r="E3976" s="19"/>
      <c r="F3976" s="19"/>
      <c r="G3976" s="19"/>
      <c r="H3976" s="82"/>
    </row>
    <row r="3977" spans="1:8" s="28" customFormat="1" x14ac:dyDescent="0.25">
      <c r="A3977" s="29"/>
      <c r="B3977" s="15"/>
      <c r="C3977" s="19"/>
      <c r="D3977" s="19"/>
      <c r="E3977" s="19"/>
      <c r="F3977" s="19"/>
      <c r="G3977" s="19"/>
      <c r="H3977" s="82"/>
    </row>
    <row r="3978" spans="1:8" s="28" customFormat="1" x14ac:dyDescent="0.25">
      <c r="A3978" s="29"/>
      <c r="B3978" s="15"/>
      <c r="C3978" s="19"/>
      <c r="D3978" s="19"/>
      <c r="E3978" s="19"/>
      <c r="F3978" s="19"/>
      <c r="G3978" s="19"/>
      <c r="H3978" s="82"/>
    </row>
    <row r="3979" spans="1:8" s="28" customFormat="1" x14ac:dyDescent="0.25">
      <c r="A3979" s="29"/>
      <c r="B3979" s="15"/>
      <c r="C3979" s="19"/>
      <c r="D3979" s="19"/>
      <c r="E3979" s="19"/>
      <c r="F3979" s="19"/>
      <c r="G3979" s="19"/>
      <c r="H3979" s="82"/>
    </row>
    <row r="3980" spans="1:8" s="28" customFormat="1" x14ac:dyDescent="0.25">
      <c r="A3980" s="29"/>
      <c r="B3980" s="15"/>
      <c r="C3980" s="19"/>
      <c r="D3980" s="19"/>
      <c r="E3980" s="19"/>
      <c r="F3980" s="19"/>
      <c r="G3980" s="19"/>
      <c r="H3980" s="82"/>
    </row>
    <row r="3981" spans="1:8" s="28" customFormat="1" x14ac:dyDescent="0.25">
      <c r="A3981" s="29"/>
      <c r="B3981" s="15"/>
      <c r="C3981" s="19"/>
      <c r="D3981" s="19"/>
      <c r="E3981" s="19"/>
      <c r="F3981" s="19"/>
      <c r="G3981" s="19"/>
      <c r="H3981" s="82"/>
    </row>
    <row r="3982" spans="1:8" s="28" customFormat="1" x14ac:dyDescent="0.25">
      <c r="A3982" s="29"/>
      <c r="B3982" s="15"/>
      <c r="C3982" s="19"/>
      <c r="D3982" s="19"/>
      <c r="E3982" s="19"/>
      <c r="F3982" s="19"/>
      <c r="G3982" s="19"/>
      <c r="H3982" s="82"/>
    </row>
    <row r="3983" spans="1:8" s="28" customFormat="1" x14ac:dyDescent="0.25">
      <c r="A3983" s="29"/>
      <c r="B3983" s="15"/>
      <c r="C3983" s="19"/>
      <c r="D3983" s="19"/>
      <c r="E3983" s="19"/>
      <c r="F3983" s="19"/>
      <c r="G3983" s="19"/>
      <c r="H3983" s="82"/>
    </row>
    <row r="3984" spans="1:8" s="28" customFormat="1" x14ac:dyDescent="0.25">
      <c r="A3984" s="29"/>
      <c r="B3984" s="15"/>
      <c r="C3984" s="19"/>
      <c r="D3984" s="19"/>
      <c r="E3984" s="19"/>
      <c r="F3984" s="19"/>
      <c r="G3984" s="19"/>
      <c r="H3984" s="82"/>
    </row>
    <row r="3985" spans="1:8" s="28" customFormat="1" x14ac:dyDescent="0.25">
      <c r="A3985" s="29"/>
      <c r="B3985" s="15"/>
      <c r="C3985" s="19"/>
      <c r="D3985" s="19"/>
      <c r="E3985" s="19"/>
      <c r="F3985" s="19"/>
      <c r="G3985" s="19"/>
      <c r="H3985" s="82"/>
    </row>
    <row r="3986" spans="1:8" s="28" customFormat="1" x14ac:dyDescent="0.25">
      <c r="A3986" s="29"/>
      <c r="B3986" s="15"/>
      <c r="C3986" s="19"/>
      <c r="D3986" s="19"/>
      <c r="E3986" s="19"/>
      <c r="F3986" s="19"/>
      <c r="G3986" s="19"/>
      <c r="H3986" s="82"/>
    </row>
    <row r="3987" spans="1:8" s="28" customFormat="1" x14ac:dyDescent="0.25">
      <c r="A3987" s="29"/>
      <c r="B3987" s="15"/>
      <c r="C3987" s="19"/>
      <c r="D3987" s="19"/>
      <c r="E3987" s="19"/>
      <c r="F3987" s="19"/>
      <c r="G3987" s="19"/>
      <c r="H3987" s="82"/>
    </row>
    <row r="3988" spans="1:8" s="28" customFormat="1" x14ac:dyDescent="0.25">
      <c r="A3988" s="29"/>
      <c r="B3988" s="15"/>
      <c r="C3988" s="19"/>
      <c r="D3988" s="19"/>
      <c r="E3988" s="19"/>
      <c r="F3988" s="19"/>
      <c r="G3988" s="19"/>
      <c r="H3988" s="82"/>
    </row>
    <row r="3989" spans="1:8" s="28" customFormat="1" x14ac:dyDescent="0.25">
      <c r="A3989" s="29"/>
      <c r="B3989" s="15"/>
      <c r="C3989" s="19"/>
      <c r="D3989" s="19"/>
      <c r="E3989" s="19"/>
      <c r="F3989" s="19"/>
      <c r="G3989" s="19"/>
      <c r="H3989" s="82"/>
    </row>
    <row r="3990" spans="1:8" s="28" customFormat="1" x14ac:dyDescent="0.25">
      <c r="A3990" s="29"/>
      <c r="B3990" s="15"/>
      <c r="C3990" s="19"/>
      <c r="D3990" s="19"/>
      <c r="E3990" s="19"/>
      <c r="F3990" s="19"/>
      <c r="G3990" s="19"/>
      <c r="H3990" s="82"/>
    </row>
    <row r="3991" spans="1:8" s="28" customFormat="1" x14ac:dyDescent="0.25">
      <c r="A3991" s="29"/>
      <c r="B3991" s="15"/>
      <c r="C3991" s="19"/>
      <c r="D3991" s="19"/>
      <c r="E3991" s="19"/>
      <c r="F3991" s="19"/>
      <c r="G3991" s="19"/>
      <c r="H3991" s="82"/>
    </row>
    <row r="3992" spans="1:8" s="28" customFormat="1" x14ac:dyDescent="0.25">
      <c r="A3992" s="29"/>
      <c r="B3992" s="15"/>
      <c r="C3992" s="19"/>
      <c r="D3992" s="19"/>
      <c r="E3992" s="19"/>
      <c r="F3992" s="19"/>
      <c r="G3992" s="19"/>
      <c r="H3992" s="82"/>
    </row>
    <row r="3993" spans="1:8" s="28" customFormat="1" x14ac:dyDescent="0.25">
      <c r="A3993" s="29"/>
      <c r="B3993" s="15"/>
      <c r="C3993" s="19"/>
      <c r="D3993" s="19"/>
      <c r="E3993" s="19"/>
      <c r="F3993" s="19"/>
      <c r="G3993" s="19"/>
      <c r="H3993" s="82"/>
    </row>
    <row r="3994" spans="1:8" s="28" customFormat="1" x14ac:dyDescent="0.25">
      <c r="A3994" s="29"/>
      <c r="B3994" s="15"/>
      <c r="C3994" s="19"/>
      <c r="D3994" s="19"/>
      <c r="E3994" s="19"/>
      <c r="F3994" s="19"/>
      <c r="G3994" s="19"/>
      <c r="H3994" s="82"/>
    </row>
    <row r="3995" spans="1:8" s="28" customFormat="1" x14ac:dyDescent="0.25">
      <c r="A3995" s="29"/>
      <c r="B3995" s="15"/>
      <c r="C3995" s="19"/>
      <c r="D3995" s="19"/>
      <c r="E3995" s="19"/>
      <c r="F3995" s="19"/>
      <c r="G3995" s="19"/>
      <c r="H3995" s="82"/>
    </row>
    <row r="3996" spans="1:8" s="28" customFormat="1" x14ac:dyDescent="0.25">
      <c r="A3996" s="29"/>
      <c r="B3996" s="15"/>
      <c r="C3996" s="19"/>
      <c r="D3996" s="19"/>
      <c r="E3996" s="19"/>
      <c r="F3996" s="19"/>
      <c r="G3996" s="19"/>
      <c r="H3996" s="82"/>
    </row>
    <row r="3997" spans="1:8" s="28" customFormat="1" x14ac:dyDescent="0.25">
      <c r="A3997" s="29"/>
      <c r="B3997" s="15"/>
      <c r="C3997" s="19"/>
      <c r="D3997" s="19"/>
      <c r="E3997" s="19"/>
      <c r="F3997" s="19"/>
      <c r="G3997" s="19"/>
      <c r="H3997" s="82"/>
    </row>
    <row r="3998" spans="1:8" s="28" customFormat="1" x14ac:dyDescent="0.25">
      <c r="A3998" s="29"/>
      <c r="B3998" s="15"/>
      <c r="C3998" s="19"/>
      <c r="D3998" s="19"/>
      <c r="E3998" s="19"/>
      <c r="F3998" s="19"/>
      <c r="G3998" s="19"/>
      <c r="H3998" s="82"/>
    </row>
    <row r="3999" spans="1:8" s="28" customFormat="1" x14ac:dyDescent="0.25">
      <c r="A3999" s="29"/>
      <c r="B3999" s="15"/>
      <c r="C3999" s="19"/>
      <c r="D3999" s="19"/>
      <c r="E3999" s="19"/>
      <c r="F3999" s="19"/>
      <c r="G3999" s="19"/>
      <c r="H3999" s="82"/>
    </row>
    <row r="4000" spans="1:8" s="28" customFormat="1" x14ac:dyDescent="0.25">
      <c r="A4000" s="29"/>
      <c r="B4000" s="15"/>
      <c r="C4000" s="19"/>
      <c r="D4000" s="19"/>
      <c r="E4000" s="19"/>
      <c r="F4000" s="19"/>
      <c r="G4000" s="19"/>
      <c r="H4000" s="82"/>
    </row>
    <row r="4001" spans="1:8" s="28" customFormat="1" x14ac:dyDescent="0.25">
      <c r="A4001" s="29"/>
      <c r="B4001" s="15"/>
      <c r="C4001" s="19"/>
      <c r="D4001" s="19"/>
      <c r="E4001" s="19"/>
      <c r="F4001" s="19"/>
      <c r="G4001" s="19"/>
      <c r="H4001" s="82"/>
    </row>
    <row r="4002" spans="1:8" s="28" customFormat="1" x14ac:dyDescent="0.25">
      <c r="A4002" s="29"/>
      <c r="B4002" s="15"/>
      <c r="C4002" s="19"/>
      <c r="D4002" s="19"/>
      <c r="E4002" s="19"/>
      <c r="F4002" s="19"/>
      <c r="G4002" s="19"/>
      <c r="H4002" s="82"/>
    </row>
    <row r="4003" spans="1:8" s="28" customFormat="1" x14ac:dyDescent="0.25">
      <c r="A4003" s="29"/>
      <c r="B4003" s="15"/>
      <c r="C4003" s="19"/>
      <c r="D4003" s="19"/>
      <c r="E4003" s="19"/>
      <c r="F4003" s="19"/>
      <c r="G4003" s="19"/>
      <c r="H4003" s="82"/>
    </row>
    <row r="4004" spans="1:8" s="28" customFormat="1" x14ac:dyDescent="0.25">
      <c r="A4004" s="29"/>
      <c r="B4004" s="15"/>
      <c r="C4004" s="19"/>
      <c r="D4004" s="19"/>
      <c r="E4004" s="19"/>
      <c r="F4004" s="19"/>
      <c r="G4004" s="19"/>
      <c r="H4004" s="82"/>
    </row>
    <row r="4005" spans="1:8" s="28" customFormat="1" x14ac:dyDescent="0.25">
      <c r="A4005" s="29"/>
      <c r="B4005" s="15"/>
      <c r="C4005" s="19"/>
      <c r="D4005" s="19"/>
      <c r="E4005" s="19"/>
      <c r="F4005" s="19"/>
      <c r="G4005" s="19"/>
      <c r="H4005" s="82"/>
    </row>
    <row r="4006" spans="1:8" s="28" customFormat="1" x14ac:dyDescent="0.25">
      <c r="A4006" s="29"/>
      <c r="B4006" s="15"/>
      <c r="C4006" s="19"/>
      <c r="D4006" s="19"/>
      <c r="E4006" s="19"/>
      <c r="F4006" s="19"/>
      <c r="G4006" s="19"/>
      <c r="H4006" s="82"/>
    </row>
    <row r="4007" spans="1:8" s="28" customFormat="1" x14ac:dyDescent="0.25">
      <c r="A4007" s="29"/>
      <c r="B4007" s="15"/>
      <c r="C4007" s="19"/>
      <c r="D4007" s="19"/>
      <c r="E4007" s="19"/>
      <c r="F4007" s="19"/>
      <c r="G4007" s="19"/>
      <c r="H4007" s="82"/>
    </row>
    <row r="4008" spans="1:8" s="28" customFormat="1" x14ac:dyDescent="0.25">
      <c r="A4008" s="29"/>
      <c r="B4008" s="15"/>
      <c r="C4008" s="19"/>
      <c r="D4008" s="19"/>
      <c r="E4008" s="19"/>
      <c r="F4008" s="19"/>
      <c r="G4008" s="19"/>
      <c r="H4008" s="82"/>
    </row>
    <row r="4009" spans="1:8" s="28" customFormat="1" x14ac:dyDescent="0.25">
      <c r="A4009" s="29"/>
      <c r="B4009" s="15"/>
      <c r="C4009" s="19"/>
      <c r="D4009" s="19"/>
      <c r="E4009" s="19"/>
      <c r="F4009" s="19"/>
      <c r="G4009" s="19"/>
      <c r="H4009" s="82"/>
    </row>
    <row r="4010" spans="1:8" s="28" customFormat="1" x14ac:dyDescent="0.25">
      <c r="A4010" s="29"/>
      <c r="B4010" s="15"/>
      <c r="C4010" s="19"/>
      <c r="D4010" s="19"/>
      <c r="E4010" s="19"/>
      <c r="F4010" s="19"/>
      <c r="G4010" s="19"/>
      <c r="H4010" s="82"/>
    </row>
    <row r="4011" spans="1:8" s="28" customFormat="1" x14ac:dyDescent="0.25">
      <c r="A4011" s="29"/>
      <c r="B4011" s="15"/>
      <c r="C4011" s="19"/>
      <c r="D4011" s="19"/>
      <c r="E4011" s="19"/>
      <c r="F4011" s="19"/>
      <c r="G4011" s="19"/>
      <c r="H4011" s="82"/>
    </row>
    <row r="4012" spans="1:8" s="28" customFormat="1" x14ac:dyDescent="0.25">
      <c r="A4012" s="29"/>
      <c r="B4012" s="15"/>
      <c r="C4012" s="19"/>
      <c r="D4012" s="19"/>
      <c r="E4012" s="19"/>
      <c r="F4012" s="19"/>
      <c r="G4012" s="19"/>
      <c r="H4012" s="82"/>
    </row>
    <row r="4013" spans="1:8" s="28" customFormat="1" x14ac:dyDescent="0.25">
      <c r="A4013" s="29"/>
      <c r="B4013" s="15"/>
      <c r="C4013" s="19"/>
      <c r="D4013" s="19"/>
      <c r="E4013" s="19"/>
      <c r="F4013" s="19"/>
      <c r="G4013" s="19"/>
      <c r="H4013" s="82"/>
    </row>
    <row r="4014" spans="1:8" s="28" customFormat="1" x14ac:dyDescent="0.25">
      <c r="A4014" s="29"/>
      <c r="B4014" s="15"/>
      <c r="C4014" s="19"/>
      <c r="D4014" s="19"/>
      <c r="E4014" s="19"/>
      <c r="F4014" s="19"/>
      <c r="G4014" s="19"/>
      <c r="H4014" s="82"/>
    </row>
    <row r="4015" spans="1:8" s="28" customFormat="1" x14ac:dyDescent="0.25">
      <c r="A4015" s="29"/>
      <c r="B4015" s="15"/>
      <c r="C4015" s="19"/>
      <c r="D4015" s="19"/>
      <c r="E4015" s="19"/>
      <c r="F4015" s="19"/>
      <c r="G4015" s="19"/>
      <c r="H4015" s="82"/>
    </row>
    <row r="4016" spans="1:8" s="28" customFormat="1" x14ac:dyDescent="0.25">
      <c r="A4016" s="29"/>
      <c r="B4016" s="15"/>
      <c r="C4016" s="19"/>
      <c r="D4016" s="19"/>
      <c r="E4016" s="19"/>
      <c r="F4016" s="19"/>
      <c r="G4016" s="19"/>
      <c r="H4016" s="82"/>
    </row>
    <row r="4017" spans="1:8" s="28" customFormat="1" x14ac:dyDescent="0.25">
      <c r="A4017" s="29"/>
      <c r="B4017" s="15"/>
      <c r="C4017" s="19"/>
      <c r="D4017" s="19"/>
      <c r="E4017" s="19"/>
      <c r="F4017" s="19"/>
      <c r="G4017" s="19"/>
      <c r="H4017" s="82"/>
    </row>
    <row r="4018" spans="1:8" s="28" customFormat="1" x14ac:dyDescent="0.25">
      <c r="A4018" s="29"/>
      <c r="B4018" s="15"/>
      <c r="C4018" s="19"/>
      <c r="D4018" s="19"/>
      <c r="E4018" s="19"/>
      <c r="F4018" s="19"/>
      <c r="G4018" s="19"/>
      <c r="H4018" s="82"/>
    </row>
    <row r="4019" spans="1:8" s="28" customFormat="1" x14ac:dyDescent="0.25">
      <c r="A4019" s="29"/>
      <c r="B4019" s="15"/>
      <c r="C4019" s="19"/>
      <c r="D4019" s="19"/>
      <c r="E4019" s="19"/>
      <c r="F4019" s="19"/>
      <c r="G4019" s="19"/>
      <c r="H4019" s="82"/>
    </row>
    <row r="4020" spans="1:8" s="28" customFormat="1" x14ac:dyDescent="0.25">
      <c r="A4020" s="29"/>
      <c r="B4020" s="15"/>
      <c r="C4020" s="19"/>
      <c r="D4020" s="19"/>
      <c r="E4020" s="19"/>
      <c r="F4020" s="19"/>
      <c r="G4020" s="19"/>
      <c r="H4020" s="82"/>
    </row>
    <row r="4021" spans="1:8" s="28" customFormat="1" x14ac:dyDescent="0.25">
      <c r="A4021" s="29"/>
      <c r="B4021" s="15"/>
      <c r="C4021" s="19"/>
      <c r="D4021" s="19"/>
      <c r="E4021" s="19"/>
      <c r="F4021" s="19"/>
      <c r="G4021" s="19"/>
      <c r="H4021" s="82"/>
    </row>
    <row r="4022" spans="1:8" s="28" customFormat="1" x14ac:dyDescent="0.25">
      <c r="A4022" s="29"/>
      <c r="B4022" s="15"/>
      <c r="C4022" s="19"/>
      <c r="D4022" s="19"/>
      <c r="E4022" s="19"/>
      <c r="F4022" s="19"/>
      <c r="G4022" s="19"/>
      <c r="H4022" s="82"/>
    </row>
    <row r="4023" spans="1:8" s="28" customFormat="1" x14ac:dyDescent="0.25">
      <c r="A4023" s="29"/>
      <c r="B4023" s="15"/>
      <c r="C4023" s="19"/>
      <c r="D4023" s="19"/>
      <c r="E4023" s="19"/>
      <c r="F4023" s="19"/>
      <c r="G4023" s="19"/>
      <c r="H4023" s="82"/>
    </row>
    <row r="4024" spans="1:8" s="28" customFormat="1" x14ac:dyDescent="0.25">
      <c r="A4024" s="29"/>
      <c r="B4024" s="15"/>
      <c r="C4024" s="19"/>
      <c r="D4024" s="19"/>
      <c r="E4024" s="19"/>
      <c r="F4024" s="19"/>
      <c r="G4024" s="19"/>
      <c r="H4024" s="82"/>
    </row>
    <row r="4025" spans="1:8" s="28" customFormat="1" x14ac:dyDescent="0.25">
      <c r="A4025" s="29"/>
      <c r="B4025" s="15"/>
      <c r="C4025" s="19"/>
      <c r="D4025" s="19"/>
      <c r="E4025" s="19"/>
      <c r="F4025" s="19"/>
      <c r="G4025" s="19"/>
      <c r="H4025" s="82"/>
    </row>
    <row r="4026" spans="1:8" s="28" customFormat="1" x14ac:dyDescent="0.25">
      <c r="A4026" s="29"/>
      <c r="B4026" s="15"/>
      <c r="C4026" s="19"/>
      <c r="D4026" s="19"/>
      <c r="E4026" s="19"/>
      <c r="F4026" s="19"/>
      <c r="G4026" s="19"/>
      <c r="H4026" s="82"/>
    </row>
    <row r="4027" spans="1:8" s="28" customFormat="1" x14ac:dyDescent="0.25">
      <c r="A4027" s="29"/>
      <c r="B4027" s="15"/>
      <c r="C4027" s="19"/>
      <c r="D4027" s="19"/>
      <c r="E4027" s="19"/>
      <c r="F4027" s="19"/>
      <c r="G4027" s="19"/>
      <c r="H4027" s="82"/>
    </row>
    <row r="4028" spans="1:8" s="28" customFormat="1" x14ac:dyDescent="0.25">
      <c r="A4028" s="29"/>
      <c r="B4028" s="15"/>
      <c r="C4028" s="19"/>
      <c r="D4028" s="19"/>
      <c r="E4028" s="19"/>
      <c r="F4028" s="19"/>
      <c r="G4028" s="19"/>
      <c r="H4028" s="82"/>
    </row>
    <row r="4029" spans="1:8" s="28" customFormat="1" x14ac:dyDescent="0.25">
      <c r="A4029" s="29"/>
      <c r="B4029" s="15"/>
      <c r="C4029" s="19"/>
      <c r="D4029" s="19"/>
      <c r="E4029" s="19"/>
      <c r="F4029" s="19"/>
      <c r="G4029" s="19"/>
      <c r="H4029" s="82"/>
    </row>
    <row r="4030" spans="1:8" s="28" customFormat="1" x14ac:dyDescent="0.25">
      <c r="A4030" s="29"/>
      <c r="B4030" s="15"/>
      <c r="C4030" s="19"/>
      <c r="D4030" s="19"/>
      <c r="E4030" s="19"/>
      <c r="F4030" s="19"/>
      <c r="G4030" s="19"/>
      <c r="H4030" s="82"/>
    </row>
    <row r="4031" spans="1:8" s="28" customFormat="1" x14ac:dyDescent="0.25">
      <c r="A4031" s="29"/>
      <c r="B4031" s="15"/>
      <c r="C4031" s="19"/>
      <c r="D4031" s="19"/>
      <c r="E4031" s="19"/>
      <c r="F4031" s="19"/>
      <c r="G4031" s="19"/>
      <c r="H4031" s="82"/>
    </row>
    <row r="4032" spans="1:8" s="28" customFormat="1" x14ac:dyDescent="0.25">
      <c r="A4032" s="29"/>
      <c r="B4032" s="15"/>
      <c r="C4032" s="19"/>
      <c r="D4032" s="19"/>
      <c r="E4032" s="19"/>
      <c r="F4032" s="19"/>
      <c r="G4032" s="19"/>
      <c r="H4032" s="82"/>
    </row>
    <row r="4033" spans="1:8" s="28" customFormat="1" x14ac:dyDescent="0.25">
      <c r="A4033" s="29"/>
      <c r="B4033" s="15"/>
      <c r="C4033" s="19"/>
      <c r="D4033" s="19"/>
      <c r="E4033" s="19"/>
      <c r="F4033" s="19"/>
      <c r="G4033" s="19"/>
      <c r="H4033" s="82"/>
    </row>
    <row r="4034" spans="1:8" s="28" customFormat="1" x14ac:dyDescent="0.25">
      <c r="A4034" s="29"/>
      <c r="B4034" s="15"/>
      <c r="C4034" s="19"/>
      <c r="D4034" s="19"/>
      <c r="E4034" s="19"/>
      <c r="F4034" s="19"/>
      <c r="G4034" s="19"/>
      <c r="H4034" s="82"/>
    </row>
    <row r="4035" spans="1:8" s="28" customFormat="1" x14ac:dyDescent="0.25">
      <c r="A4035" s="29"/>
      <c r="B4035" s="15"/>
      <c r="C4035" s="19"/>
      <c r="D4035" s="19"/>
      <c r="E4035" s="19"/>
      <c r="F4035" s="19"/>
      <c r="G4035" s="19"/>
      <c r="H4035" s="82"/>
    </row>
    <row r="4036" spans="1:8" s="28" customFormat="1" x14ac:dyDescent="0.25">
      <c r="A4036" s="29"/>
      <c r="B4036" s="15"/>
      <c r="C4036" s="19"/>
      <c r="D4036" s="19"/>
      <c r="E4036" s="19"/>
      <c r="F4036" s="19"/>
      <c r="G4036" s="19"/>
      <c r="H4036" s="82"/>
    </row>
    <row r="4037" spans="1:8" s="28" customFormat="1" x14ac:dyDescent="0.25">
      <c r="A4037" s="29"/>
      <c r="B4037" s="15"/>
      <c r="C4037" s="19"/>
      <c r="D4037" s="19"/>
      <c r="E4037" s="19"/>
      <c r="F4037" s="19"/>
      <c r="G4037" s="19"/>
      <c r="H4037" s="82"/>
    </row>
    <row r="4038" spans="1:8" s="28" customFormat="1" x14ac:dyDescent="0.25">
      <c r="A4038" s="29"/>
      <c r="B4038" s="15"/>
      <c r="C4038" s="19"/>
      <c r="D4038" s="19"/>
      <c r="E4038" s="19"/>
      <c r="F4038" s="19"/>
      <c r="G4038" s="19"/>
      <c r="H4038" s="82"/>
    </row>
    <row r="4039" spans="1:8" s="28" customFormat="1" x14ac:dyDescent="0.25">
      <c r="A4039" s="29"/>
      <c r="B4039" s="15"/>
      <c r="C4039" s="19"/>
      <c r="D4039" s="19"/>
      <c r="E4039" s="19"/>
      <c r="F4039" s="19"/>
      <c r="G4039" s="19"/>
      <c r="H4039" s="82"/>
    </row>
    <row r="4040" spans="1:8" s="28" customFormat="1" x14ac:dyDescent="0.25">
      <c r="A4040" s="29"/>
      <c r="B4040" s="15"/>
      <c r="C4040" s="19"/>
      <c r="D4040" s="19"/>
      <c r="E4040" s="19"/>
      <c r="F4040" s="19"/>
      <c r="G4040" s="19"/>
      <c r="H4040" s="82"/>
    </row>
    <row r="4041" spans="1:8" s="28" customFormat="1" x14ac:dyDescent="0.25">
      <c r="A4041" s="29"/>
      <c r="B4041" s="15"/>
      <c r="C4041" s="19"/>
      <c r="D4041" s="19"/>
      <c r="E4041" s="19"/>
      <c r="F4041" s="19"/>
      <c r="G4041" s="19"/>
      <c r="H4041" s="82"/>
    </row>
    <row r="4042" spans="1:8" s="28" customFormat="1" x14ac:dyDescent="0.25">
      <c r="A4042" s="29"/>
      <c r="B4042" s="15"/>
      <c r="C4042" s="19"/>
      <c r="D4042" s="19"/>
      <c r="E4042" s="19"/>
      <c r="F4042" s="19"/>
      <c r="G4042" s="19"/>
      <c r="H4042" s="82"/>
    </row>
    <row r="4043" spans="1:8" s="28" customFormat="1" x14ac:dyDescent="0.25">
      <c r="A4043" s="29"/>
      <c r="B4043" s="15"/>
      <c r="C4043" s="19"/>
      <c r="D4043" s="19"/>
      <c r="E4043" s="19"/>
      <c r="F4043" s="19"/>
      <c r="G4043" s="19"/>
      <c r="H4043" s="82"/>
    </row>
    <row r="4044" spans="1:8" s="28" customFormat="1" x14ac:dyDescent="0.25">
      <c r="A4044" s="29"/>
      <c r="B4044" s="15"/>
      <c r="C4044" s="19"/>
      <c r="D4044" s="19"/>
      <c r="E4044" s="19"/>
      <c r="F4044" s="19"/>
      <c r="G4044" s="19"/>
      <c r="H4044" s="82"/>
    </row>
    <row r="4045" spans="1:8" s="28" customFormat="1" x14ac:dyDescent="0.25">
      <c r="A4045" s="29"/>
      <c r="B4045" s="15"/>
      <c r="C4045" s="19"/>
      <c r="D4045" s="19"/>
      <c r="E4045" s="19"/>
      <c r="F4045" s="19"/>
      <c r="G4045" s="19"/>
      <c r="H4045" s="82"/>
    </row>
    <row r="4046" spans="1:8" s="28" customFormat="1" x14ac:dyDescent="0.25">
      <c r="A4046" s="29"/>
      <c r="B4046" s="15"/>
      <c r="C4046" s="19"/>
      <c r="D4046" s="19"/>
      <c r="E4046" s="19"/>
      <c r="F4046" s="19"/>
      <c r="G4046" s="19"/>
      <c r="H4046" s="82"/>
    </row>
    <row r="4047" spans="1:8" s="28" customFormat="1" x14ac:dyDescent="0.25">
      <c r="A4047" s="29"/>
      <c r="B4047" s="15"/>
      <c r="C4047" s="19"/>
      <c r="D4047" s="19"/>
      <c r="E4047" s="19"/>
      <c r="F4047" s="19"/>
      <c r="G4047" s="19"/>
      <c r="H4047" s="82"/>
    </row>
    <row r="4048" spans="1:8" s="28" customFormat="1" x14ac:dyDescent="0.25">
      <c r="A4048" s="29"/>
      <c r="B4048" s="15"/>
      <c r="C4048" s="19"/>
      <c r="D4048" s="19"/>
      <c r="E4048" s="19"/>
      <c r="F4048" s="19"/>
      <c r="G4048" s="19"/>
      <c r="H4048" s="82"/>
    </row>
    <row r="4049" spans="1:8" s="28" customFormat="1" x14ac:dyDescent="0.25">
      <c r="A4049" s="29"/>
      <c r="B4049" s="15"/>
      <c r="C4049" s="19"/>
      <c r="D4049" s="19"/>
      <c r="E4049" s="19"/>
      <c r="F4049" s="19"/>
      <c r="G4049" s="19"/>
      <c r="H4049" s="82"/>
    </row>
    <row r="4050" spans="1:8" s="28" customFormat="1" x14ac:dyDescent="0.25">
      <c r="A4050" s="29"/>
      <c r="B4050" s="15"/>
      <c r="C4050" s="19"/>
      <c r="D4050" s="19"/>
      <c r="E4050" s="19"/>
      <c r="F4050" s="19"/>
      <c r="G4050" s="19"/>
      <c r="H4050" s="82"/>
    </row>
    <row r="4051" spans="1:8" s="28" customFormat="1" x14ac:dyDescent="0.25">
      <c r="A4051" s="29"/>
      <c r="B4051" s="15"/>
      <c r="C4051" s="19"/>
      <c r="D4051" s="19"/>
      <c r="E4051" s="19"/>
      <c r="F4051" s="19"/>
      <c r="G4051" s="19"/>
      <c r="H4051" s="82"/>
    </row>
    <row r="4052" spans="1:8" s="28" customFormat="1" x14ac:dyDescent="0.25">
      <c r="A4052" s="29"/>
      <c r="B4052" s="15"/>
      <c r="C4052" s="19"/>
      <c r="D4052" s="19"/>
      <c r="E4052" s="19"/>
      <c r="F4052" s="19"/>
      <c r="G4052" s="19"/>
      <c r="H4052" s="82"/>
    </row>
    <row r="4053" spans="1:8" s="28" customFormat="1" x14ac:dyDescent="0.25">
      <c r="A4053" s="29"/>
      <c r="B4053" s="15"/>
      <c r="C4053" s="19"/>
      <c r="D4053" s="19"/>
      <c r="E4053" s="19"/>
      <c r="F4053" s="19"/>
      <c r="G4053" s="19"/>
      <c r="H4053" s="82"/>
    </row>
    <row r="4054" spans="1:8" s="28" customFormat="1" x14ac:dyDescent="0.25">
      <c r="A4054" s="29"/>
      <c r="B4054" s="15"/>
      <c r="C4054" s="19"/>
      <c r="D4054" s="19"/>
      <c r="E4054" s="19"/>
      <c r="F4054" s="19"/>
      <c r="G4054" s="19"/>
      <c r="H4054" s="82"/>
    </row>
    <row r="4055" spans="1:8" s="28" customFormat="1" x14ac:dyDescent="0.25">
      <c r="A4055" s="29"/>
      <c r="B4055" s="15"/>
      <c r="C4055" s="19"/>
      <c r="D4055" s="19"/>
      <c r="E4055" s="19"/>
      <c r="F4055" s="19"/>
      <c r="G4055" s="19"/>
      <c r="H4055" s="82"/>
    </row>
    <row r="4056" spans="1:8" s="28" customFormat="1" x14ac:dyDescent="0.25">
      <c r="A4056" s="29"/>
      <c r="B4056" s="15"/>
      <c r="C4056" s="19"/>
      <c r="D4056" s="19"/>
      <c r="E4056" s="19"/>
      <c r="F4056" s="19"/>
      <c r="G4056" s="19"/>
      <c r="H4056" s="82"/>
    </row>
    <row r="4057" spans="1:8" s="28" customFormat="1" x14ac:dyDescent="0.25">
      <c r="A4057" s="29"/>
      <c r="B4057" s="15"/>
      <c r="C4057" s="19"/>
      <c r="D4057" s="19"/>
      <c r="E4057" s="19"/>
      <c r="F4057" s="19"/>
      <c r="G4057" s="19"/>
      <c r="H4057" s="82"/>
    </row>
    <row r="4058" spans="1:8" s="28" customFormat="1" x14ac:dyDescent="0.25">
      <c r="A4058" s="29"/>
      <c r="B4058" s="15"/>
      <c r="C4058" s="19"/>
      <c r="D4058" s="19"/>
      <c r="E4058" s="19"/>
      <c r="F4058" s="19"/>
      <c r="G4058" s="19"/>
      <c r="H4058" s="82"/>
    </row>
    <row r="4059" spans="1:8" s="28" customFormat="1" x14ac:dyDescent="0.25">
      <c r="A4059" s="29"/>
      <c r="B4059" s="15"/>
      <c r="C4059" s="19"/>
      <c r="D4059" s="19"/>
      <c r="E4059" s="19"/>
      <c r="F4059" s="19"/>
      <c r="G4059" s="19"/>
      <c r="H4059" s="82"/>
    </row>
    <row r="4060" spans="1:8" s="28" customFormat="1" x14ac:dyDescent="0.25">
      <c r="A4060" s="29"/>
      <c r="B4060" s="15"/>
      <c r="C4060" s="19"/>
      <c r="D4060" s="19"/>
      <c r="E4060" s="19"/>
      <c r="F4060" s="19"/>
      <c r="G4060" s="19"/>
      <c r="H4060" s="82"/>
    </row>
    <row r="4061" spans="1:8" s="28" customFormat="1" x14ac:dyDescent="0.25">
      <c r="A4061" s="29"/>
      <c r="B4061" s="15"/>
      <c r="C4061" s="19"/>
      <c r="D4061" s="19"/>
      <c r="E4061" s="19"/>
      <c r="F4061" s="19"/>
      <c r="G4061" s="19"/>
      <c r="H4061" s="82"/>
    </row>
    <row r="4062" spans="1:8" s="28" customFormat="1" x14ac:dyDescent="0.25">
      <c r="A4062" s="29"/>
      <c r="B4062" s="15"/>
      <c r="C4062" s="19"/>
      <c r="D4062" s="19"/>
      <c r="E4062" s="19"/>
      <c r="F4062" s="19"/>
      <c r="G4062" s="19"/>
      <c r="H4062" s="82"/>
    </row>
    <row r="4063" spans="1:8" s="28" customFormat="1" x14ac:dyDescent="0.25">
      <c r="A4063" s="29"/>
      <c r="B4063" s="15"/>
      <c r="C4063" s="19"/>
      <c r="D4063" s="19"/>
      <c r="E4063" s="19"/>
      <c r="F4063" s="19"/>
      <c r="G4063" s="19"/>
      <c r="H4063" s="82"/>
    </row>
    <row r="4064" spans="1:8" s="28" customFormat="1" x14ac:dyDescent="0.25">
      <c r="A4064" s="29"/>
      <c r="B4064" s="15"/>
      <c r="C4064" s="19"/>
      <c r="D4064" s="19"/>
      <c r="E4064" s="19"/>
      <c r="F4064" s="19"/>
      <c r="G4064" s="19"/>
      <c r="H4064" s="82"/>
    </row>
    <row r="4065" spans="1:8" s="28" customFormat="1" x14ac:dyDescent="0.25">
      <c r="A4065" s="29"/>
      <c r="B4065" s="15"/>
      <c r="C4065" s="19"/>
      <c r="D4065" s="19"/>
      <c r="E4065" s="19"/>
      <c r="F4065" s="19"/>
      <c r="G4065" s="19"/>
      <c r="H4065" s="82"/>
    </row>
    <row r="4066" spans="1:8" s="28" customFormat="1" x14ac:dyDescent="0.25">
      <c r="A4066" s="29"/>
      <c r="B4066" s="15"/>
      <c r="C4066" s="19"/>
      <c r="D4066" s="19"/>
      <c r="E4066" s="19"/>
      <c r="F4066" s="19"/>
      <c r="G4066" s="19"/>
      <c r="H4066" s="82"/>
    </row>
    <row r="4067" spans="1:8" s="28" customFormat="1" x14ac:dyDescent="0.25">
      <c r="A4067" s="29"/>
      <c r="B4067" s="15"/>
      <c r="C4067" s="19"/>
      <c r="D4067" s="19"/>
      <c r="E4067" s="19"/>
      <c r="F4067" s="19"/>
      <c r="G4067" s="19"/>
      <c r="H4067" s="82"/>
    </row>
    <row r="4068" spans="1:8" s="28" customFormat="1" x14ac:dyDescent="0.25">
      <c r="A4068" s="29"/>
      <c r="B4068" s="15"/>
      <c r="C4068" s="19"/>
      <c r="D4068" s="19"/>
      <c r="E4068" s="19"/>
      <c r="F4068" s="19"/>
      <c r="G4068" s="19"/>
      <c r="H4068" s="82"/>
    </row>
    <row r="4069" spans="1:8" s="28" customFormat="1" x14ac:dyDescent="0.25">
      <c r="A4069" s="29"/>
      <c r="B4069" s="15"/>
      <c r="C4069" s="19"/>
      <c r="D4069" s="19"/>
      <c r="E4069" s="19"/>
      <c r="F4069" s="19"/>
      <c r="G4069" s="19"/>
      <c r="H4069" s="82"/>
    </row>
    <row r="4070" spans="1:8" s="28" customFormat="1" x14ac:dyDescent="0.25">
      <c r="A4070" s="29"/>
      <c r="B4070" s="15"/>
      <c r="C4070" s="19"/>
      <c r="D4070" s="19"/>
      <c r="E4070" s="19"/>
      <c r="F4070" s="19"/>
      <c r="G4070" s="19"/>
      <c r="H4070" s="82"/>
    </row>
    <row r="4071" spans="1:8" s="28" customFormat="1" x14ac:dyDescent="0.25">
      <c r="A4071" s="29"/>
      <c r="B4071" s="15"/>
      <c r="C4071" s="19"/>
      <c r="D4071" s="19"/>
      <c r="E4071" s="19"/>
      <c r="F4071" s="19"/>
      <c r="G4071" s="19"/>
      <c r="H4071" s="82"/>
    </row>
    <row r="4072" spans="1:8" s="28" customFormat="1" x14ac:dyDescent="0.25">
      <c r="A4072" s="29"/>
      <c r="B4072" s="15"/>
      <c r="C4072" s="19"/>
      <c r="D4072" s="19"/>
      <c r="E4072" s="19"/>
      <c r="F4072" s="19"/>
      <c r="G4072" s="19"/>
      <c r="H4072" s="82"/>
    </row>
    <row r="4073" spans="1:8" s="28" customFormat="1" x14ac:dyDescent="0.25">
      <c r="A4073" s="29"/>
      <c r="B4073" s="15"/>
      <c r="C4073" s="19"/>
      <c r="D4073" s="19"/>
      <c r="E4073" s="19"/>
      <c r="F4073" s="19"/>
      <c r="G4073" s="19"/>
      <c r="H4073" s="82"/>
    </row>
    <row r="4074" spans="1:8" s="28" customFormat="1" x14ac:dyDescent="0.25">
      <c r="A4074" s="29"/>
      <c r="B4074" s="15"/>
      <c r="C4074" s="19"/>
      <c r="D4074" s="19"/>
      <c r="E4074" s="19"/>
      <c r="F4074" s="19"/>
      <c r="G4074" s="19"/>
      <c r="H4074" s="82"/>
    </row>
    <row r="4075" spans="1:8" s="28" customFormat="1" x14ac:dyDescent="0.25">
      <c r="A4075" s="29"/>
      <c r="B4075" s="15"/>
      <c r="C4075" s="19"/>
      <c r="D4075" s="19"/>
      <c r="E4075" s="19"/>
      <c r="F4075" s="19"/>
      <c r="G4075" s="19"/>
      <c r="H4075" s="82"/>
    </row>
    <row r="4076" spans="1:8" s="28" customFormat="1" x14ac:dyDescent="0.25">
      <c r="A4076" s="29"/>
      <c r="B4076" s="15"/>
      <c r="C4076" s="19"/>
      <c r="D4076" s="19"/>
      <c r="E4076" s="19"/>
      <c r="F4076" s="19"/>
      <c r="G4076" s="19"/>
      <c r="H4076" s="82"/>
    </row>
    <row r="4077" spans="1:8" s="28" customFormat="1" x14ac:dyDescent="0.25">
      <c r="A4077" s="29"/>
      <c r="B4077" s="15"/>
      <c r="C4077" s="19"/>
      <c r="D4077" s="19"/>
      <c r="E4077" s="19"/>
      <c r="F4077" s="19"/>
      <c r="G4077" s="19"/>
      <c r="H4077" s="82"/>
    </row>
    <row r="4078" spans="1:8" s="28" customFormat="1" x14ac:dyDescent="0.25">
      <c r="A4078" s="29"/>
      <c r="B4078" s="15"/>
      <c r="C4078" s="19"/>
      <c r="D4078" s="19"/>
      <c r="E4078" s="19"/>
      <c r="F4078" s="19"/>
      <c r="G4078" s="19"/>
      <c r="H4078" s="82"/>
    </row>
    <row r="4079" spans="1:8" s="28" customFormat="1" x14ac:dyDescent="0.25">
      <c r="A4079" s="29"/>
      <c r="B4079" s="15"/>
      <c r="C4079" s="19"/>
      <c r="D4079" s="19"/>
      <c r="E4079" s="19"/>
      <c r="F4079" s="19"/>
      <c r="G4079" s="19"/>
      <c r="H4079" s="82"/>
    </row>
    <row r="4080" spans="1:8" s="28" customFormat="1" x14ac:dyDescent="0.25">
      <c r="A4080" s="29"/>
      <c r="B4080" s="15"/>
      <c r="C4080" s="19"/>
      <c r="D4080" s="19"/>
      <c r="E4080" s="19"/>
      <c r="F4080" s="19"/>
      <c r="G4080" s="19"/>
      <c r="H4080" s="82"/>
    </row>
    <row r="4081" spans="1:8" s="28" customFormat="1" x14ac:dyDescent="0.25">
      <c r="A4081" s="29"/>
      <c r="B4081" s="15"/>
      <c r="C4081" s="19"/>
      <c r="D4081" s="19"/>
      <c r="E4081" s="19"/>
      <c r="F4081" s="19"/>
      <c r="G4081" s="19"/>
      <c r="H4081" s="82"/>
    </row>
    <row r="4082" spans="1:8" s="28" customFormat="1" x14ac:dyDescent="0.25">
      <c r="A4082" s="29"/>
      <c r="B4082" s="15"/>
      <c r="C4082" s="19"/>
      <c r="D4082" s="19"/>
      <c r="E4082" s="19"/>
      <c r="F4082" s="19"/>
      <c r="G4082" s="19"/>
      <c r="H4082" s="82"/>
    </row>
    <row r="4083" spans="1:8" s="28" customFormat="1" x14ac:dyDescent="0.25">
      <c r="A4083" s="29"/>
      <c r="B4083" s="15"/>
      <c r="C4083" s="19"/>
      <c r="D4083" s="19"/>
      <c r="E4083" s="19"/>
      <c r="F4083" s="19"/>
      <c r="G4083" s="19"/>
      <c r="H4083" s="82"/>
    </row>
    <row r="4084" spans="1:8" s="28" customFormat="1" x14ac:dyDescent="0.25">
      <c r="A4084" s="29"/>
      <c r="B4084" s="15"/>
      <c r="C4084" s="19"/>
      <c r="D4084" s="19"/>
      <c r="E4084" s="19"/>
      <c r="F4084" s="19"/>
      <c r="G4084" s="19"/>
      <c r="H4084" s="82"/>
    </row>
    <row r="4085" spans="1:8" s="28" customFormat="1" x14ac:dyDescent="0.25">
      <c r="A4085" s="29"/>
      <c r="B4085" s="15"/>
      <c r="C4085" s="19"/>
      <c r="D4085" s="19"/>
      <c r="E4085" s="19"/>
      <c r="F4085" s="19"/>
      <c r="G4085" s="19"/>
      <c r="H4085" s="82"/>
    </row>
    <row r="4086" spans="1:8" s="28" customFormat="1" x14ac:dyDescent="0.25">
      <c r="A4086" s="29"/>
      <c r="B4086" s="15"/>
      <c r="C4086" s="19"/>
      <c r="D4086" s="19"/>
      <c r="E4086" s="19"/>
      <c r="F4086" s="19"/>
      <c r="G4086" s="19"/>
      <c r="H4086" s="82"/>
    </row>
    <row r="4087" spans="1:8" s="28" customFormat="1" x14ac:dyDescent="0.25">
      <c r="A4087" s="29"/>
      <c r="B4087" s="15"/>
      <c r="C4087" s="19"/>
      <c r="D4087" s="19"/>
      <c r="E4087" s="19"/>
      <c r="F4087" s="19"/>
      <c r="G4087" s="19"/>
      <c r="H4087" s="82"/>
    </row>
    <row r="4088" spans="1:8" s="28" customFormat="1" x14ac:dyDescent="0.25">
      <c r="A4088" s="29"/>
      <c r="B4088" s="15"/>
      <c r="C4088" s="19"/>
      <c r="D4088" s="19"/>
      <c r="E4088" s="19"/>
      <c r="F4088" s="19"/>
      <c r="G4088" s="19"/>
      <c r="H4088" s="82"/>
    </row>
    <row r="4089" spans="1:8" s="28" customFormat="1" x14ac:dyDescent="0.25">
      <c r="A4089" s="29"/>
      <c r="B4089" s="15"/>
      <c r="C4089" s="19"/>
      <c r="D4089" s="19"/>
      <c r="E4089" s="19"/>
      <c r="F4089" s="19"/>
      <c r="G4089" s="19"/>
      <c r="H4089" s="82"/>
    </row>
    <row r="4090" spans="1:8" s="28" customFormat="1" x14ac:dyDescent="0.25">
      <c r="A4090" s="29"/>
      <c r="B4090" s="15"/>
      <c r="C4090" s="19"/>
      <c r="D4090" s="19"/>
      <c r="E4090" s="19"/>
      <c r="F4090" s="19"/>
      <c r="G4090" s="19"/>
      <c r="H4090" s="82"/>
    </row>
    <row r="4091" spans="1:8" s="28" customFormat="1" x14ac:dyDescent="0.25">
      <c r="A4091" s="29"/>
      <c r="B4091" s="15"/>
      <c r="C4091" s="19"/>
      <c r="D4091" s="19"/>
      <c r="E4091" s="19"/>
      <c r="F4091" s="19"/>
      <c r="G4091" s="19"/>
      <c r="H4091" s="82"/>
    </row>
    <row r="4092" spans="1:8" s="28" customFormat="1" x14ac:dyDescent="0.25">
      <c r="A4092" s="29"/>
      <c r="B4092" s="15"/>
      <c r="C4092" s="19"/>
      <c r="D4092" s="19"/>
      <c r="E4092" s="19"/>
      <c r="F4092" s="19"/>
      <c r="G4092" s="19"/>
      <c r="H4092" s="82"/>
    </row>
    <row r="4093" spans="1:8" s="28" customFormat="1" x14ac:dyDescent="0.25">
      <c r="A4093" s="29"/>
      <c r="B4093" s="15"/>
      <c r="C4093" s="19"/>
      <c r="D4093" s="19"/>
      <c r="E4093" s="19"/>
      <c r="F4093" s="19"/>
      <c r="G4093" s="19"/>
      <c r="H4093" s="82"/>
    </row>
    <row r="4094" spans="1:8" s="28" customFormat="1" x14ac:dyDescent="0.25">
      <c r="A4094" s="29"/>
      <c r="B4094" s="15"/>
      <c r="C4094" s="19"/>
      <c r="D4094" s="19"/>
      <c r="E4094" s="19"/>
      <c r="F4094" s="19"/>
      <c r="G4094" s="19"/>
      <c r="H4094" s="82"/>
    </row>
    <row r="4095" spans="1:8" s="28" customFormat="1" x14ac:dyDescent="0.25">
      <c r="A4095" s="29"/>
      <c r="B4095" s="15"/>
      <c r="C4095" s="19"/>
      <c r="D4095" s="19"/>
      <c r="E4095" s="19"/>
      <c r="F4095" s="19"/>
      <c r="G4095" s="19"/>
      <c r="H4095" s="82"/>
    </row>
    <row r="4096" spans="1:8" s="28" customFormat="1" x14ac:dyDescent="0.25">
      <c r="A4096" s="29"/>
      <c r="B4096" s="15"/>
      <c r="C4096" s="19"/>
      <c r="D4096" s="19"/>
      <c r="E4096" s="19"/>
      <c r="F4096" s="19"/>
      <c r="G4096" s="19"/>
      <c r="H4096" s="82"/>
    </row>
    <row r="4097" spans="1:8" s="28" customFormat="1" x14ac:dyDescent="0.25">
      <c r="A4097" s="29"/>
      <c r="B4097" s="15"/>
      <c r="C4097" s="19"/>
      <c r="D4097" s="19"/>
      <c r="E4097" s="19"/>
      <c r="F4097" s="19"/>
      <c r="G4097" s="19"/>
      <c r="H4097" s="82"/>
    </row>
    <row r="4098" spans="1:8" s="28" customFormat="1" x14ac:dyDescent="0.25">
      <c r="A4098" s="29"/>
      <c r="B4098" s="15"/>
      <c r="C4098" s="19"/>
      <c r="D4098" s="19"/>
      <c r="E4098" s="19"/>
      <c r="F4098" s="19"/>
      <c r="G4098" s="19"/>
      <c r="H4098" s="82"/>
    </row>
    <row r="4099" spans="1:8" s="28" customFormat="1" x14ac:dyDescent="0.25">
      <c r="A4099" s="29"/>
      <c r="B4099" s="15"/>
      <c r="C4099" s="19"/>
      <c r="D4099" s="19"/>
      <c r="E4099" s="19"/>
      <c r="F4099" s="19"/>
      <c r="G4099" s="19"/>
      <c r="H4099" s="82"/>
    </row>
    <row r="4100" spans="1:8" s="28" customFormat="1" x14ac:dyDescent="0.25">
      <c r="A4100" s="29"/>
      <c r="B4100" s="15"/>
      <c r="C4100" s="19"/>
      <c r="D4100" s="19"/>
      <c r="E4100" s="19"/>
      <c r="F4100" s="19"/>
      <c r="G4100" s="19"/>
      <c r="H4100" s="82"/>
    </row>
    <row r="4101" spans="1:8" s="28" customFormat="1" x14ac:dyDescent="0.25">
      <c r="A4101" s="29"/>
      <c r="B4101" s="15"/>
      <c r="C4101" s="19"/>
      <c r="D4101" s="19"/>
      <c r="E4101" s="19"/>
      <c r="F4101" s="19"/>
      <c r="G4101" s="19"/>
      <c r="H4101" s="82"/>
    </row>
    <row r="4102" spans="1:8" s="28" customFormat="1" x14ac:dyDescent="0.25">
      <c r="A4102" s="29"/>
      <c r="B4102" s="15"/>
      <c r="C4102" s="19"/>
      <c r="D4102" s="19"/>
      <c r="E4102" s="19"/>
      <c r="F4102" s="19"/>
      <c r="G4102" s="19"/>
      <c r="H4102" s="82"/>
    </row>
    <row r="4103" spans="1:8" s="28" customFormat="1" x14ac:dyDescent="0.25">
      <c r="A4103" s="29"/>
      <c r="B4103" s="15"/>
      <c r="C4103" s="19"/>
      <c r="D4103" s="19"/>
      <c r="E4103" s="19"/>
      <c r="F4103" s="19"/>
      <c r="G4103" s="19"/>
      <c r="H4103" s="82"/>
    </row>
    <row r="4104" spans="1:8" s="28" customFormat="1" x14ac:dyDescent="0.25">
      <c r="A4104" s="29"/>
      <c r="B4104" s="15"/>
      <c r="C4104" s="19"/>
      <c r="D4104" s="19"/>
      <c r="E4104" s="19"/>
      <c r="F4104" s="19"/>
      <c r="G4104" s="19"/>
      <c r="H4104" s="82"/>
    </row>
    <row r="4105" spans="1:8" s="28" customFormat="1" x14ac:dyDescent="0.25">
      <c r="A4105" s="29"/>
      <c r="B4105" s="15"/>
      <c r="C4105" s="19"/>
      <c r="D4105" s="19"/>
      <c r="E4105" s="19"/>
      <c r="F4105" s="19"/>
      <c r="G4105" s="19"/>
      <c r="H4105" s="82"/>
    </row>
    <row r="4106" spans="1:8" s="28" customFormat="1" x14ac:dyDescent="0.25">
      <c r="A4106" s="29"/>
      <c r="B4106" s="15"/>
      <c r="C4106" s="19"/>
      <c r="D4106" s="19"/>
      <c r="E4106" s="19"/>
      <c r="F4106" s="19"/>
      <c r="G4106" s="19"/>
      <c r="H4106" s="82"/>
    </row>
    <row r="4107" spans="1:8" s="28" customFormat="1" x14ac:dyDescent="0.25">
      <c r="A4107" s="29"/>
      <c r="B4107" s="15"/>
      <c r="C4107" s="19"/>
      <c r="D4107" s="19"/>
      <c r="E4107" s="19"/>
      <c r="F4107" s="19"/>
      <c r="G4107" s="19"/>
      <c r="H4107" s="82"/>
    </row>
    <row r="4108" spans="1:8" s="28" customFormat="1" x14ac:dyDescent="0.25">
      <c r="A4108" s="29"/>
      <c r="B4108" s="15"/>
      <c r="C4108" s="19"/>
      <c r="D4108" s="19"/>
      <c r="E4108" s="19"/>
      <c r="F4108" s="19"/>
      <c r="G4108" s="19"/>
      <c r="H4108" s="82"/>
    </row>
    <row r="4109" spans="1:8" s="28" customFormat="1" x14ac:dyDescent="0.25">
      <c r="A4109" s="29"/>
      <c r="B4109" s="15"/>
      <c r="C4109" s="19"/>
      <c r="D4109" s="19"/>
      <c r="E4109" s="19"/>
      <c r="F4109" s="19"/>
      <c r="G4109" s="19"/>
      <c r="H4109" s="82"/>
    </row>
    <row r="4110" spans="1:8" s="28" customFormat="1" x14ac:dyDescent="0.25">
      <c r="A4110" s="29"/>
      <c r="B4110" s="15"/>
      <c r="C4110" s="19"/>
      <c r="D4110" s="19"/>
      <c r="E4110" s="19"/>
      <c r="F4110" s="19"/>
      <c r="G4110" s="19"/>
      <c r="H4110" s="82"/>
    </row>
    <row r="4111" spans="1:8" s="28" customFormat="1" x14ac:dyDescent="0.25">
      <c r="A4111" s="29"/>
      <c r="B4111" s="15"/>
      <c r="C4111" s="19"/>
      <c r="D4111" s="19"/>
      <c r="E4111" s="19"/>
      <c r="F4111" s="19"/>
      <c r="G4111" s="19"/>
      <c r="H4111" s="82"/>
    </row>
    <row r="4112" spans="1:8" s="28" customFormat="1" x14ac:dyDescent="0.25">
      <c r="A4112" s="29"/>
      <c r="B4112" s="15"/>
      <c r="C4112" s="19"/>
      <c r="D4112" s="19"/>
      <c r="E4112" s="19"/>
      <c r="F4112" s="19"/>
      <c r="G4112" s="19"/>
      <c r="H4112" s="82"/>
    </row>
    <row r="4113" spans="1:8" s="28" customFormat="1" x14ac:dyDescent="0.25">
      <c r="A4113" s="29"/>
      <c r="B4113" s="15"/>
      <c r="C4113" s="19"/>
      <c r="D4113" s="19"/>
      <c r="E4113" s="19"/>
      <c r="F4113" s="19"/>
      <c r="G4113" s="19"/>
      <c r="H4113" s="82"/>
    </row>
    <row r="4114" spans="1:8" s="28" customFormat="1" x14ac:dyDescent="0.25">
      <c r="A4114" s="29"/>
      <c r="B4114" s="15"/>
      <c r="C4114" s="19"/>
      <c r="D4114" s="19"/>
      <c r="E4114" s="19"/>
      <c r="F4114" s="19"/>
      <c r="G4114" s="19"/>
      <c r="H4114" s="82"/>
    </row>
    <row r="4115" spans="1:8" s="28" customFormat="1" x14ac:dyDescent="0.25">
      <c r="A4115" s="29"/>
      <c r="B4115" s="15"/>
      <c r="C4115" s="19"/>
      <c r="D4115" s="19"/>
      <c r="E4115" s="19"/>
      <c r="F4115" s="19"/>
      <c r="G4115" s="19"/>
      <c r="H4115" s="82"/>
    </row>
    <row r="4116" spans="1:8" s="28" customFormat="1" x14ac:dyDescent="0.25">
      <c r="A4116" s="29"/>
      <c r="B4116" s="15"/>
      <c r="C4116" s="19"/>
      <c r="D4116" s="19"/>
      <c r="E4116" s="19"/>
      <c r="F4116" s="19"/>
      <c r="G4116" s="19"/>
      <c r="H4116" s="82"/>
    </row>
    <row r="4117" spans="1:8" s="28" customFormat="1" x14ac:dyDescent="0.25">
      <c r="A4117" s="29"/>
      <c r="B4117" s="15"/>
      <c r="C4117" s="19"/>
      <c r="D4117" s="19"/>
      <c r="E4117" s="19"/>
      <c r="F4117" s="19"/>
      <c r="G4117" s="19"/>
      <c r="H4117" s="82"/>
    </row>
    <row r="4118" spans="1:8" s="28" customFormat="1" x14ac:dyDescent="0.25">
      <c r="A4118" s="29"/>
      <c r="B4118" s="15"/>
      <c r="C4118" s="19"/>
      <c r="D4118" s="19"/>
      <c r="E4118" s="19"/>
      <c r="F4118" s="19"/>
      <c r="G4118" s="19"/>
      <c r="H4118" s="82"/>
    </row>
    <row r="4119" spans="1:8" s="28" customFormat="1" x14ac:dyDescent="0.25">
      <c r="A4119" s="29"/>
      <c r="B4119" s="15"/>
      <c r="C4119" s="19"/>
      <c r="D4119" s="19"/>
      <c r="E4119" s="19"/>
      <c r="F4119" s="19"/>
      <c r="G4119" s="19"/>
      <c r="H4119" s="82"/>
    </row>
    <row r="4120" spans="1:8" s="28" customFormat="1" x14ac:dyDescent="0.25">
      <c r="A4120" s="29"/>
      <c r="B4120" s="15"/>
      <c r="C4120" s="19"/>
      <c r="D4120" s="19"/>
      <c r="E4120" s="19"/>
      <c r="F4120" s="19"/>
      <c r="G4120" s="19"/>
      <c r="H4120" s="82"/>
    </row>
    <row r="4121" spans="1:8" s="28" customFormat="1" x14ac:dyDescent="0.25">
      <c r="A4121" s="29"/>
      <c r="B4121" s="15"/>
      <c r="C4121" s="19"/>
      <c r="D4121" s="19"/>
      <c r="E4121" s="19"/>
      <c r="F4121" s="19"/>
      <c r="G4121" s="19"/>
      <c r="H4121" s="82"/>
    </row>
    <row r="4122" spans="1:8" s="28" customFormat="1" x14ac:dyDescent="0.25">
      <c r="A4122" s="29"/>
      <c r="B4122" s="15"/>
      <c r="C4122" s="19"/>
      <c r="D4122" s="19"/>
      <c r="E4122" s="19"/>
      <c r="F4122" s="19"/>
      <c r="G4122" s="19"/>
      <c r="H4122" s="82"/>
    </row>
    <row r="4123" spans="1:8" s="28" customFormat="1" x14ac:dyDescent="0.25">
      <c r="A4123" s="29"/>
      <c r="B4123" s="15"/>
      <c r="C4123" s="19"/>
      <c r="D4123" s="19"/>
      <c r="E4123" s="19"/>
      <c r="F4123" s="19"/>
      <c r="G4123" s="19"/>
      <c r="H4123" s="82"/>
    </row>
    <row r="4124" spans="1:8" s="28" customFormat="1" x14ac:dyDescent="0.25">
      <c r="A4124" s="29"/>
      <c r="B4124" s="15"/>
      <c r="C4124" s="19"/>
      <c r="D4124" s="19"/>
      <c r="E4124" s="19"/>
      <c r="F4124" s="19"/>
      <c r="G4124" s="19"/>
      <c r="H4124" s="82"/>
    </row>
    <row r="4125" spans="1:8" s="28" customFormat="1" x14ac:dyDescent="0.25">
      <c r="A4125" s="29"/>
      <c r="B4125" s="15"/>
      <c r="C4125" s="19"/>
      <c r="D4125" s="19"/>
      <c r="E4125" s="19"/>
      <c r="F4125" s="19"/>
      <c r="G4125" s="19"/>
      <c r="H4125" s="82"/>
    </row>
    <row r="4126" spans="1:8" s="28" customFormat="1" x14ac:dyDescent="0.25">
      <c r="A4126" s="29"/>
      <c r="B4126" s="15"/>
      <c r="C4126" s="19"/>
      <c r="D4126" s="19"/>
      <c r="E4126" s="19"/>
      <c r="F4126" s="19"/>
      <c r="G4126" s="19"/>
      <c r="H4126" s="82"/>
    </row>
    <row r="4127" spans="1:8" s="28" customFormat="1" x14ac:dyDescent="0.25">
      <c r="A4127" s="29"/>
      <c r="B4127" s="15"/>
      <c r="C4127" s="19"/>
      <c r="D4127" s="19"/>
      <c r="E4127" s="19"/>
      <c r="F4127" s="19"/>
      <c r="G4127" s="19"/>
      <c r="H4127" s="82"/>
    </row>
    <row r="4128" spans="1:8" s="28" customFormat="1" x14ac:dyDescent="0.25">
      <c r="A4128" s="29"/>
      <c r="B4128" s="15"/>
      <c r="C4128" s="19"/>
      <c r="D4128" s="19"/>
      <c r="E4128" s="19"/>
      <c r="F4128" s="19"/>
      <c r="G4128" s="19"/>
      <c r="H4128" s="82"/>
    </row>
    <row r="4129" spans="1:8" s="28" customFormat="1" x14ac:dyDescent="0.25">
      <c r="A4129" s="29"/>
      <c r="B4129" s="15"/>
      <c r="C4129" s="19"/>
      <c r="D4129" s="19"/>
      <c r="E4129" s="19"/>
      <c r="F4129" s="19"/>
      <c r="G4129" s="19"/>
      <c r="H4129" s="82"/>
    </row>
    <row r="4130" spans="1:8" s="28" customFormat="1" x14ac:dyDescent="0.25">
      <c r="A4130" s="29"/>
      <c r="B4130" s="15"/>
      <c r="C4130" s="19"/>
      <c r="D4130" s="19"/>
      <c r="E4130" s="19"/>
      <c r="F4130" s="19"/>
      <c r="G4130" s="19"/>
      <c r="H4130" s="82"/>
    </row>
    <row r="4131" spans="1:8" s="28" customFormat="1" x14ac:dyDescent="0.25">
      <c r="A4131" s="29"/>
      <c r="B4131" s="15"/>
      <c r="C4131" s="19"/>
      <c r="D4131" s="19"/>
      <c r="E4131" s="19"/>
      <c r="F4131" s="19"/>
      <c r="G4131" s="19"/>
      <c r="H4131" s="82"/>
    </row>
    <row r="4132" spans="1:8" s="28" customFormat="1" x14ac:dyDescent="0.25">
      <c r="A4132" s="29"/>
      <c r="B4132" s="15"/>
      <c r="C4132" s="19"/>
      <c r="D4132" s="19"/>
      <c r="E4132" s="19"/>
      <c r="F4132" s="19"/>
      <c r="G4132" s="19"/>
      <c r="H4132" s="82"/>
    </row>
    <row r="4133" spans="1:8" s="28" customFormat="1" x14ac:dyDescent="0.25">
      <c r="A4133" s="29"/>
      <c r="B4133" s="15"/>
      <c r="C4133" s="19"/>
      <c r="D4133" s="19"/>
      <c r="E4133" s="19"/>
      <c r="F4133" s="19"/>
      <c r="G4133" s="19"/>
      <c r="H4133" s="82"/>
    </row>
    <row r="4134" spans="1:8" s="28" customFormat="1" x14ac:dyDescent="0.25">
      <c r="A4134" s="29"/>
      <c r="B4134" s="15"/>
      <c r="C4134" s="19"/>
      <c r="D4134" s="19"/>
      <c r="E4134" s="19"/>
      <c r="F4134" s="19"/>
      <c r="G4134" s="19"/>
      <c r="H4134" s="82"/>
    </row>
    <row r="4135" spans="1:8" s="28" customFormat="1" x14ac:dyDescent="0.25">
      <c r="A4135" s="29"/>
      <c r="B4135" s="15"/>
      <c r="C4135" s="19"/>
      <c r="D4135" s="19"/>
      <c r="E4135" s="19"/>
      <c r="F4135" s="19"/>
      <c r="G4135" s="19"/>
      <c r="H4135" s="82"/>
    </row>
    <row r="4136" spans="1:8" s="28" customFormat="1" x14ac:dyDescent="0.25">
      <c r="A4136" s="29"/>
      <c r="B4136" s="15"/>
      <c r="C4136" s="19"/>
      <c r="D4136" s="19"/>
      <c r="E4136" s="19"/>
      <c r="F4136" s="19"/>
      <c r="G4136" s="19"/>
      <c r="H4136" s="82"/>
    </row>
    <row r="4137" spans="1:8" s="28" customFormat="1" x14ac:dyDescent="0.25">
      <c r="A4137" s="29"/>
      <c r="B4137" s="15"/>
      <c r="C4137" s="19"/>
      <c r="D4137" s="19"/>
      <c r="E4137" s="19"/>
      <c r="F4137" s="19"/>
      <c r="G4137" s="19"/>
      <c r="H4137" s="82"/>
    </row>
    <row r="4138" spans="1:8" s="28" customFormat="1" x14ac:dyDescent="0.25">
      <c r="A4138" s="29"/>
      <c r="B4138" s="15"/>
      <c r="C4138" s="19"/>
      <c r="D4138" s="19"/>
      <c r="E4138" s="19"/>
      <c r="F4138" s="19"/>
      <c r="G4138" s="19"/>
      <c r="H4138" s="82"/>
    </row>
    <row r="4139" spans="1:8" s="28" customFormat="1" x14ac:dyDescent="0.25">
      <c r="A4139" s="29"/>
      <c r="B4139" s="15"/>
      <c r="C4139" s="19"/>
      <c r="D4139" s="19"/>
      <c r="E4139" s="19"/>
      <c r="F4139" s="19"/>
      <c r="G4139" s="19"/>
      <c r="H4139" s="82"/>
    </row>
    <row r="4140" spans="1:8" s="28" customFormat="1" x14ac:dyDescent="0.25">
      <c r="A4140" s="29"/>
      <c r="B4140" s="15"/>
      <c r="C4140" s="19"/>
      <c r="D4140" s="19"/>
      <c r="E4140" s="19"/>
      <c r="F4140" s="19"/>
      <c r="G4140" s="19"/>
      <c r="H4140" s="82"/>
    </row>
    <row r="4141" spans="1:8" s="28" customFormat="1" x14ac:dyDescent="0.25">
      <c r="A4141" s="29"/>
      <c r="B4141" s="15"/>
      <c r="C4141" s="19"/>
      <c r="D4141" s="19"/>
      <c r="E4141" s="19"/>
      <c r="F4141" s="19"/>
      <c r="G4141" s="19"/>
      <c r="H4141" s="82"/>
    </row>
    <row r="4142" spans="1:8" s="28" customFormat="1" x14ac:dyDescent="0.25">
      <c r="A4142" s="29"/>
      <c r="B4142" s="15"/>
      <c r="C4142" s="19"/>
      <c r="D4142" s="19"/>
      <c r="E4142" s="19"/>
      <c r="F4142" s="19"/>
      <c r="G4142" s="19"/>
      <c r="H4142" s="82"/>
    </row>
    <row r="4143" spans="1:8" s="28" customFormat="1" x14ac:dyDescent="0.25">
      <c r="A4143" s="29"/>
      <c r="B4143" s="15"/>
      <c r="C4143" s="19"/>
      <c r="D4143" s="19"/>
      <c r="E4143" s="19"/>
      <c r="F4143" s="19"/>
      <c r="G4143" s="19"/>
      <c r="H4143" s="82"/>
    </row>
    <row r="4144" spans="1:8" s="28" customFormat="1" x14ac:dyDescent="0.25">
      <c r="A4144" s="29"/>
      <c r="B4144" s="15"/>
      <c r="C4144" s="19"/>
      <c r="D4144" s="19"/>
      <c r="E4144" s="19"/>
      <c r="F4144" s="19"/>
      <c r="G4144" s="19"/>
      <c r="H4144" s="82"/>
    </row>
    <row r="4145" spans="1:8" s="28" customFormat="1" x14ac:dyDescent="0.25">
      <c r="A4145" s="29"/>
      <c r="B4145" s="15"/>
      <c r="C4145" s="19"/>
      <c r="D4145" s="19"/>
      <c r="E4145" s="19"/>
      <c r="F4145" s="19"/>
      <c r="G4145" s="19"/>
      <c r="H4145" s="82"/>
    </row>
    <row r="4146" spans="1:8" s="28" customFormat="1" x14ac:dyDescent="0.25">
      <c r="A4146" s="29"/>
      <c r="B4146" s="15"/>
      <c r="C4146" s="19"/>
      <c r="D4146" s="19"/>
      <c r="E4146" s="19"/>
      <c r="F4146" s="19"/>
      <c r="G4146" s="19"/>
      <c r="H4146" s="82"/>
    </row>
    <row r="4147" spans="1:8" s="28" customFormat="1" x14ac:dyDescent="0.25">
      <c r="A4147" s="29"/>
      <c r="B4147" s="15"/>
      <c r="C4147" s="19"/>
      <c r="D4147" s="19"/>
      <c r="E4147" s="19"/>
      <c r="F4147" s="19"/>
      <c r="G4147" s="19"/>
      <c r="H4147" s="82"/>
    </row>
    <row r="4148" spans="1:8" s="28" customFormat="1" x14ac:dyDescent="0.25">
      <c r="A4148" s="29"/>
      <c r="B4148" s="15"/>
      <c r="C4148" s="19"/>
      <c r="D4148" s="19"/>
      <c r="E4148" s="19"/>
      <c r="F4148" s="19"/>
      <c r="G4148" s="19"/>
      <c r="H4148" s="82"/>
    </row>
    <row r="4149" spans="1:8" s="28" customFormat="1" x14ac:dyDescent="0.25">
      <c r="A4149" s="29"/>
      <c r="B4149" s="15"/>
      <c r="C4149" s="19"/>
      <c r="D4149" s="19"/>
      <c r="E4149" s="19"/>
      <c r="F4149" s="19"/>
      <c r="G4149" s="19"/>
      <c r="H4149" s="82"/>
    </row>
    <row r="4150" spans="1:8" s="28" customFormat="1" x14ac:dyDescent="0.25">
      <c r="A4150" s="29"/>
      <c r="B4150" s="15"/>
      <c r="C4150" s="19"/>
      <c r="D4150" s="19"/>
      <c r="E4150" s="19"/>
      <c r="F4150" s="19"/>
      <c r="G4150" s="19"/>
      <c r="H4150" s="82"/>
    </row>
    <row r="4151" spans="1:8" s="28" customFormat="1" x14ac:dyDescent="0.25">
      <c r="A4151" s="29"/>
      <c r="B4151" s="15"/>
      <c r="C4151" s="19"/>
      <c r="D4151" s="19"/>
      <c r="E4151" s="19"/>
      <c r="F4151" s="19"/>
      <c r="G4151" s="19"/>
      <c r="H4151" s="82"/>
    </row>
    <row r="4152" spans="1:8" s="28" customFormat="1" x14ac:dyDescent="0.25">
      <c r="A4152" s="29"/>
      <c r="B4152" s="15"/>
      <c r="C4152" s="19"/>
      <c r="D4152" s="19"/>
      <c r="E4152" s="19"/>
      <c r="F4152" s="19"/>
      <c r="G4152" s="19"/>
      <c r="H4152" s="82"/>
    </row>
    <row r="4153" spans="1:8" s="28" customFormat="1" x14ac:dyDescent="0.25">
      <c r="A4153" s="29"/>
      <c r="B4153" s="15"/>
      <c r="C4153" s="19"/>
      <c r="D4153" s="19"/>
      <c r="E4153" s="19"/>
      <c r="F4153" s="19"/>
      <c r="G4153" s="19"/>
      <c r="H4153" s="82"/>
    </row>
    <row r="4154" spans="1:8" s="28" customFormat="1" x14ac:dyDescent="0.25">
      <c r="A4154" s="29"/>
      <c r="B4154" s="15"/>
      <c r="C4154" s="19"/>
      <c r="D4154" s="19"/>
      <c r="E4154" s="19"/>
      <c r="F4154" s="19"/>
      <c r="G4154" s="19"/>
      <c r="H4154" s="82"/>
    </row>
    <row r="4155" spans="1:8" s="28" customFormat="1" x14ac:dyDescent="0.25">
      <c r="A4155" s="29"/>
      <c r="B4155" s="15"/>
      <c r="C4155" s="19"/>
      <c r="D4155" s="19"/>
      <c r="E4155" s="19"/>
      <c r="F4155" s="19"/>
      <c r="G4155" s="19"/>
      <c r="H4155" s="82"/>
    </row>
    <row r="4156" spans="1:8" s="28" customFormat="1" x14ac:dyDescent="0.25">
      <c r="A4156" s="29"/>
      <c r="B4156" s="15"/>
      <c r="C4156" s="19"/>
      <c r="D4156" s="19"/>
      <c r="E4156" s="19"/>
      <c r="F4156" s="19"/>
      <c r="G4156" s="19"/>
      <c r="H4156" s="82"/>
    </row>
    <row r="4157" spans="1:8" s="28" customFormat="1" x14ac:dyDescent="0.25">
      <c r="A4157" s="29"/>
      <c r="B4157" s="15"/>
      <c r="C4157" s="19"/>
      <c r="D4157" s="19"/>
      <c r="E4157" s="19"/>
      <c r="F4157" s="19"/>
      <c r="G4157" s="19"/>
      <c r="H4157" s="82"/>
    </row>
    <row r="4158" spans="1:8" s="28" customFormat="1" x14ac:dyDescent="0.25">
      <c r="A4158" s="29"/>
      <c r="B4158" s="15"/>
      <c r="C4158" s="19"/>
      <c r="D4158" s="19"/>
      <c r="E4158" s="19"/>
      <c r="F4158" s="19"/>
      <c r="G4158" s="19"/>
      <c r="H4158" s="82"/>
    </row>
    <row r="4159" spans="1:8" s="28" customFormat="1" x14ac:dyDescent="0.25">
      <c r="A4159" s="29"/>
      <c r="B4159" s="15"/>
      <c r="C4159" s="19"/>
      <c r="D4159" s="19"/>
      <c r="E4159" s="19"/>
      <c r="F4159" s="19"/>
      <c r="G4159" s="19"/>
      <c r="H4159" s="82"/>
    </row>
    <row r="4160" spans="1:8" s="28" customFormat="1" x14ac:dyDescent="0.25">
      <c r="A4160" s="29"/>
      <c r="B4160" s="15"/>
      <c r="C4160" s="19"/>
      <c r="D4160" s="19"/>
      <c r="E4160" s="19"/>
      <c r="F4160" s="19"/>
      <c r="G4160" s="19"/>
      <c r="H4160" s="82"/>
    </row>
    <row r="4161" spans="1:8" s="28" customFormat="1" x14ac:dyDescent="0.25">
      <c r="A4161" s="29"/>
      <c r="B4161" s="15"/>
      <c r="C4161" s="19"/>
      <c r="D4161" s="19"/>
      <c r="E4161" s="19"/>
      <c r="F4161" s="19"/>
      <c r="G4161" s="19"/>
      <c r="H4161" s="82"/>
    </row>
    <row r="4162" spans="1:8" s="28" customFormat="1" x14ac:dyDescent="0.25">
      <c r="A4162" s="29"/>
      <c r="B4162" s="15"/>
      <c r="C4162" s="19"/>
      <c r="D4162" s="19"/>
      <c r="E4162" s="19"/>
      <c r="F4162" s="19"/>
      <c r="G4162" s="19"/>
      <c r="H4162" s="82"/>
    </row>
    <row r="4163" spans="1:8" s="28" customFormat="1" x14ac:dyDescent="0.25">
      <c r="A4163" s="29"/>
      <c r="B4163" s="15"/>
      <c r="C4163" s="19"/>
      <c r="D4163" s="19"/>
      <c r="E4163" s="19"/>
      <c r="F4163" s="19"/>
      <c r="G4163" s="19"/>
      <c r="H4163" s="82"/>
    </row>
    <row r="4164" spans="1:8" s="28" customFormat="1" x14ac:dyDescent="0.25">
      <c r="A4164" s="29"/>
      <c r="B4164" s="15"/>
      <c r="C4164" s="19"/>
      <c r="D4164" s="19"/>
      <c r="E4164" s="19"/>
      <c r="F4164" s="19"/>
      <c r="G4164" s="19"/>
      <c r="H4164" s="82"/>
    </row>
    <row r="4165" spans="1:8" s="28" customFormat="1" x14ac:dyDescent="0.25">
      <c r="A4165" s="29"/>
      <c r="B4165" s="15"/>
      <c r="C4165" s="19"/>
      <c r="D4165" s="19"/>
      <c r="E4165" s="19"/>
      <c r="F4165" s="19"/>
      <c r="G4165" s="19"/>
      <c r="H4165" s="82"/>
    </row>
    <row r="4166" spans="1:8" s="28" customFormat="1" x14ac:dyDescent="0.25">
      <c r="A4166" s="29"/>
      <c r="B4166" s="15"/>
      <c r="C4166" s="19"/>
      <c r="D4166" s="19"/>
      <c r="E4166" s="19"/>
      <c r="F4166" s="19"/>
      <c r="G4166" s="19"/>
      <c r="H4166" s="82"/>
    </row>
    <row r="4167" spans="1:8" s="28" customFormat="1" x14ac:dyDescent="0.25">
      <c r="A4167" s="29"/>
      <c r="B4167" s="15"/>
      <c r="C4167" s="19"/>
      <c r="D4167" s="19"/>
      <c r="E4167" s="19"/>
      <c r="F4167" s="19"/>
      <c r="G4167" s="19"/>
      <c r="H4167" s="82"/>
    </row>
    <row r="4168" spans="1:8" s="28" customFormat="1" x14ac:dyDescent="0.25">
      <c r="A4168" s="29"/>
      <c r="B4168" s="15"/>
      <c r="C4168" s="19"/>
      <c r="D4168" s="19"/>
      <c r="E4168" s="19"/>
      <c r="F4168" s="19"/>
      <c r="G4168" s="19"/>
      <c r="H4168" s="82"/>
    </row>
    <row r="4169" spans="1:8" s="28" customFormat="1" x14ac:dyDescent="0.25">
      <c r="A4169" s="29"/>
      <c r="B4169" s="15"/>
      <c r="C4169" s="19"/>
      <c r="D4169" s="19"/>
      <c r="E4169" s="19"/>
      <c r="F4169" s="19"/>
      <c r="G4169" s="19"/>
      <c r="H4169" s="82"/>
    </row>
    <row r="4170" spans="1:8" s="28" customFormat="1" x14ac:dyDescent="0.25">
      <c r="A4170" s="29"/>
      <c r="B4170" s="15"/>
      <c r="C4170" s="19"/>
      <c r="D4170" s="19"/>
      <c r="E4170" s="19"/>
      <c r="F4170" s="19"/>
      <c r="G4170" s="19"/>
      <c r="H4170" s="82"/>
    </row>
    <row r="4171" spans="1:8" s="28" customFormat="1" x14ac:dyDescent="0.25">
      <c r="A4171" s="29"/>
      <c r="B4171" s="15"/>
      <c r="C4171" s="19"/>
      <c r="D4171" s="19"/>
      <c r="E4171" s="19"/>
      <c r="F4171" s="19"/>
      <c r="G4171" s="19"/>
      <c r="H4171" s="82"/>
    </row>
    <row r="4172" spans="1:8" s="28" customFormat="1" x14ac:dyDescent="0.25">
      <c r="A4172" s="29"/>
      <c r="B4172" s="15"/>
      <c r="C4172" s="19"/>
      <c r="D4172" s="19"/>
      <c r="E4172" s="19"/>
      <c r="F4172" s="19"/>
      <c r="G4172" s="19"/>
      <c r="H4172" s="82"/>
    </row>
    <row r="4173" spans="1:8" s="28" customFormat="1" x14ac:dyDescent="0.25">
      <c r="A4173" s="29"/>
      <c r="B4173" s="15"/>
      <c r="C4173" s="19"/>
      <c r="D4173" s="19"/>
      <c r="E4173" s="19"/>
      <c r="F4173" s="19"/>
      <c r="G4173" s="19"/>
      <c r="H4173" s="82"/>
    </row>
    <row r="4174" spans="1:8" s="28" customFormat="1" x14ac:dyDescent="0.25">
      <c r="A4174" s="29"/>
      <c r="B4174" s="15"/>
      <c r="C4174" s="19"/>
      <c r="D4174" s="19"/>
      <c r="E4174" s="19"/>
      <c r="F4174" s="19"/>
      <c r="G4174" s="19"/>
      <c r="H4174" s="82"/>
    </row>
    <row r="4175" spans="1:8" s="28" customFormat="1" x14ac:dyDescent="0.25">
      <c r="A4175" s="29"/>
      <c r="B4175" s="15"/>
      <c r="C4175" s="19"/>
      <c r="D4175" s="19"/>
      <c r="E4175" s="19"/>
      <c r="F4175" s="19"/>
      <c r="G4175" s="19"/>
      <c r="H4175" s="82"/>
    </row>
    <row r="4176" spans="1:8" s="28" customFormat="1" x14ac:dyDescent="0.25">
      <c r="A4176" s="29"/>
      <c r="B4176" s="15"/>
      <c r="C4176" s="19"/>
      <c r="D4176" s="19"/>
      <c r="E4176" s="19"/>
      <c r="F4176" s="19"/>
      <c r="G4176" s="19"/>
      <c r="H4176" s="82"/>
    </row>
    <row r="4177" spans="1:8" s="28" customFormat="1" x14ac:dyDescent="0.25">
      <c r="A4177" s="29"/>
      <c r="B4177" s="15"/>
      <c r="C4177" s="19"/>
      <c r="D4177" s="19"/>
      <c r="E4177" s="19"/>
      <c r="F4177" s="19"/>
      <c r="G4177" s="19"/>
      <c r="H4177" s="82"/>
    </row>
    <row r="4178" spans="1:8" s="28" customFormat="1" x14ac:dyDescent="0.25">
      <c r="A4178" s="29"/>
      <c r="B4178" s="15"/>
      <c r="C4178" s="19"/>
      <c r="D4178" s="19"/>
      <c r="E4178" s="19"/>
      <c r="F4178" s="19"/>
      <c r="G4178" s="19"/>
      <c r="H4178" s="82"/>
    </row>
    <row r="4179" spans="1:8" s="28" customFormat="1" x14ac:dyDescent="0.25">
      <c r="A4179" s="29"/>
      <c r="B4179" s="15"/>
      <c r="C4179" s="19"/>
      <c r="D4179" s="19"/>
      <c r="E4179" s="19"/>
      <c r="F4179" s="19"/>
      <c r="G4179" s="19"/>
      <c r="H4179" s="82"/>
    </row>
    <row r="4180" spans="1:8" s="28" customFormat="1" x14ac:dyDescent="0.25">
      <c r="A4180" s="29"/>
      <c r="B4180" s="15"/>
      <c r="C4180" s="19"/>
      <c r="D4180" s="19"/>
      <c r="E4180" s="19"/>
      <c r="F4180" s="19"/>
      <c r="G4180" s="19"/>
      <c r="H4180" s="82"/>
    </row>
    <row r="4181" spans="1:8" s="28" customFormat="1" x14ac:dyDescent="0.25">
      <c r="A4181" s="29"/>
      <c r="B4181" s="15"/>
      <c r="C4181" s="19"/>
      <c r="D4181" s="19"/>
      <c r="E4181" s="19"/>
      <c r="F4181" s="19"/>
      <c r="G4181" s="19"/>
      <c r="H4181" s="82"/>
    </row>
    <row r="4182" spans="1:8" s="28" customFormat="1" x14ac:dyDescent="0.25">
      <c r="A4182" s="29"/>
      <c r="B4182" s="15"/>
      <c r="C4182" s="19"/>
      <c r="D4182" s="19"/>
      <c r="E4182" s="19"/>
      <c r="F4182" s="19"/>
      <c r="G4182" s="19"/>
      <c r="H4182" s="82"/>
    </row>
    <row r="4183" spans="1:8" s="28" customFormat="1" x14ac:dyDescent="0.25">
      <c r="A4183" s="29"/>
      <c r="B4183" s="15"/>
      <c r="C4183" s="19"/>
      <c r="D4183" s="19"/>
      <c r="E4183" s="19"/>
      <c r="F4183" s="19"/>
      <c r="G4183" s="19"/>
      <c r="H4183" s="82"/>
    </row>
    <row r="4184" spans="1:8" s="28" customFormat="1" x14ac:dyDescent="0.25">
      <c r="A4184" s="29"/>
      <c r="B4184" s="15"/>
      <c r="C4184" s="19"/>
      <c r="D4184" s="19"/>
      <c r="E4184" s="19"/>
      <c r="F4184" s="19"/>
      <c r="G4184" s="19"/>
      <c r="H4184" s="82"/>
    </row>
    <row r="4185" spans="1:8" s="28" customFormat="1" x14ac:dyDescent="0.25">
      <c r="A4185" s="29"/>
      <c r="B4185" s="15"/>
      <c r="C4185" s="19"/>
      <c r="D4185" s="19"/>
      <c r="E4185" s="19"/>
      <c r="F4185" s="19"/>
      <c r="G4185" s="19"/>
      <c r="H4185" s="82"/>
    </row>
    <row r="4186" spans="1:8" s="28" customFormat="1" x14ac:dyDescent="0.25">
      <c r="A4186" s="29"/>
      <c r="B4186" s="15"/>
      <c r="C4186" s="19"/>
      <c r="D4186" s="19"/>
      <c r="E4186" s="19"/>
      <c r="F4186" s="19"/>
      <c r="G4186" s="19"/>
      <c r="H4186" s="82"/>
    </row>
    <row r="4187" spans="1:8" s="28" customFormat="1" x14ac:dyDescent="0.25">
      <c r="A4187" s="29"/>
      <c r="B4187" s="15"/>
      <c r="C4187" s="19"/>
      <c r="D4187" s="19"/>
      <c r="E4187" s="19"/>
      <c r="F4187" s="19"/>
      <c r="G4187" s="19"/>
      <c r="H4187" s="82"/>
    </row>
    <row r="4188" spans="1:8" s="28" customFormat="1" x14ac:dyDescent="0.25">
      <c r="A4188" s="29"/>
      <c r="B4188" s="15"/>
      <c r="C4188" s="19"/>
      <c r="D4188" s="19"/>
      <c r="E4188" s="19"/>
      <c r="F4188" s="19"/>
      <c r="G4188" s="19"/>
      <c r="H4188" s="82"/>
    </row>
    <row r="4189" spans="1:8" s="28" customFormat="1" x14ac:dyDescent="0.25">
      <c r="A4189" s="29"/>
      <c r="B4189" s="15"/>
      <c r="C4189" s="19"/>
      <c r="D4189" s="19"/>
      <c r="E4189" s="19"/>
      <c r="F4189" s="19"/>
      <c r="G4189" s="19"/>
      <c r="H4189" s="82"/>
    </row>
    <row r="4190" spans="1:8" s="28" customFormat="1" x14ac:dyDescent="0.25">
      <c r="A4190" s="29"/>
      <c r="B4190" s="15"/>
      <c r="C4190" s="19"/>
      <c r="D4190" s="19"/>
      <c r="E4190" s="19"/>
      <c r="F4190" s="19"/>
      <c r="G4190" s="19"/>
      <c r="H4190" s="82"/>
    </row>
    <row r="4191" spans="1:8" s="28" customFormat="1" x14ac:dyDescent="0.25">
      <c r="A4191" s="29"/>
      <c r="B4191" s="15"/>
      <c r="C4191" s="19"/>
      <c r="D4191" s="19"/>
      <c r="E4191" s="19"/>
      <c r="F4191" s="19"/>
      <c r="G4191" s="19"/>
      <c r="H4191" s="82"/>
    </row>
    <row r="4192" spans="1:8" s="28" customFormat="1" x14ac:dyDescent="0.25">
      <c r="A4192" s="29"/>
      <c r="B4192" s="15"/>
      <c r="C4192" s="19"/>
      <c r="D4192" s="19"/>
      <c r="E4192" s="19"/>
      <c r="F4192" s="19"/>
      <c r="G4192" s="19"/>
      <c r="H4192" s="82"/>
    </row>
    <row r="4193" spans="1:8" s="28" customFormat="1" x14ac:dyDescent="0.25">
      <c r="A4193" s="29"/>
      <c r="B4193" s="15"/>
      <c r="C4193" s="19"/>
      <c r="D4193" s="19"/>
      <c r="E4193" s="19"/>
      <c r="F4193" s="19"/>
      <c r="G4193" s="19"/>
      <c r="H4193" s="82"/>
    </row>
    <row r="4194" spans="1:8" s="28" customFormat="1" x14ac:dyDescent="0.25">
      <c r="A4194" s="29"/>
      <c r="B4194" s="15"/>
      <c r="C4194" s="19"/>
      <c r="D4194" s="19"/>
      <c r="E4194" s="19"/>
      <c r="F4194" s="19"/>
      <c r="G4194" s="19"/>
      <c r="H4194" s="82"/>
    </row>
    <row r="4195" spans="1:8" s="28" customFormat="1" x14ac:dyDescent="0.25">
      <c r="A4195" s="29"/>
      <c r="B4195" s="15"/>
      <c r="C4195" s="19"/>
      <c r="D4195" s="19"/>
      <c r="E4195" s="19"/>
      <c r="F4195" s="19"/>
      <c r="G4195" s="19"/>
      <c r="H4195" s="82"/>
    </row>
    <row r="4196" spans="1:8" s="28" customFormat="1" x14ac:dyDescent="0.25">
      <c r="A4196" s="29"/>
      <c r="B4196" s="15"/>
      <c r="C4196" s="19"/>
      <c r="D4196" s="19"/>
      <c r="E4196" s="19"/>
      <c r="F4196" s="19"/>
      <c r="G4196" s="19"/>
      <c r="H4196" s="82"/>
    </row>
    <row r="4197" spans="1:8" s="28" customFormat="1" x14ac:dyDescent="0.25">
      <c r="A4197" s="29"/>
      <c r="B4197" s="15"/>
      <c r="C4197" s="19"/>
      <c r="D4197" s="19"/>
      <c r="E4197" s="19"/>
      <c r="F4197" s="19"/>
      <c r="G4197" s="19"/>
      <c r="H4197" s="82"/>
    </row>
    <row r="4198" spans="1:8" s="28" customFormat="1" x14ac:dyDescent="0.25">
      <c r="A4198" s="29"/>
      <c r="B4198" s="15"/>
      <c r="C4198" s="19"/>
      <c r="D4198" s="19"/>
      <c r="E4198" s="19"/>
      <c r="F4198" s="19"/>
      <c r="G4198" s="19"/>
      <c r="H4198" s="82"/>
    </row>
    <row r="4199" spans="1:8" s="28" customFormat="1" x14ac:dyDescent="0.25">
      <c r="A4199" s="29"/>
      <c r="B4199" s="15"/>
      <c r="C4199" s="19"/>
      <c r="D4199" s="19"/>
      <c r="E4199" s="19"/>
      <c r="F4199" s="19"/>
      <c r="G4199" s="19"/>
      <c r="H4199" s="82"/>
    </row>
    <row r="4200" spans="1:8" s="28" customFormat="1" x14ac:dyDescent="0.25">
      <c r="A4200" s="29"/>
      <c r="B4200" s="15"/>
      <c r="C4200" s="19"/>
      <c r="D4200" s="19"/>
      <c r="E4200" s="19"/>
      <c r="F4200" s="19"/>
      <c r="G4200" s="19"/>
      <c r="H4200" s="82"/>
    </row>
    <row r="4201" spans="1:8" s="28" customFormat="1" x14ac:dyDescent="0.25">
      <c r="A4201" s="29"/>
      <c r="B4201" s="15"/>
      <c r="C4201" s="19"/>
      <c r="D4201" s="19"/>
      <c r="E4201" s="19"/>
      <c r="F4201" s="19"/>
      <c r="G4201" s="19"/>
      <c r="H4201" s="82"/>
    </row>
    <row r="4202" spans="1:8" s="28" customFormat="1" x14ac:dyDescent="0.25">
      <c r="A4202" s="29"/>
      <c r="B4202" s="15"/>
      <c r="C4202" s="19"/>
      <c r="D4202" s="19"/>
      <c r="E4202" s="19"/>
      <c r="F4202" s="19"/>
      <c r="G4202" s="19"/>
      <c r="H4202" s="82"/>
    </row>
    <row r="4203" spans="1:8" s="28" customFormat="1" x14ac:dyDescent="0.25">
      <c r="A4203" s="29"/>
      <c r="B4203" s="15"/>
      <c r="C4203" s="19"/>
      <c r="D4203" s="19"/>
      <c r="E4203" s="19"/>
      <c r="F4203" s="19"/>
      <c r="G4203" s="19"/>
      <c r="H4203" s="82"/>
    </row>
    <row r="4204" spans="1:8" s="28" customFormat="1" x14ac:dyDescent="0.25">
      <c r="A4204" s="29"/>
      <c r="B4204" s="15"/>
      <c r="C4204" s="19"/>
      <c r="D4204" s="19"/>
      <c r="E4204" s="19"/>
      <c r="F4204" s="19"/>
      <c r="G4204" s="19"/>
      <c r="H4204" s="82"/>
    </row>
    <row r="4205" spans="1:8" s="28" customFormat="1" x14ac:dyDescent="0.25">
      <c r="A4205" s="29"/>
      <c r="B4205" s="15"/>
      <c r="C4205" s="19"/>
      <c r="D4205" s="19"/>
      <c r="E4205" s="19"/>
      <c r="F4205" s="19"/>
      <c r="G4205" s="19"/>
      <c r="H4205" s="82"/>
    </row>
    <row r="4206" spans="1:8" s="28" customFormat="1" x14ac:dyDescent="0.25">
      <c r="A4206" s="29"/>
      <c r="B4206" s="15"/>
      <c r="C4206" s="19"/>
      <c r="D4206" s="19"/>
      <c r="E4206" s="19"/>
      <c r="F4206" s="19"/>
      <c r="G4206" s="19"/>
      <c r="H4206" s="82"/>
    </row>
    <row r="4207" spans="1:8" s="28" customFormat="1" x14ac:dyDescent="0.25">
      <c r="A4207" s="29"/>
      <c r="B4207" s="15"/>
      <c r="C4207" s="19"/>
      <c r="D4207" s="19"/>
      <c r="E4207" s="19"/>
      <c r="F4207" s="19"/>
      <c r="G4207" s="19"/>
      <c r="H4207" s="82"/>
    </row>
    <row r="4208" spans="1:8" s="28" customFormat="1" x14ac:dyDescent="0.25">
      <c r="A4208" s="29"/>
      <c r="B4208" s="15"/>
      <c r="C4208" s="19"/>
      <c r="D4208" s="19"/>
      <c r="E4208" s="19"/>
      <c r="F4208" s="19"/>
      <c r="G4208" s="19"/>
      <c r="H4208" s="82"/>
    </row>
    <row r="4209" spans="1:8" s="28" customFormat="1" x14ac:dyDescent="0.25">
      <c r="A4209" s="29"/>
      <c r="B4209" s="15"/>
      <c r="C4209" s="19"/>
      <c r="D4209" s="19"/>
      <c r="E4209" s="19"/>
      <c r="F4209" s="19"/>
      <c r="G4209" s="19"/>
      <c r="H4209" s="82"/>
    </row>
    <row r="4210" spans="1:8" s="28" customFormat="1" x14ac:dyDescent="0.25">
      <c r="A4210" s="29"/>
      <c r="B4210" s="15"/>
      <c r="C4210" s="19"/>
      <c r="D4210" s="19"/>
      <c r="E4210" s="19"/>
      <c r="F4210" s="19"/>
      <c r="G4210" s="19"/>
      <c r="H4210" s="82"/>
    </row>
    <row r="4211" spans="1:8" s="28" customFormat="1" x14ac:dyDescent="0.25">
      <c r="A4211" s="29"/>
      <c r="B4211" s="15"/>
      <c r="C4211" s="19"/>
      <c r="D4211" s="19"/>
      <c r="E4211" s="19"/>
      <c r="F4211" s="19"/>
      <c r="G4211" s="19"/>
      <c r="H4211" s="82"/>
    </row>
    <row r="4212" spans="1:8" s="28" customFormat="1" x14ac:dyDescent="0.25">
      <c r="A4212" s="29"/>
      <c r="B4212" s="15"/>
      <c r="C4212" s="19"/>
      <c r="D4212" s="19"/>
      <c r="E4212" s="19"/>
      <c r="F4212" s="19"/>
      <c r="G4212" s="19"/>
      <c r="H4212" s="82"/>
    </row>
    <row r="4213" spans="1:8" s="28" customFormat="1" x14ac:dyDescent="0.25">
      <c r="A4213" s="29"/>
      <c r="B4213" s="15"/>
      <c r="C4213" s="19"/>
      <c r="D4213" s="19"/>
      <c r="E4213" s="19"/>
      <c r="F4213" s="19"/>
      <c r="G4213" s="19"/>
      <c r="H4213" s="82"/>
    </row>
    <row r="4214" spans="1:8" s="28" customFormat="1" x14ac:dyDescent="0.25">
      <c r="A4214" s="29"/>
      <c r="B4214" s="15"/>
      <c r="C4214" s="19"/>
      <c r="D4214" s="19"/>
      <c r="E4214" s="19"/>
      <c r="F4214" s="19"/>
      <c r="G4214" s="19"/>
      <c r="H4214" s="82"/>
    </row>
    <row r="4215" spans="1:8" s="28" customFormat="1" x14ac:dyDescent="0.25">
      <c r="A4215" s="29"/>
      <c r="B4215" s="15"/>
      <c r="C4215" s="19"/>
      <c r="D4215" s="19"/>
      <c r="E4215" s="19"/>
      <c r="F4215" s="19"/>
      <c r="G4215" s="19"/>
      <c r="H4215" s="82"/>
    </row>
    <row r="4216" spans="1:8" s="28" customFormat="1" x14ac:dyDescent="0.25">
      <c r="A4216" s="29"/>
      <c r="B4216" s="15"/>
      <c r="C4216" s="19"/>
      <c r="D4216" s="19"/>
      <c r="E4216" s="19"/>
      <c r="F4216" s="19"/>
      <c r="G4216" s="19"/>
      <c r="H4216" s="82"/>
    </row>
    <row r="4217" spans="1:8" s="28" customFormat="1" x14ac:dyDescent="0.25">
      <c r="A4217" s="29"/>
      <c r="B4217" s="15"/>
      <c r="C4217" s="19"/>
      <c r="D4217" s="19"/>
      <c r="E4217" s="19"/>
      <c r="F4217" s="19"/>
      <c r="G4217" s="19"/>
      <c r="H4217" s="82"/>
    </row>
    <row r="4218" spans="1:8" s="28" customFormat="1" x14ac:dyDescent="0.25">
      <c r="A4218" s="29"/>
      <c r="B4218" s="15"/>
      <c r="C4218" s="19"/>
      <c r="D4218" s="19"/>
      <c r="E4218" s="19"/>
      <c r="F4218" s="19"/>
      <c r="G4218" s="19"/>
      <c r="H4218" s="82"/>
    </row>
    <row r="4219" spans="1:8" s="28" customFormat="1" x14ac:dyDescent="0.25">
      <c r="A4219" s="29"/>
      <c r="B4219" s="15"/>
      <c r="C4219" s="19"/>
      <c r="D4219" s="19"/>
      <c r="E4219" s="19"/>
      <c r="F4219" s="19"/>
      <c r="G4219" s="19"/>
      <c r="H4219" s="82"/>
    </row>
    <row r="4220" spans="1:8" s="28" customFormat="1" x14ac:dyDescent="0.25">
      <c r="A4220" s="29"/>
      <c r="B4220" s="15"/>
      <c r="C4220" s="19"/>
      <c r="D4220" s="19"/>
      <c r="E4220" s="19"/>
      <c r="F4220" s="19"/>
      <c r="G4220" s="19"/>
      <c r="H4220" s="82"/>
    </row>
    <row r="4221" spans="1:8" s="28" customFormat="1" x14ac:dyDescent="0.25">
      <c r="A4221" s="29"/>
      <c r="B4221" s="15"/>
      <c r="C4221" s="19"/>
      <c r="D4221" s="19"/>
      <c r="E4221" s="19"/>
      <c r="F4221" s="19"/>
      <c r="G4221" s="19"/>
      <c r="H4221" s="82"/>
    </row>
    <row r="4222" spans="1:8" s="28" customFormat="1" x14ac:dyDescent="0.25">
      <c r="A4222" s="29"/>
      <c r="B4222" s="15"/>
      <c r="C4222" s="19"/>
      <c r="D4222" s="19"/>
      <c r="E4222" s="19"/>
      <c r="F4222" s="19"/>
      <c r="G4222" s="19"/>
      <c r="H4222" s="82"/>
    </row>
    <row r="4223" spans="1:8" s="28" customFormat="1" x14ac:dyDescent="0.25">
      <c r="A4223" s="29"/>
      <c r="B4223" s="15"/>
      <c r="C4223" s="19"/>
      <c r="D4223" s="19"/>
      <c r="E4223" s="19"/>
      <c r="F4223" s="19"/>
      <c r="G4223" s="19"/>
      <c r="H4223" s="82"/>
    </row>
    <row r="4224" spans="1:8" s="28" customFormat="1" x14ac:dyDescent="0.25">
      <c r="A4224" s="29"/>
      <c r="B4224" s="15"/>
      <c r="C4224" s="19"/>
      <c r="D4224" s="19"/>
      <c r="E4224" s="19"/>
      <c r="F4224" s="19"/>
      <c r="G4224" s="19"/>
      <c r="H4224" s="82"/>
    </row>
    <row r="4225" spans="1:8" s="28" customFormat="1" x14ac:dyDescent="0.25">
      <c r="A4225" s="29"/>
      <c r="B4225" s="15"/>
      <c r="C4225" s="19"/>
      <c r="D4225" s="19"/>
      <c r="E4225" s="19"/>
      <c r="F4225" s="19"/>
      <c r="G4225" s="19"/>
      <c r="H4225" s="82"/>
    </row>
    <row r="4226" spans="1:8" s="28" customFormat="1" x14ac:dyDescent="0.25">
      <c r="A4226" s="29"/>
      <c r="B4226" s="15"/>
      <c r="C4226" s="19"/>
      <c r="D4226" s="19"/>
      <c r="E4226" s="19"/>
      <c r="F4226" s="19"/>
      <c r="G4226" s="19"/>
      <c r="H4226" s="82"/>
    </row>
    <row r="4227" spans="1:8" s="28" customFormat="1" x14ac:dyDescent="0.25">
      <c r="A4227" s="29"/>
      <c r="B4227" s="15"/>
      <c r="C4227" s="19"/>
      <c r="D4227" s="19"/>
      <c r="E4227" s="19"/>
      <c r="F4227" s="19"/>
      <c r="G4227" s="19"/>
      <c r="H4227" s="82"/>
    </row>
    <row r="4228" spans="1:8" s="28" customFormat="1" x14ac:dyDescent="0.25">
      <c r="A4228" s="29"/>
      <c r="B4228" s="15"/>
      <c r="C4228" s="19"/>
      <c r="D4228" s="19"/>
      <c r="E4228" s="19"/>
      <c r="F4228" s="19"/>
      <c r="G4228" s="19"/>
      <c r="H4228" s="82"/>
    </row>
    <row r="4229" spans="1:8" s="28" customFormat="1" x14ac:dyDescent="0.25">
      <c r="A4229" s="29"/>
      <c r="B4229" s="15"/>
      <c r="C4229" s="19"/>
      <c r="D4229" s="19"/>
      <c r="E4229" s="19"/>
      <c r="F4229" s="19"/>
      <c r="G4229" s="19"/>
      <c r="H4229" s="82"/>
    </row>
    <row r="4230" spans="1:8" s="28" customFormat="1" x14ac:dyDescent="0.25">
      <c r="A4230" s="29"/>
      <c r="B4230" s="15"/>
      <c r="C4230" s="19"/>
      <c r="D4230" s="19"/>
      <c r="E4230" s="19"/>
      <c r="F4230" s="19"/>
      <c r="G4230" s="19"/>
      <c r="H4230" s="82"/>
    </row>
    <row r="4231" spans="1:8" s="28" customFormat="1" x14ac:dyDescent="0.25">
      <c r="A4231" s="29"/>
      <c r="B4231" s="15"/>
      <c r="C4231" s="19"/>
      <c r="D4231" s="19"/>
      <c r="E4231" s="19"/>
      <c r="F4231" s="19"/>
      <c r="G4231" s="19"/>
      <c r="H4231" s="82"/>
    </row>
    <row r="4232" spans="1:8" s="28" customFormat="1" x14ac:dyDescent="0.25">
      <c r="A4232" s="29"/>
      <c r="B4232" s="15"/>
      <c r="C4232" s="19"/>
      <c r="D4232" s="19"/>
      <c r="E4232" s="19"/>
      <c r="F4232" s="19"/>
      <c r="G4232" s="19"/>
      <c r="H4232" s="82"/>
    </row>
    <row r="4233" spans="1:8" s="28" customFormat="1" x14ac:dyDescent="0.25">
      <c r="A4233" s="29"/>
      <c r="B4233" s="15"/>
      <c r="C4233" s="19"/>
      <c r="D4233" s="19"/>
      <c r="E4233" s="19"/>
      <c r="F4233" s="19"/>
      <c r="G4233" s="19"/>
      <c r="H4233" s="82"/>
    </row>
    <row r="4234" spans="1:8" s="28" customFormat="1" x14ac:dyDescent="0.25">
      <c r="A4234" s="29"/>
      <c r="B4234" s="15"/>
      <c r="C4234" s="19"/>
      <c r="D4234" s="19"/>
      <c r="E4234" s="19"/>
      <c r="F4234" s="19"/>
      <c r="G4234" s="19"/>
      <c r="H4234" s="82"/>
    </row>
    <row r="4235" spans="1:8" s="28" customFormat="1" x14ac:dyDescent="0.25">
      <c r="A4235" s="29"/>
      <c r="B4235" s="15"/>
      <c r="C4235" s="19"/>
      <c r="D4235" s="19"/>
      <c r="E4235" s="19"/>
      <c r="F4235" s="19"/>
      <c r="G4235" s="19"/>
      <c r="H4235" s="82"/>
    </row>
    <row r="4236" spans="1:8" s="28" customFormat="1" x14ac:dyDescent="0.25">
      <c r="A4236" s="29"/>
      <c r="B4236" s="15"/>
      <c r="C4236" s="19"/>
      <c r="D4236" s="19"/>
      <c r="E4236" s="19"/>
      <c r="F4236" s="19"/>
      <c r="G4236" s="19"/>
      <c r="H4236" s="82"/>
    </row>
    <row r="4237" spans="1:8" s="28" customFormat="1" x14ac:dyDescent="0.25">
      <c r="A4237" s="29"/>
      <c r="B4237" s="15"/>
      <c r="C4237" s="19"/>
      <c r="D4237" s="19"/>
      <c r="E4237" s="19"/>
      <c r="F4237" s="19"/>
      <c r="G4237" s="19"/>
      <c r="H4237" s="82"/>
    </row>
    <row r="4238" spans="1:8" s="28" customFormat="1" x14ac:dyDescent="0.25">
      <c r="A4238" s="29"/>
      <c r="B4238" s="15"/>
      <c r="C4238" s="19"/>
      <c r="D4238" s="19"/>
      <c r="E4238" s="19"/>
      <c r="F4238" s="19"/>
      <c r="G4238" s="19"/>
      <c r="H4238" s="82"/>
    </row>
    <row r="4239" spans="1:8" s="28" customFormat="1" x14ac:dyDescent="0.25">
      <c r="A4239" s="29"/>
      <c r="B4239" s="15"/>
      <c r="C4239" s="19"/>
      <c r="D4239" s="19"/>
      <c r="E4239" s="19"/>
      <c r="F4239" s="19"/>
      <c r="G4239" s="19"/>
      <c r="H4239" s="82"/>
    </row>
    <row r="4240" spans="1:8" s="28" customFormat="1" x14ac:dyDescent="0.25">
      <c r="A4240" s="29"/>
      <c r="B4240" s="15"/>
      <c r="C4240" s="19"/>
      <c r="D4240" s="19"/>
      <c r="E4240" s="19"/>
      <c r="F4240" s="19"/>
      <c r="G4240" s="19"/>
      <c r="H4240" s="82"/>
    </row>
    <row r="4241" spans="1:8" s="28" customFormat="1" x14ac:dyDescent="0.25">
      <c r="A4241" s="29"/>
      <c r="B4241" s="15"/>
      <c r="C4241" s="19"/>
      <c r="D4241" s="19"/>
      <c r="E4241" s="19"/>
      <c r="F4241" s="19"/>
      <c r="G4241" s="19"/>
      <c r="H4241" s="82"/>
    </row>
    <row r="4242" spans="1:8" s="28" customFormat="1" x14ac:dyDescent="0.25">
      <c r="A4242" s="29"/>
      <c r="B4242" s="15"/>
      <c r="C4242" s="19"/>
      <c r="D4242" s="19"/>
      <c r="E4242" s="19"/>
      <c r="F4242" s="19"/>
      <c r="G4242" s="19"/>
      <c r="H4242" s="82"/>
    </row>
    <row r="4243" spans="1:8" s="28" customFormat="1" x14ac:dyDescent="0.25">
      <c r="A4243" s="29"/>
      <c r="B4243" s="15"/>
      <c r="C4243" s="19"/>
      <c r="D4243" s="19"/>
      <c r="E4243" s="19"/>
      <c r="F4243" s="19"/>
      <c r="G4243" s="19"/>
      <c r="H4243" s="82"/>
    </row>
    <row r="4244" spans="1:8" s="28" customFormat="1" x14ac:dyDescent="0.25">
      <c r="A4244" s="29"/>
      <c r="B4244" s="15"/>
      <c r="C4244" s="19"/>
      <c r="D4244" s="19"/>
      <c r="E4244" s="19"/>
      <c r="F4244" s="19"/>
      <c r="G4244" s="19"/>
      <c r="H4244" s="82"/>
    </row>
    <row r="4245" spans="1:8" s="28" customFormat="1" x14ac:dyDescent="0.25">
      <c r="A4245" s="29"/>
      <c r="B4245" s="15"/>
      <c r="C4245" s="19"/>
      <c r="D4245" s="19"/>
      <c r="E4245" s="19"/>
      <c r="F4245" s="19"/>
      <c r="G4245" s="19"/>
      <c r="H4245" s="82"/>
    </row>
    <row r="4246" spans="1:8" s="28" customFormat="1" x14ac:dyDescent="0.25">
      <c r="A4246" s="29"/>
      <c r="B4246" s="15"/>
      <c r="C4246" s="19"/>
      <c r="D4246" s="19"/>
      <c r="E4246" s="19"/>
      <c r="F4246" s="19"/>
      <c r="G4246" s="19"/>
      <c r="H4246" s="82"/>
    </row>
    <row r="4247" spans="1:8" s="28" customFormat="1" x14ac:dyDescent="0.25">
      <c r="A4247" s="29"/>
      <c r="B4247" s="15"/>
      <c r="C4247" s="19"/>
      <c r="D4247" s="19"/>
      <c r="E4247" s="19"/>
      <c r="F4247" s="19"/>
      <c r="G4247" s="19"/>
      <c r="H4247" s="82"/>
    </row>
    <row r="4248" spans="1:8" s="28" customFormat="1" x14ac:dyDescent="0.25">
      <c r="A4248" s="29"/>
      <c r="B4248" s="15"/>
      <c r="C4248" s="19"/>
      <c r="D4248" s="19"/>
      <c r="E4248" s="19"/>
      <c r="F4248" s="19"/>
      <c r="G4248" s="19"/>
      <c r="H4248" s="82"/>
    </row>
    <row r="4249" spans="1:8" s="28" customFormat="1" x14ac:dyDescent="0.25">
      <c r="A4249" s="29"/>
      <c r="B4249" s="15"/>
      <c r="C4249" s="19"/>
      <c r="D4249" s="19"/>
      <c r="E4249" s="19"/>
      <c r="F4249" s="19"/>
      <c r="G4249" s="19"/>
      <c r="H4249" s="82"/>
    </row>
    <row r="4250" spans="1:8" s="28" customFormat="1" x14ac:dyDescent="0.25">
      <c r="A4250" s="29"/>
      <c r="B4250" s="15"/>
      <c r="C4250" s="19"/>
      <c r="D4250" s="19"/>
      <c r="E4250" s="19"/>
      <c r="F4250" s="19"/>
      <c r="G4250" s="19"/>
      <c r="H4250" s="82"/>
    </row>
    <row r="4251" spans="1:8" s="28" customFormat="1" x14ac:dyDescent="0.25">
      <c r="A4251" s="29"/>
      <c r="B4251" s="15"/>
      <c r="C4251" s="19"/>
      <c r="D4251" s="19"/>
      <c r="E4251" s="19"/>
      <c r="F4251" s="19"/>
      <c r="G4251" s="19"/>
      <c r="H4251" s="82"/>
    </row>
    <row r="4252" spans="1:8" s="28" customFormat="1" x14ac:dyDescent="0.25">
      <c r="A4252" s="29"/>
      <c r="B4252" s="15"/>
      <c r="C4252" s="19"/>
      <c r="D4252" s="19"/>
      <c r="E4252" s="19"/>
      <c r="F4252" s="19"/>
      <c r="G4252" s="19"/>
      <c r="H4252" s="82"/>
    </row>
    <row r="4253" spans="1:8" s="28" customFormat="1" x14ac:dyDescent="0.25">
      <c r="A4253" s="29"/>
      <c r="B4253" s="15"/>
      <c r="C4253" s="19"/>
      <c r="D4253" s="19"/>
      <c r="E4253" s="19"/>
      <c r="F4253" s="19"/>
      <c r="G4253" s="19"/>
      <c r="H4253" s="82"/>
    </row>
    <row r="4254" spans="1:8" s="28" customFormat="1" x14ac:dyDescent="0.25">
      <c r="A4254" s="29"/>
      <c r="B4254" s="15"/>
      <c r="C4254" s="19"/>
      <c r="D4254" s="19"/>
      <c r="E4254" s="19"/>
      <c r="F4254" s="19"/>
      <c r="G4254" s="19"/>
      <c r="H4254" s="82"/>
    </row>
    <row r="4255" spans="1:8" s="28" customFormat="1" x14ac:dyDescent="0.25">
      <c r="A4255" s="29"/>
      <c r="B4255" s="15"/>
      <c r="C4255" s="19"/>
      <c r="D4255" s="19"/>
      <c r="E4255" s="19"/>
      <c r="F4255" s="19"/>
      <c r="G4255" s="19"/>
      <c r="H4255" s="82"/>
    </row>
    <row r="4256" spans="1:8" s="28" customFormat="1" x14ac:dyDescent="0.25">
      <c r="A4256" s="29"/>
      <c r="B4256" s="15"/>
      <c r="C4256" s="19"/>
      <c r="D4256" s="19"/>
      <c r="E4256" s="19"/>
      <c r="F4256" s="19"/>
      <c r="G4256" s="19"/>
      <c r="H4256" s="82"/>
    </row>
    <row r="4257" spans="1:8" s="28" customFormat="1" x14ac:dyDescent="0.25">
      <c r="A4257" s="29"/>
      <c r="B4257" s="15"/>
      <c r="C4257" s="19"/>
      <c r="D4257" s="19"/>
      <c r="E4257" s="19"/>
      <c r="F4257" s="19"/>
      <c r="G4257" s="19"/>
      <c r="H4257" s="82"/>
    </row>
    <row r="4258" spans="1:8" s="28" customFormat="1" x14ac:dyDescent="0.25">
      <c r="A4258" s="29"/>
      <c r="B4258" s="15"/>
      <c r="C4258" s="19"/>
      <c r="D4258" s="19"/>
      <c r="E4258" s="19"/>
      <c r="F4258" s="19"/>
      <c r="G4258" s="19"/>
      <c r="H4258" s="82"/>
    </row>
    <row r="4259" spans="1:8" s="28" customFormat="1" x14ac:dyDescent="0.25">
      <c r="A4259" s="29"/>
      <c r="B4259" s="15"/>
      <c r="C4259" s="19"/>
      <c r="D4259" s="19"/>
      <c r="E4259" s="19"/>
      <c r="F4259" s="19"/>
      <c r="G4259" s="19"/>
      <c r="H4259" s="82"/>
    </row>
    <row r="4260" spans="1:8" s="28" customFormat="1" x14ac:dyDescent="0.25">
      <c r="A4260" s="29"/>
      <c r="B4260" s="15"/>
      <c r="C4260" s="19"/>
      <c r="D4260" s="19"/>
      <c r="E4260" s="19"/>
      <c r="F4260" s="19"/>
      <c r="G4260" s="19"/>
      <c r="H4260" s="82"/>
    </row>
    <row r="4261" spans="1:8" s="28" customFormat="1" x14ac:dyDescent="0.25">
      <c r="A4261" s="29"/>
      <c r="B4261" s="15"/>
      <c r="C4261" s="19"/>
      <c r="D4261" s="19"/>
      <c r="E4261" s="19"/>
      <c r="F4261" s="19"/>
      <c r="G4261" s="19"/>
      <c r="H4261" s="82"/>
    </row>
    <row r="4262" spans="1:8" s="28" customFormat="1" x14ac:dyDescent="0.25">
      <c r="A4262" s="29"/>
      <c r="B4262" s="15"/>
      <c r="C4262" s="19"/>
      <c r="D4262" s="19"/>
      <c r="E4262" s="19"/>
      <c r="F4262" s="19"/>
      <c r="G4262" s="19"/>
      <c r="H4262" s="82"/>
    </row>
    <row r="4263" spans="1:8" s="28" customFormat="1" x14ac:dyDescent="0.25">
      <c r="A4263" s="29"/>
      <c r="B4263" s="15"/>
      <c r="C4263" s="19"/>
      <c r="D4263" s="19"/>
      <c r="E4263" s="19"/>
      <c r="F4263" s="19"/>
      <c r="G4263" s="19"/>
      <c r="H4263" s="82"/>
    </row>
    <row r="4264" spans="1:8" s="28" customFormat="1" x14ac:dyDescent="0.25">
      <c r="A4264" s="29"/>
      <c r="B4264" s="15"/>
      <c r="C4264" s="19"/>
      <c r="D4264" s="19"/>
      <c r="E4264" s="19"/>
      <c r="F4264" s="19"/>
      <c r="G4264" s="19"/>
      <c r="H4264" s="82"/>
    </row>
    <row r="4265" spans="1:8" s="28" customFormat="1" x14ac:dyDescent="0.25">
      <c r="A4265" s="29"/>
      <c r="B4265" s="15"/>
      <c r="C4265" s="19"/>
      <c r="D4265" s="19"/>
      <c r="E4265" s="19"/>
      <c r="F4265" s="19"/>
      <c r="G4265" s="19"/>
      <c r="H4265" s="82"/>
    </row>
    <row r="4266" spans="1:8" s="28" customFormat="1" x14ac:dyDescent="0.25">
      <c r="A4266" s="29"/>
      <c r="B4266" s="15"/>
      <c r="C4266" s="19"/>
      <c r="D4266" s="19"/>
      <c r="E4266" s="19"/>
      <c r="F4266" s="19"/>
      <c r="G4266" s="19"/>
      <c r="H4266" s="82"/>
    </row>
    <row r="4267" spans="1:8" s="28" customFormat="1" x14ac:dyDescent="0.25">
      <c r="A4267" s="29"/>
      <c r="B4267" s="15"/>
      <c r="C4267" s="19"/>
      <c r="D4267" s="19"/>
      <c r="E4267" s="19"/>
      <c r="F4267" s="19"/>
      <c r="G4267" s="19"/>
      <c r="H4267" s="82"/>
    </row>
    <row r="4268" spans="1:8" s="28" customFormat="1" x14ac:dyDescent="0.25">
      <c r="A4268" s="29"/>
      <c r="B4268" s="15"/>
      <c r="C4268" s="19"/>
      <c r="D4268" s="19"/>
      <c r="E4268" s="19"/>
      <c r="F4268" s="19"/>
      <c r="G4268" s="19"/>
      <c r="H4268" s="82"/>
    </row>
    <row r="4269" spans="1:8" s="28" customFormat="1" x14ac:dyDescent="0.25">
      <c r="A4269" s="29"/>
      <c r="B4269" s="15"/>
      <c r="C4269" s="19"/>
      <c r="D4269" s="19"/>
      <c r="E4269" s="19"/>
      <c r="F4269" s="19"/>
      <c r="G4269" s="19"/>
      <c r="H4269" s="82"/>
    </row>
    <row r="4270" spans="1:8" s="28" customFormat="1" x14ac:dyDescent="0.25">
      <c r="A4270" s="29"/>
      <c r="B4270" s="15"/>
      <c r="C4270" s="19"/>
      <c r="D4270" s="19"/>
      <c r="E4270" s="19"/>
      <c r="F4270" s="19"/>
      <c r="G4270" s="19"/>
      <c r="H4270" s="82"/>
    </row>
    <row r="4271" spans="1:8" s="28" customFormat="1" x14ac:dyDescent="0.25">
      <c r="A4271" s="29"/>
      <c r="B4271" s="15"/>
      <c r="C4271" s="19"/>
      <c r="D4271" s="19"/>
      <c r="E4271" s="19"/>
      <c r="F4271" s="19"/>
      <c r="G4271" s="19"/>
      <c r="H4271" s="82"/>
    </row>
    <row r="4272" spans="1:8" s="28" customFormat="1" x14ac:dyDescent="0.25">
      <c r="A4272" s="29"/>
      <c r="B4272" s="15"/>
      <c r="C4272" s="19"/>
      <c r="D4272" s="19"/>
      <c r="E4272" s="19"/>
      <c r="F4272" s="19"/>
      <c r="G4272" s="19"/>
      <c r="H4272" s="82"/>
    </row>
    <row r="4273" spans="1:8" s="28" customFormat="1" x14ac:dyDescent="0.25">
      <c r="A4273" s="29"/>
      <c r="B4273" s="15"/>
      <c r="C4273" s="19"/>
      <c r="D4273" s="19"/>
      <c r="E4273" s="19"/>
      <c r="F4273" s="19"/>
      <c r="G4273" s="19"/>
      <c r="H4273" s="82"/>
    </row>
    <row r="4274" spans="1:8" s="28" customFormat="1" x14ac:dyDescent="0.25">
      <c r="A4274" s="29"/>
      <c r="B4274" s="15"/>
      <c r="C4274" s="19"/>
      <c r="D4274" s="19"/>
      <c r="E4274" s="19"/>
      <c r="F4274" s="19"/>
      <c r="G4274" s="19"/>
      <c r="H4274" s="82"/>
    </row>
    <row r="4275" spans="1:8" s="28" customFormat="1" x14ac:dyDescent="0.25">
      <c r="A4275" s="29"/>
      <c r="B4275" s="15"/>
      <c r="C4275" s="19"/>
      <c r="D4275" s="19"/>
      <c r="E4275" s="19"/>
      <c r="F4275" s="19"/>
      <c r="G4275" s="19"/>
      <c r="H4275" s="82"/>
    </row>
    <row r="4276" spans="1:8" s="28" customFormat="1" x14ac:dyDescent="0.25">
      <c r="A4276" s="29"/>
      <c r="B4276" s="15"/>
      <c r="C4276" s="19"/>
      <c r="D4276" s="19"/>
      <c r="E4276" s="19"/>
      <c r="F4276" s="19"/>
      <c r="G4276" s="19"/>
      <c r="H4276" s="82"/>
    </row>
    <row r="4277" spans="1:8" s="28" customFormat="1" x14ac:dyDescent="0.25">
      <c r="A4277" s="29"/>
      <c r="B4277" s="15"/>
      <c r="C4277" s="19"/>
      <c r="D4277" s="19"/>
      <c r="E4277" s="19"/>
      <c r="F4277" s="19"/>
      <c r="G4277" s="19"/>
      <c r="H4277" s="82"/>
    </row>
    <row r="4278" spans="1:8" s="28" customFormat="1" x14ac:dyDescent="0.25">
      <c r="A4278" s="29"/>
      <c r="B4278" s="15"/>
      <c r="C4278" s="19"/>
      <c r="D4278" s="19"/>
      <c r="E4278" s="19"/>
      <c r="F4278" s="19"/>
      <c r="G4278" s="19"/>
      <c r="H4278" s="82"/>
    </row>
    <row r="4279" spans="1:8" s="28" customFormat="1" x14ac:dyDescent="0.25">
      <c r="A4279" s="29"/>
      <c r="B4279" s="15"/>
      <c r="C4279" s="19"/>
      <c r="D4279" s="19"/>
      <c r="E4279" s="19"/>
      <c r="F4279" s="19"/>
      <c r="G4279" s="19"/>
      <c r="H4279" s="82"/>
    </row>
    <row r="4280" spans="1:8" s="28" customFormat="1" x14ac:dyDescent="0.25">
      <c r="A4280" s="29"/>
      <c r="B4280" s="15"/>
      <c r="C4280" s="19"/>
      <c r="D4280" s="19"/>
      <c r="E4280" s="19"/>
      <c r="F4280" s="19"/>
      <c r="G4280" s="19"/>
      <c r="H4280" s="82"/>
    </row>
    <row r="4281" spans="1:8" s="28" customFormat="1" x14ac:dyDescent="0.25">
      <c r="A4281" s="29"/>
      <c r="B4281" s="15"/>
      <c r="C4281" s="19"/>
      <c r="D4281" s="19"/>
      <c r="E4281" s="19"/>
      <c r="F4281" s="19"/>
      <c r="G4281" s="19"/>
      <c r="H4281" s="82"/>
    </row>
    <row r="4282" spans="1:8" s="28" customFormat="1" x14ac:dyDescent="0.25">
      <c r="A4282" s="29"/>
      <c r="B4282" s="15"/>
      <c r="C4282" s="19"/>
      <c r="D4282" s="19"/>
      <c r="E4282" s="19"/>
      <c r="F4282" s="19"/>
      <c r="G4282" s="19"/>
      <c r="H4282" s="82"/>
    </row>
    <row r="4283" spans="1:8" s="28" customFormat="1" x14ac:dyDescent="0.25">
      <c r="A4283" s="29"/>
      <c r="B4283" s="15"/>
      <c r="C4283" s="19"/>
      <c r="D4283" s="19"/>
      <c r="E4283" s="19"/>
      <c r="F4283" s="19"/>
      <c r="G4283" s="19"/>
      <c r="H4283" s="82"/>
    </row>
    <row r="4284" spans="1:8" s="28" customFormat="1" x14ac:dyDescent="0.25">
      <c r="A4284" s="29"/>
      <c r="B4284" s="15"/>
      <c r="C4284" s="19"/>
      <c r="D4284" s="19"/>
      <c r="E4284" s="19"/>
      <c r="F4284" s="19"/>
      <c r="G4284" s="19"/>
      <c r="H4284" s="82"/>
    </row>
    <row r="4285" spans="1:8" s="28" customFormat="1" x14ac:dyDescent="0.25">
      <c r="A4285" s="29"/>
      <c r="B4285" s="15"/>
      <c r="C4285" s="19"/>
      <c r="D4285" s="19"/>
      <c r="E4285" s="19"/>
      <c r="F4285" s="19"/>
      <c r="G4285" s="19"/>
      <c r="H4285" s="82"/>
    </row>
    <row r="4286" spans="1:8" s="28" customFormat="1" x14ac:dyDescent="0.25">
      <c r="A4286" s="29"/>
      <c r="B4286" s="15"/>
      <c r="C4286" s="19"/>
      <c r="D4286" s="19"/>
      <c r="E4286" s="19"/>
      <c r="F4286" s="19"/>
      <c r="G4286" s="19"/>
      <c r="H4286" s="82"/>
    </row>
    <row r="4287" spans="1:8" s="28" customFormat="1" x14ac:dyDescent="0.25">
      <c r="A4287" s="29"/>
      <c r="B4287" s="15"/>
      <c r="C4287" s="19"/>
      <c r="D4287" s="19"/>
      <c r="E4287" s="19"/>
      <c r="F4287" s="19"/>
      <c r="G4287" s="19"/>
      <c r="H4287" s="82"/>
    </row>
    <row r="4288" spans="1:8" s="28" customFormat="1" x14ac:dyDescent="0.25">
      <c r="A4288" s="29"/>
      <c r="B4288" s="15"/>
      <c r="C4288" s="19"/>
      <c r="D4288" s="19"/>
      <c r="E4288" s="19"/>
      <c r="F4288" s="19"/>
      <c r="G4288" s="19"/>
      <c r="H4288" s="82"/>
    </row>
    <row r="4289" spans="1:8" s="28" customFormat="1" x14ac:dyDescent="0.25">
      <c r="A4289" s="29"/>
      <c r="B4289" s="15"/>
      <c r="C4289" s="19"/>
      <c r="D4289" s="19"/>
      <c r="E4289" s="19"/>
      <c r="F4289" s="19"/>
      <c r="G4289" s="19"/>
      <c r="H4289" s="82"/>
    </row>
    <row r="4290" spans="1:8" s="28" customFormat="1" x14ac:dyDescent="0.25">
      <c r="A4290" s="29"/>
      <c r="B4290" s="15"/>
      <c r="C4290" s="19"/>
      <c r="D4290" s="19"/>
      <c r="E4290" s="19"/>
      <c r="F4290" s="19"/>
      <c r="G4290" s="19"/>
      <c r="H4290" s="82"/>
    </row>
    <row r="4291" spans="1:8" s="28" customFormat="1" x14ac:dyDescent="0.25">
      <c r="A4291" s="29"/>
      <c r="B4291" s="15"/>
      <c r="C4291" s="19"/>
      <c r="D4291" s="19"/>
      <c r="E4291" s="19"/>
      <c r="F4291" s="19"/>
      <c r="G4291" s="19"/>
      <c r="H4291" s="82"/>
    </row>
    <row r="4292" spans="1:8" s="28" customFormat="1" x14ac:dyDescent="0.25">
      <c r="A4292" s="29"/>
      <c r="B4292" s="15"/>
      <c r="C4292" s="19"/>
      <c r="D4292" s="19"/>
      <c r="E4292" s="19"/>
      <c r="F4292" s="19"/>
      <c r="G4292" s="19"/>
      <c r="H4292" s="82"/>
    </row>
    <row r="4293" spans="1:8" s="28" customFormat="1" x14ac:dyDescent="0.25">
      <c r="A4293" s="29"/>
      <c r="B4293" s="15"/>
      <c r="C4293" s="19"/>
      <c r="D4293" s="19"/>
      <c r="E4293" s="19"/>
      <c r="F4293" s="19"/>
      <c r="G4293" s="19"/>
      <c r="H4293" s="82"/>
    </row>
    <row r="4294" spans="1:8" s="28" customFormat="1" x14ac:dyDescent="0.25">
      <c r="A4294" s="29"/>
      <c r="B4294" s="15"/>
      <c r="C4294" s="19"/>
      <c r="D4294" s="19"/>
      <c r="E4294" s="19"/>
      <c r="F4294" s="19"/>
      <c r="G4294" s="19"/>
      <c r="H4294" s="82"/>
    </row>
    <row r="4295" spans="1:8" s="28" customFormat="1" x14ac:dyDescent="0.25">
      <c r="A4295" s="29"/>
      <c r="B4295" s="15"/>
      <c r="C4295" s="19"/>
      <c r="D4295" s="19"/>
      <c r="E4295" s="19"/>
      <c r="F4295" s="19"/>
      <c r="G4295" s="19"/>
      <c r="H4295" s="82"/>
    </row>
    <row r="4296" spans="1:8" s="28" customFormat="1" x14ac:dyDescent="0.25">
      <c r="A4296" s="29"/>
      <c r="B4296" s="15"/>
      <c r="C4296" s="19"/>
      <c r="D4296" s="19"/>
      <c r="E4296" s="19"/>
      <c r="F4296" s="19"/>
      <c r="G4296" s="19"/>
      <c r="H4296" s="82"/>
    </row>
    <row r="4297" spans="1:8" s="28" customFormat="1" x14ac:dyDescent="0.25">
      <c r="A4297" s="29"/>
      <c r="B4297" s="15"/>
      <c r="C4297" s="19"/>
      <c r="D4297" s="19"/>
      <c r="E4297" s="19"/>
      <c r="F4297" s="19"/>
      <c r="G4297" s="19"/>
      <c r="H4297" s="82"/>
    </row>
    <row r="4298" spans="1:8" s="28" customFormat="1" x14ac:dyDescent="0.25">
      <c r="A4298" s="29"/>
      <c r="B4298" s="15"/>
      <c r="C4298" s="19"/>
      <c r="D4298" s="19"/>
      <c r="E4298" s="19"/>
      <c r="F4298" s="19"/>
      <c r="G4298" s="19"/>
      <c r="H4298" s="82"/>
    </row>
    <row r="4299" spans="1:8" s="28" customFormat="1" x14ac:dyDescent="0.25">
      <c r="A4299" s="29"/>
      <c r="B4299" s="15"/>
      <c r="C4299" s="19"/>
      <c r="D4299" s="19"/>
      <c r="E4299" s="19"/>
      <c r="F4299" s="19"/>
      <c r="G4299" s="19"/>
      <c r="H4299" s="82"/>
    </row>
    <row r="4300" spans="1:8" s="28" customFormat="1" x14ac:dyDescent="0.25">
      <c r="A4300" s="29"/>
      <c r="B4300" s="15"/>
      <c r="C4300" s="19"/>
      <c r="D4300" s="19"/>
      <c r="E4300" s="19"/>
      <c r="F4300" s="19"/>
      <c r="G4300" s="19"/>
      <c r="H4300" s="82"/>
    </row>
    <row r="4301" spans="1:8" s="28" customFormat="1" x14ac:dyDescent="0.25">
      <c r="A4301" s="29"/>
      <c r="B4301" s="15"/>
      <c r="C4301" s="19"/>
      <c r="D4301" s="19"/>
      <c r="E4301" s="19"/>
      <c r="F4301" s="19"/>
      <c r="G4301" s="19"/>
      <c r="H4301" s="82"/>
    </row>
    <row r="4302" spans="1:8" s="28" customFormat="1" x14ac:dyDescent="0.25">
      <c r="A4302" s="29"/>
      <c r="B4302" s="15"/>
      <c r="C4302" s="19"/>
      <c r="D4302" s="19"/>
      <c r="E4302" s="19"/>
      <c r="F4302" s="19"/>
      <c r="G4302" s="19"/>
      <c r="H4302" s="82"/>
    </row>
    <row r="4303" spans="1:8" s="28" customFormat="1" x14ac:dyDescent="0.25">
      <c r="A4303" s="29"/>
      <c r="B4303" s="15"/>
      <c r="C4303" s="19"/>
      <c r="D4303" s="19"/>
      <c r="E4303" s="19"/>
      <c r="F4303" s="19"/>
      <c r="G4303" s="19"/>
      <c r="H4303" s="82"/>
    </row>
    <row r="4304" spans="1:8" s="28" customFormat="1" x14ac:dyDescent="0.25">
      <c r="A4304" s="29"/>
      <c r="B4304" s="15"/>
      <c r="C4304" s="19"/>
      <c r="D4304" s="19"/>
      <c r="E4304" s="19"/>
      <c r="F4304" s="19"/>
      <c r="G4304" s="19"/>
      <c r="H4304" s="82"/>
    </row>
    <row r="4305" spans="1:8" s="28" customFormat="1" x14ac:dyDescent="0.25">
      <c r="A4305" s="29"/>
      <c r="B4305" s="15"/>
      <c r="C4305" s="19"/>
      <c r="D4305" s="19"/>
      <c r="E4305" s="19"/>
      <c r="F4305" s="19"/>
      <c r="G4305" s="19"/>
      <c r="H4305" s="82"/>
    </row>
    <row r="4306" spans="1:8" s="28" customFormat="1" x14ac:dyDescent="0.25">
      <c r="A4306" s="29"/>
      <c r="B4306" s="15"/>
      <c r="C4306" s="19"/>
      <c r="D4306" s="19"/>
      <c r="E4306" s="19"/>
      <c r="F4306" s="19"/>
      <c r="G4306" s="19"/>
      <c r="H4306" s="82"/>
    </row>
    <row r="4307" spans="1:8" s="28" customFormat="1" x14ac:dyDescent="0.25">
      <c r="A4307" s="29"/>
      <c r="B4307" s="15"/>
      <c r="C4307" s="19"/>
      <c r="D4307" s="19"/>
      <c r="E4307" s="19"/>
      <c r="F4307" s="19"/>
      <c r="G4307" s="19"/>
      <c r="H4307" s="82"/>
    </row>
    <row r="4308" spans="1:8" s="28" customFormat="1" x14ac:dyDescent="0.25">
      <c r="A4308" s="29"/>
      <c r="B4308" s="15"/>
      <c r="C4308" s="19"/>
      <c r="D4308" s="19"/>
      <c r="E4308" s="19"/>
      <c r="F4308" s="19"/>
      <c r="G4308" s="19"/>
      <c r="H4308" s="82"/>
    </row>
    <row r="4309" spans="1:8" s="28" customFormat="1" x14ac:dyDescent="0.25">
      <c r="A4309" s="29"/>
      <c r="B4309" s="15"/>
      <c r="C4309" s="19"/>
      <c r="D4309" s="19"/>
      <c r="E4309" s="19"/>
      <c r="F4309" s="19"/>
      <c r="G4309" s="19"/>
      <c r="H4309" s="82"/>
    </row>
    <row r="4310" spans="1:8" s="28" customFormat="1" x14ac:dyDescent="0.25">
      <c r="A4310" s="29"/>
      <c r="B4310" s="15"/>
      <c r="C4310" s="19"/>
      <c r="D4310" s="19"/>
      <c r="E4310" s="19"/>
      <c r="F4310" s="19"/>
      <c r="G4310" s="19"/>
      <c r="H4310" s="82"/>
    </row>
    <row r="4311" spans="1:8" s="28" customFormat="1" x14ac:dyDescent="0.25">
      <c r="A4311" s="29"/>
      <c r="B4311" s="15"/>
      <c r="C4311" s="19"/>
      <c r="D4311" s="19"/>
      <c r="E4311" s="19"/>
      <c r="F4311" s="19"/>
      <c r="G4311" s="19"/>
      <c r="H4311" s="82"/>
    </row>
    <row r="4312" spans="1:8" s="28" customFormat="1" x14ac:dyDescent="0.25">
      <c r="A4312" s="29"/>
      <c r="B4312" s="15"/>
      <c r="C4312" s="19"/>
      <c r="D4312" s="19"/>
      <c r="E4312" s="19"/>
      <c r="F4312" s="19"/>
      <c r="G4312" s="19"/>
      <c r="H4312" s="82"/>
    </row>
    <row r="4313" spans="1:8" s="28" customFormat="1" x14ac:dyDescent="0.25">
      <c r="A4313" s="29"/>
      <c r="B4313" s="15"/>
      <c r="C4313" s="19"/>
      <c r="D4313" s="19"/>
      <c r="E4313" s="19"/>
      <c r="F4313" s="19"/>
      <c r="G4313" s="19"/>
      <c r="H4313" s="82"/>
    </row>
    <row r="4314" spans="1:8" s="28" customFormat="1" x14ac:dyDescent="0.25">
      <c r="A4314" s="29"/>
      <c r="B4314" s="15"/>
      <c r="C4314" s="19"/>
      <c r="D4314" s="19"/>
      <c r="E4314" s="19"/>
      <c r="F4314" s="19"/>
      <c r="G4314" s="19"/>
      <c r="H4314" s="82"/>
    </row>
    <row r="4315" spans="1:8" s="28" customFormat="1" x14ac:dyDescent="0.25">
      <c r="A4315" s="29"/>
      <c r="B4315" s="15"/>
      <c r="C4315" s="19"/>
      <c r="D4315" s="19"/>
      <c r="E4315" s="19"/>
      <c r="F4315" s="19"/>
      <c r="G4315" s="19"/>
      <c r="H4315" s="82"/>
    </row>
    <row r="4316" spans="1:8" s="28" customFormat="1" x14ac:dyDescent="0.25">
      <c r="A4316" s="29"/>
      <c r="B4316" s="15"/>
      <c r="C4316" s="19"/>
      <c r="D4316" s="19"/>
      <c r="E4316" s="19"/>
      <c r="F4316" s="19"/>
      <c r="G4316" s="19"/>
      <c r="H4316" s="82"/>
    </row>
    <row r="4317" spans="1:8" s="28" customFormat="1" x14ac:dyDescent="0.25">
      <c r="A4317" s="29"/>
      <c r="B4317" s="15"/>
      <c r="C4317" s="19"/>
      <c r="D4317" s="19"/>
      <c r="E4317" s="19"/>
      <c r="F4317" s="19"/>
      <c r="G4317" s="19"/>
      <c r="H4317" s="82"/>
    </row>
    <row r="4318" spans="1:8" s="28" customFormat="1" x14ac:dyDescent="0.25">
      <c r="A4318" s="29"/>
      <c r="B4318" s="15"/>
      <c r="C4318" s="19"/>
      <c r="D4318" s="19"/>
      <c r="E4318" s="19"/>
      <c r="F4318" s="19"/>
      <c r="G4318" s="19"/>
      <c r="H4318" s="82"/>
    </row>
    <row r="4319" spans="1:8" s="28" customFormat="1" x14ac:dyDescent="0.25">
      <c r="A4319" s="29"/>
      <c r="B4319" s="15"/>
      <c r="C4319" s="19"/>
      <c r="D4319" s="19"/>
      <c r="E4319" s="19"/>
      <c r="F4319" s="19"/>
      <c r="G4319" s="19"/>
      <c r="H4319" s="82"/>
    </row>
    <row r="4320" spans="1:8" s="28" customFormat="1" x14ac:dyDescent="0.25">
      <c r="A4320" s="29"/>
      <c r="B4320" s="15"/>
      <c r="C4320" s="19"/>
      <c r="D4320" s="19"/>
      <c r="E4320" s="19"/>
      <c r="F4320" s="19"/>
      <c r="G4320" s="19"/>
      <c r="H4320" s="82"/>
    </row>
    <row r="4321" spans="1:8" s="28" customFormat="1" x14ac:dyDescent="0.25">
      <c r="A4321" s="29"/>
      <c r="B4321" s="15"/>
      <c r="C4321" s="19"/>
      <c r="D4321" s="19"/>
      <c r="E4321" s="19"/>
      <c r="F4321" s="19"/>
      <c r="G4321" s="19"/>
      <c r="H4321" s="82"/>
    </row>
    <row r="4322" spans="1:8" s="28" customFormat="1" x14ac:dyDescent="0.25">
      <c r="A4322" s="29"/>
      <c r="B4322" s="15"/>
      <c r="C4322" s="19"/>
      <c r="D4322" s="19"/>
      <c r="E4322" s="19"/>
      <c r="F4322" s="19"/>
      <c r="G4322" s="19"/>
      <c r="H4322" s="82"/>
    </row>
    <row r="4323" spans="1:8" s="28" customFormat="1" x14ac:dyDescent="0.25">
      <c r="A4323" s="29"/>
      <c r="B4323" s="15"/>
      <c r="C4323" s="19"/>
      <c r="D4323" s="19"/>
      <c r="E4323" s="19"/>
      <c r="F4323" s="19"/>
      <c r="G4323" s="19"/>
      <c r="H4323" s="82"/>
    </row>
    <row r="4324" spans="1:8" s="28" customFormat="1" x14ac:dyDescent="0.25">
      <c r="A4324" s="29"/>
      <c r="B4324" s="15"/>
      <c r="C4324" s="19"/>
      <c r="D4324" s="19"/>
      <c r="E4324" s="19"/>
      <c r="F4324" s="19"/>
      <c r="G4324" s="19"/>
      <c r="H4324" s="82"/>
    </row>
    <row r="4325" spans="1:8" s="28" customFormat="1" x14ac:dyDescent="0.25">
      <c r="A4325" s="29"/>
      <c r="B4325" s="15"/>
      <c r="C4325" s="19"/>
      <c r="D4325" s="19"/>
      <c r="E4325" s="19"/>
      <c r="F4325" s="19"/>
      <c r="G4325" s="19"/>
      <c r="H4325" s="82"/>
    </row>
    <row r="4326" spans="1:8" s="28" customFormat="1" x14ac:dyDescent="0.25">
      <c r="A4326" s="29"/>
      <c r="B4326" s="15"/>
      <c r="C4326" s="19"/>
      <c r="D4326" s="19"/>
      <c r="E4326" s="19"/>
      <c r="F4326" s="19"/>
      <c r="G4326" s="19"/>
      <c r="H4326" s="82"/>
    </row>
    <row r="4327" spans="1:8" s="28" customFormat="1" x14ac:dyDescent="0.25">
      <c r="A4327" s="29"/>
      <c r="B4327" s="15"/>
      <c r="C4327" s="19"/>
      <c r="D4327" s="19"/>
      <c r="E4327" s="19"/>
      <c r="F4327" s="19"/>
      <c r="G4327" s="19"/>
      <c r="H4327" s="82"/>
    </row>
    <row r="4328" spans="1:8" s="28" customFormat="1" x14ac:dyDescent="0.25">
      <c r="A4328" s="29"/>
      <c r="B4328" s="15"/>
      <c r="C4328" s="19"/>
      <c r="D4328" s="19"/>
      <c r="E4328" s="19"/>
      <c r="F4328" s="19"/>
      <c r="G4328" s="19"/>
      <c r="H4328" s="82"/>
    </row>
    <row r="4329" spans="1:8" s="28" customFormat="1" x14ac:dyDescent="0.25">
      <c r="A4329" s="29"/>
      <c r="B4329" s="15"/>
      <c r="C4329" s="19"/>
      <c r="D4329" s="19"/>
      <c r="E4329" s="19"/>
      <c r="F4329" s="19"/>
      <c r="G4329" s="19"/>
      <c r="H4329" s="82"/>
    </row>
    <row r="4330" spans="1:8" s="28" customFormat="1" x14ac:dyDescent="0.25">
      <c r="A4330" s="29"/>
      <c r="B4330" s="15"/>
      <c r="C4330" s="19"/>
      <c r="D4330" s="19"/>
      <c r="E4330" s="19"/>
      <c r="F4330" s="19"/>
      <c r="G4330" s="19"/>
      <c r="H4330" s="82"/>
    </row>
    <row r="4331" spans="1:8" s="28" customFormat="1" x14ac:dyDescent="0.25">
      <c r="A4331" s="29"/>
      <c r="B4331" s="15"/>
      <c r="C4331" s="19"/>
      <c r="D4331" s="19"/>
      <c r="E4331" s="19"/>
      <c r="F4331" s="19"/>
      <c r="G4331" s="19"/>
      <c r="H4331" s="82"/>
    </row>
    <row r="4332" spans="1:8" s="28" customFormat="1" x14ac:dyDescent="0.25">
      <c r="A4332" s="29"/>
      <c r="B4332" s="15"/>
      <c r="C4332" s="19"/>
      <c r="D4332" s="19"/>
      <c r="E4332" s="19"/>
      <c r="F4332" s="19"/>
      <c r="G4332" s="19"/>
      <c r="H4332" s="82"/>
    </row>
    <row r="4333" spans="1:8" s="28" customFormat="1" x14ac:dyDescent="0.25">
      <c r="A4333" s="29"/>
      <c r="B4333" s="15"/>
      <c r="C4333" s="19"/>
      <c r="D4333" s="19"/>
      <c r="E4333" s="19"/>
      <c r="F4333" s="19"/>
      <c r="G4333" s="19"/>
      <c r="H4333" s="82"/>
    </row>
    <row r="4334" spans="1:8" s="28" customFormat="1" x14ac:dyDescent="0.25">
      <c r="A4334" s="29"/>
      <c r="B4334" s="15"/>
      <c r="C4334" s="19"/>
      <c r="D4334" s="19"/>
      <c r="E4334" s="19"/>
      <c r="F4334" s="19"/>
      <c r="G4334" s="19"/>
      <c r="H4334" s="82"/>
    </row>
    <row r="4335" spans="1:8" s="28" customFormat="1" x14ac:dyDescent="0.25">
      <c r="A4335" s="29"/>
      <c r="B4335" s="15"/>
      <c r="C4335" s="19"/>
      <c r="D4335" s="19"/>
      <c r="E4335" s="19"/>
      <c r="F4335" s="19"/>
      <c r="G4335" s="19"/>
      <c r="H4335" s="82"/>
    </row>
    <row r="4336" spans="1:8" s="28" customFormat="1" x14ac:dyDescent="0.25">
      <c r="A4336" s="29"/>
      <c r="B4336" s="15"/>
      <c r="C4336" s="19"/>
      <c r="D4336" s="19"/>
      <c r="E4336" s="19"/>
      <c r="F4336" s="19"/>
      <c r="G4336" s="19"/>
      <c r="H4336" s="82"/>
    </row>
    <row r="4337" spans="1:8" s="28" customFormat="1" x14ac:dyDescent="0.25">
      <c r="A4337" s="29"/>
      <c r="B4337" s="15"/>
      <c r="C4337" s="19"/>
      <c r="D4337" s="19"/>
      <c r="E4337" s="19"/>
      <c r="F4337" s="19"/>
      <c r="G4337" s="19"/>
      <c r="H4337" s="82"/>
    </row>
    <row r="4338" spans="1:8" s="28" customFormat="1" x14ac:dyDescent="0.25">
      <c r="A4338" s="29"/>
      <c r="B4338" s="15"/>
      <c r="C4338" s="19"/>
      <c r="D4338" s="19"/>
      <c r="E4338" s="19"/>
      <c r="F4338" s="19"/>
      <c r="G4338" s="19"/>
      <c r="H4338" s="82"/>
    </row>
    <row r="4339" spans="1:8" s="28" customFormat="1" x14ac:dyDescent="0.25">
      <c r="A4339" s="29"/>
      <c r="B4339" s="15"/>
      <c r="C4339" s="19"/>
      <c r="D4339" s="19"/>
      <c r="E4339" s="19"/>
      <c r="F4339" s="19"/>
      <c r="G4339" s="19"/>
      <c r="H4339" s="82"/>
    </row>
    <row r="4340" spans="1:8" s="28" customFormat="1" x14ac:dyDescent="0.25">
      <c r="A4340" s="29"/>
      <c r="B4340" s="15"/>
      <c r="C4340" s="19"/>
      <c r="D4340" s="19"/>
      <c r="E4340" s="19"/>
      <c r="F4340" s="19"/>
      <c r="G4340" s="19"/>
      <c r="H4340" s="82"/>
    </row>
    <row r="4341" spans="1:8" s="28" customFormat="1" x14ac:dyDescent="0.25">
      <c r="A4341" s="29"/>
      <c r="B4341" s="15"/>
      <c r="C4341" s="19"/>
      <c r="D4341" s="19"/>
      <c r="E4341" s="19"/>
      <c r="F4341" s="19"/>
      <c r="G4341" s="19"/>
      <c r="H4341" s="82"/>
    </row>
    <row r="4342" spans="1:8" s="28" customFormat="1" x14ac:dyDescent="0.25">
      <c r="A4342" s="29"/>
      <c r="B4342" s="15"/>
      <c r="C4342" s="19"/>
      <c r="D4342" s="19"/>
      <c r="E4342" s="19"/>
      <c r="F4342" s="19"/>
      <c r="G4342" s="19"/>
      <c r="H4342" s="82"/>
    </row>
    <row r="4343" spans="1:8" s="28" customFormat="1" x14ac:dyDescent="0.25">
      <c r="A4343" s="29"/>
      <c r="B4343" s="15"/>
      <c r="C4343" s="19"/>
      <c r="D4343" s="19"/>
      <c r="E4343" s="19"/>
      <c r="F4343" s="19"/>
      <c r="G4343" s="19"/>
      <c r="H4343" s="82"/>
    </row>
    <row r="4344" spans="1:8" s="28" customFormat="1" x14ac:dyDescent="0.25">
      <c r="A4344" s="29"/>
      <c r="B4344" s="15"/>
      <c r="C4344" s="19"/>
      <c r="D4344" s="19"/>
      <c r="E4344" s="19"/>
      <c r="F4344" s="19"/>
      <c r="G4344" s="19"/>
      <c r="H4344" s="82"/>
    </row>
    <row r="4345" spans="1:8" s="28" customFormat="1" x14ac:dyDescent="0.25">
      <c r="A4345" s="29"/>
      <c r="B4345" s="15"/>
      <c r="C4345" s="19"/>
      <c r="D4345" s="19"/>
      <c r="E4345" s="19"/>
      <c r="F4345" s="19"/>
      <c r="G4345" s="19"/>
      <c r="H4345" s="82"/>
    </row>
    <row r="4346" spans="1:8" s="28" customFormat="1" x14ac:dyDescent="0.25">
      <c r="A4346" s="29"/>
      <c r="B4346" s="15"/>
      <c r="C4346" s="19"/>
      <c r="D4346" s="19"/>
      <c r="E4346" s="19"/>
      <c r="F4346" s="19"/>
      <c r="G4346" s="19"/>
      <c r="H4346" s="82"/>
    </row>
    <row r="4347" spans="1:8" s="28" customFormat="1" x14ac:dyDescent="0.25">
      <c r="A4347" s="29"/>
      <c r="B4347" s="15"/>
      <c r="C4347" s="19"/>
      <c r="D4347" s="19"/>
      <c r="E4347" s="19"/>
      <c r="F4347" s="19"/>
      <c r="G4347" s="19"/>
      <c r="H4347" s="82"/>
    </row>
    <row r="4348" spans="1:8" s="28" customFormat="1" x14ac:dyDescent="0.25">
      <c r="A4348" s="29"/>
      <c r="B4348" s="15"/>
      <c r="C4348" s="19"/>
      <c r="D4348" s="19"/>
      <c r="E4348" s="19"/>
      <c r="F4348" s="19"/>
      <c r="G4348" s="19"/>
      <c r="H4348" s="82"/>
    </row>
    <row r="4349" spans="1:8" s="28" customFormat="1" x14ac:dyDescent="0.25">
      <c r="A4349" s="29"/>
      <c r="B4349" s="15"/>
      <c r="C4349" s="19"/>
      <c r="D4349" s="19"/>
      <c r="E4349" s="19"/>
      <c r="F4349" s="19"/>
      <c r="G4349" s="19"/>
      <c r="H4349" s="82"/>
    </row>
    <row r="4350" spans="1:8" s="28" customFormat="1" x14ac:dyDescent="0.25">
      <c r="A4350" s="29"/>
      <c r="B4350" s="15"/>
      <c r="C4350" s="19"/>
      <c r="D4350" s="19"/>
      <c r="E4350" s="19"/>
      <c r="F4350" s="19"/>
      <c r="G4350" s="19"/>
      <c r="H4350" s="82"/>
    </row>
    <row r="4351" spans="1:8" s="28" customFormat="1" x14ac:dyDescent="0.25">
      <c r="A4351" s="29"/>
      <c r="B4351" s="15"/>
      <c r="C4351" s="19"/>
      <c r="D4351" s="19"/>
      <c r="E4351" s="19"/>
      <c r="F4351" s="19"/>
      <c r="G4351" s="19"/>
      <c r="H4351" s="82"/>
    </row>
    <row r="4352" spans="1:8" s="28" customFormat="1" x14ac:dyDescent="0.25">
      <c r="A4352" s="29"/>
      <c r="B4352" s="15"/>
      <c r="C4352" s="19"/>
      <c r="D4352" s="19"/>
      <c r="E4352" s="19"/>
      <c r="F4352" s="19"/>
      <c r="G4352" s="19"/>
      <c r="H4352" s="82"/>
    </row>
    <row r="4353" spans="1:8" s="28" customFormat="1" x14ac:dyDescent="0.25">
      <c r="A4353" s="29"/>
      <c r="B4353" s="15"/>
      <c r="C4353" s="19"/>
      <c r="D4353" s="19"/>
      <c r="E4353" s="19"/>
      <c r="F4353" s="19"/>
      <c r="G4353" s="19"/>
      <c r="H4353" s="82"/>
    </row>
    <row r="4354" spans="1:8" s="28" customFormat="1" x14ac:dyDescent="0.25">
      <c r="A4354" s="29"/>
      <c r="B4354" s="15"/>
      <c r="C4354" s="19"/>
      <c r="D4354" s="19"/>
      <c r="E4354" s="19"/>
      <c r="F4354" s="19"/>
      <c r="G4354" s="19"/>
      <c r="H4354" s="82"/>
    </row>
    <row r="4355" spans="1:8" s="28" customFormat="1" x14ac:dyDescent="0.25">
      <c r="A4355" s="29"/>
      <c r="B4355" s="15"/>
      <c r="C4355" s="19"/>
      <c r="D4355" s="19"/>
      <c r="E4355" s="19"/>
      <c r="F4355" s="19"/>
      <c r="G4355" s="19"/>
      <c r="H4355" s="82"/>
    </row>
    <row r="4356" spans="1:8" s="28" customFormat="1" x14ac:dyDescent="0.25">
      <c r="A4356" s="29"/>
      <c r="B4356" s="15"/>
      <c r="C4356" s="19"/>
      <c r="D4356" s="19"/>
      <c r="E4356" s="19"/>
      <c r="F4356" s="19"/>
      <c r="G4356" s="19"/>
      <c r="H4356" s="82"/>
    </row>
    <row r="4357" spans="1:8" s="28" customFormat="1" x14ac:dyDescent="0.25">
      <c r="A4357" s="29"/>
      <c r="B4357" s="15"/>
      <c r="C4357" s="19"/>
      <c r="D4357" s="19"/>
      <c r="E4357" s="19"/>
      <c r="F4357" s="19"/>
      <c r="G4357" s="19"/>
      <c r="H4357" s="82"/>
    </row>
    <row r="4358" spans="1:8" s="28" customFormat="1" x14ac:dyDescent="0.25">
      <c r="A4358" s="29"/>
      <c r="B4358" s="15"/>
      <c r="C4358" s="19"/>
      <c r="D4358" s="19"/>
      <c r="E4358" s="19"/>
      <c r="F4358" s="19"/>
      <c r="G4358" s="19"/>
      <c r="H4358" s="82"/>
    </row>
    <row r="4359" spans="1:8" s="28" customFormat="1" x14ac:dyDescent="0.25">
      <c r="A4359" s="29"/>
      <c r="B4359" s="15"/>
      <c r="C4359" s="19"/>
      <c r="D4359" s="19"/>
      <c r="E4359" s="19"/>
      <c r="F4359" s="19"/>
      <c r="G4359" s="19"/>
      <c r="H4359" s="82"/>
    </row>
    <row r="4360" spans="1:8" s="28" customFormat="1" x14ac:dyDescent="0.25">
      <c r="A4360" s="29"/>
      <c r="B4360" s="15"/>
      <c r="C4360" s="19"/>
      <c r="D4360" s="19"/>
      <c r="E4360" s="19"/>
      <c r="F4360" s="19"/>
      <c r="G4360" s="19"/>
      <c r="H4360" s="82"/>
    </row>
    <row r="4361" spans="1:8" s="28" customFormat="1" x14ac:dyDescent="0.25">
      <c r="A4361" s="29"/>
      <c r="B4361" s="15"/>
      <c r="C4361" s="19"/>
      <c r="D4361" s="19"/>
      <c r="E4361" s="19"/>
      <c r="F4361" s="19"/>
      <c r="G4361" s="19"/>
      <c r="H4361" s="82"/>
    </row>
    <row r="4362" spans="1:8" s="28" customFormat="1" x14ac:dyDescent="0.25">
      <c r="A4362" s="29"/>
      <c r="B4362" s="15"/>
      <c r="C4362" s="19"/>
      <c r="D4362" s="19"/>
      <c r="E4362" s="19"/>
      <c r="F4362" s="19"/>
      <c r="G4362" s="19"/>
      <c r="H4362" s="82"/>
    </row>
    <row r="4363" spans="1:8" s="28" customFormat="1" x14ac:dyDescent="0.25">
      <c r="A4363" s="29"/>
      <c r="B4363" s="15"/>
      <c r="C4363" s="19"/>
      <c r="D4363" s="19"/>
      <c r="E4363" s="19"/>
      <c r="F4363" s="19"/>
      <c r="G4363" s="19"/>
      <c r="H4363" s="82"/>
    </row>
    <row r="4364" spans="1:8" s="28" customFormat="1" x14ac:dyDescent="0.25">
      <c r="A4364" s="29"/>
      <c r="B4364" s="15"/>
      <c r="C4364" s="19"/>
      <c r="D4364" s="19"/>
      <c r="E4364" s="19"/>
      <c r="F4364" s="19"/>
      <c r="G4364" s="19"/>
      <c r="H4364" s="82"/>
    </row>
    <row r="4365" spans="1:8" s="28" customFormat="1" x14ac:dyDescent="0.25">
      <c r="A4365" s="29"/>
      <c r="B4365" s="15"/>
      <c r="C4365" s="19"/>
      <c r="D4365" s="19"/>
      <c r="E4365" s="19"/>
      <c r="F4365" s="19"/>
      <c r="G4365" s="19"/>
      <c r="H4365" s="82"/>
    </row>
    <row r="4366" spans="1:8" s="28" customFormat="1" x14ac:dyDescent="0.25">
      <c r="A4366" s="29"/>
      <c r="B4366" s="15"/>
      <c r="C4366" s="19"/>
      <c r="D4366" s="19"/>
      <c r="E4366" s="19"/>
      <c r="F4366" s="19"/>
      <c r="G4366" s="19"/>
      <c r="H4366" s="82"/>
    </row>
    <row r="4367" spans="1:8" s="28" customFormat="1" x14ac:dyDescent="0.25">
      <c r="A4367" s="29"/>
      <c r="B4367" s="15"/>
      <c r="C4367" s="19"/>
      <c r="D4367" s="19"/>
      <c r="E4367" s="19"/>
      <c r="F4367" s="19"/>
      <c r="G4367" s="19"/>
      <c r="H4367" s="82"/>
    </row>
    <row r="4368" spans="1:8" s="28" customFormat="1" x14ac:dyDescent="0.25">
      <c r="A4368" s="29"/>
      <c r="B4368" s="15"/>
      <c r="C4368" s="19"/>
      <c r="D4368" s="19"/>
      <c r="E4368" s="19"/>
      <c r="F4368" s="19"/>
      <c r="G4368" s="19"/>
      <c r="H4368" s="82"/>
    </row>
    <row r="4369" spans="1:8" s="28" customFormat="1" x14ac:dyDescent="0.25">
      <c r="A4369" s="29"/>
      <c r="B4369" s="15"/>
      <c r="C4369" s="19"/>
      <c r="D4369" s="19"/>
      <c r="E4369" s="19"/>
      <c r="F4369" s="19"/>
      <c r="G4369" s="19"/>
      <c r="H4369" s="82"/>
    </row>
    <row r="4370" spans="1:8" s="28" customFormat="1" x14ac:dyDescent="0.25">
      <c r="A4370" s="29"/>
      <c r="B4370" s="15"/>
      <c r="C4370" s="19"/>
      <c r="D4370" s="19"/>
      <c r="E4370" s="19"/>
      <c r="F4370" s="19"/>
      <c r="G4370" s="19"/>
      <c r="H4370" s="82"/>
    </row>
    <row r="4371" spans="1:8" s="28" customFormat="1" x14ac:dyDescent="0.25">
      <c r="A4371" s="29"/>
      <c r="B4371" s="15"/>
      <c r="C4371" s="19"/>
      <c r="D4371" s="19"/>
      <c r="E4371" s="19"/>
      <c r="F4371" s="19"/>
      <c r="G4371" s="19"/>
      <c r="H4371" s="82"/>
    </row>
    <row r="4372" spans="1:8" s="28" customFormat="1" x14ac:dyDescent="0.25">
      <c r="A4372" s="29"/>
      <c r="B4372" s="15"/>
      <c r="C4372" s="19"/>
      <c r="D4372" s="19"/>
      <c r="E4372" s="19"/>
      <c r="F4372" s="19"/>
      <c r="G4372" s="19"/>
      <c r="H4372" s="82"/>
    </row>
    <row r="4373" spans="1:8" s="28" customFormat="1" x14ac:dyDescent="0.25">
      <c r="A4373" s="29"/>
      <c r="B4373" s="15"/>
      <c r="C4373" s="19"/>
      <c r="D4373" s="19"/>
      <c r="E4373" s="19"/>
      <c r="F4373" s="19"/>
      <c r="G4373" s="19"/>
      <c r="H4373" s="82"/>
    </row>
    <row r="4374" spans="1:8" s="28" customFormat="1" x14ac:dyDescent="0.25">
      <c r="A4374" s="29"/>
      <c r="B4374" s="15"/>
      <c r="C4374" s="19"/>
      <c r="D4374" s="19"/>
      <c r="E4374" s="19"/>
      <c r="F4374" s="19"/>
      <c r="G4374" s="19"/>
      <c r="H4374" s="82"/>
    </row>
    <row r="4375" spans="1:8" s="28" customFormat="1" x14ac:dyDescent="0.25">
      <c r="A4375" s="29"/>
      <c r="B4375" s="15"/>
      <c r="C4375" s="19"/>
      <c r="D4375" s="19"/>
      <c r="E4375" s="19"/>
      <c r="F4375" s="19"/>
      <c r="G4375" s="19"/>
      <c r="H4375" s="82"/>
    </row>
    <row r="4376" spans="1:8" s="28" customFormat="1" x14ac:dyDescent="0.25">
      <c r="A4376" s="29"/>
      <c r="B4376" s="15"/>
      <c r="C4376" s="19"/>
      <c r="D4376" s="19"/>
      <c r="E4376" s="19"/>
      <c r="F4376" s="19"/>
      <c r="G4376" s="19"/>
      <c r="H4376" s="82"/>
    </row>
    <row r="4377" spans="1:8" s="28" customFormat="1" x14ac:dyDescent="0.25">
      <c r="A4377" s="29"/>
      <c r="B4377" s="15"/>
      <c r="C4377" s="19"/>
      <c r="D4377" s="19"/>
      <c r="E4377" s="19"/>
      <c r="F4377" s="19"/>
      <c r="G4377" s="19"/>
      <c r="H4377" s="82"/>
    </row>
    <row r="4378" spans="1:8" s="28" customFormat="1" x14ac:dyDescent="0.25">
      <c r="A4378" s="29"/>
      <c r="B4378" s="15"/>
      <c r="C4378" s="19"/>
      <c r="D4378" s="19"/>
      <c r="E4378" s="19"/>
      <c r="F4378" s="19"/>
      <c r="G4378" s="19"/>
      <c r="H4378" s="82"/>
    </row>
    <row r="4379" spans="1:8" s="28" customFormat="1" x14ac:dyDescent="0.25">
      <c r="A4379" s="29"/>
      <c r="B4379" s="15"/>
      <c r="C4379" s="19"/>
      <c r="D4379" s="19"/>
      <c r="E4379" s="19"/>
      <c r="F4379" s="19"/>
      <c r="G4379" s="19"/>
      <c r="H4379" s="82"/>
    </row>
    <row r="4380" spans="1:8" s="28" customFormat="1" x14ac:dyDescent="0.25">
      <c r="A4380" s="29"/>
      <c r="B4380" s="15"/>
      <c r="C4380" s="19"/>
      <c r="D4380" s="19"/>
      <c r="E4380" s="19"/>
      <c r="F4380" s="19"/>
      <c r="G4380" s="19"/>
      <c r="H4380" s="82"/>
    </row>
    <row r="4381" spans="1:8" s="28" customFormat="1" x14ac:dyDescent="0.25">
      <c r="A4381" s="29"/>
      <c r="B4381" s="15"/>
      <c r="C4381" s="19"/>
      <c r="D4381" s="19"/>
      <c r="E4381" s="19"/>
      <c r="F4381" s="19"/>
      <c r="G4381" s="19"/>
      <c r="H4381" s="82"/>
    </row>
    <row r="4382" spans="1:8" s="28" customFormat="1" x14ac:dyDescent="0.25">
      <c r="A4382" s="29"/>
      <c r="B4382" s="15"/>
      <c r="C4382" s="19"/>
      <c r="D4382" s="19"/>
      <c r="E4382" s="19"/>
      <c r="F4382" s="19"/>
      <c r="G4382" s="19"/>
      <c r="H4382" s="82"/>
    </row>
    <row r="4383" spans="1:8" s="28" customFormat="1" x14ac:dyDescent="0.25">
      <c r="A4383" s="29"/>
      <c r="B4383" s="15"/>
      <c r="C4383" s="19"/>
      <c r="D4383" s="19"/>
      <c r="E4383" s="19"/>
      <c r="F4383" s="19"/>
      <c r="G4383" s="19"/>
      <c r="H4383" s="82"/>
    </row>
    <row r="4384" spans="1:8" s="28" customFormat="1" x14ac:dyDescent="0.25">
      <c r="A4384" s="29"/>
      <c r="B4384" s="15"/>
      <c r="C4384" s="19"/>
      <c r="D4384" s="19"/>
      <c r="E4384" s="19"/>
      <c r="F4384" s="19"/>
      <c r="G4384" s="19"/>
      <c r="H4384" s="82"/>
    </row>
    <row r="4385" spans="1:8" s="28" customFormat="1" x14ac:dyDescent="0.25">
      <c r="A4385" s="29"/>
      <c r="B4385" s="15"/>
      <c r="C4385" s="19"/>
      <c r="D4385" s="19"/>
      <c r="E4385" s="19"/>
      <c r="F4385" s="19"/>
      <c r="G4385" s="19"/>
      <c r="H4385" s="82"/>
    </row>
    <row r="4386" spans="1:8" s="28" customFormat="1" x14ac:dyDescent="0.25">
      <c r="A4386" s="29"/>
      <c r="B4386" s="15"/>
      <c r="C4386" s="19"/>
      <c r="D4386" s="19"/>
      <c r="E4386" s="19"/>
      <c r="F4386" s="19"/>
      <c r="G4386" s="19"/>
      <c r="H4386" s="82"/>
    </row>
    <row r="4387" spans="1:8" s="28" customFormat="1" x14ac:dyDescent="0.25">
      <c r="A4387" s="29"/>
      <c r="B4387" s="15"/>
      <c r="C4387" s="19"/>
      <c r="D4387" s="19"/>
      <c r="E4387" s="19"/>
      <c r="F4387" s="19"/>
      <c r="G4387" s="19"/>
      <c r="H4387" s="82"/>
    </row>
    <row r="4388" spans="1:8" s="28" customFormat="1" x14ac:dyDescent="0.25">
      <c r="A4388" s="29"/>
      <c r="B4388" s="15"/>
      <c r="C4388" s="19"/>
      <c r="D4388" s="19"/>
      <c r="E4388" s="19"/>
      <c r="F4388" s="19"/>
      <c r="G4388" s="19"/>
      <c r="H4388" s="82"/>
    </row>
    <row r="4389" spans="1:8" s="28" customFormat="1" x14ac:dyDescent="0.25">
      <c r="A4389" s="29"/>
      <c r="B4389" s="15"/>
      <c r="C4389" s="19"/>
      <c r="D4389" s="19"/>
      <c r="E4389" s="19"/>
      <c r="F4389" s="19"/>
      <c r="G4389" s="19"/>
      <c r="H4389" s="82"/>
    </row>
    <row r="4390" spans="1:8" s="28" customFormat="1" x14ac:dyDescent="0.25">
      <c r="A4390" s="29"/>
      <c r="B4390" s="15"/>
      <c r="C4390" s="19"/>
      <c r="D4390" s="19"/>
      <c r="E4390" s="19"/>
      <c r="F4390" s="19"/>
      <c r="G4390" s="19"/>
      <c r="H4390" s="82"/>
    </row>
    <row r="4391" spans="1:8" s="28" customFormat="1" x14ac:dyDescent="0.25">
      <c r="A4391" s="29"/>
      <c r="B4391" s="15"/>
      <c r="C4391" s="19"/>
      <c r="D4391" s="19"/>
      <c r="E4391" s="19"/>
      <c r="F4391" s="19"/>
      <c r="G4391" s="19"/>
      <c r="H4391" s="82"/>
    </row>
    <row r="4392" spans="1:8" s="28" customFormat="1" x14ac:dyDescent="0.25">
      <c r="A4392" s="29"/>
      <c r="B4392" s="15"/>
      <c r="C4392" s="19"/>
      <c r="D4392" s="19"/>
      <c r="E4392" s="19"/>
      <c r="F4392" s="19"/>
      <c r="G4392" s="19"/>
      <c r="H4392" s="82"/>
    </row>
    <row r="4393" spans="1:8" s="28" customFormat="1" x14ac:dyDescent="0.25">
      <c r="A4393" s="29"/>
      <c r="B4393" s="15"/>
      <c r="C4393" s="19"/>
      <c r="D4393" s="19"/>
      <c r="E4393" s="19"/>
      <c r="F4393" s="19"/>
      <c r="G4393" s="19"/>
      <c r="H4393" s="82"/>
    </row>
    <row r="4394" spans="1:8" s="28" customFormat="1" x14ac:dyDescent="0.25">
      <c r="A4394" s="29"/>
      <c r="B4394" s="15"/>
      <c r="C4394" s="19"/>
      <c r="D4394" s="19"/>
      <c r="E4394" s="19"/>
      <c r="F4394" s="19"/>
      <c r="G4394" s="19"/>
      <c r="H4394" s="82"/>
    </row>
    <row r="4395" spans="1:8" s="28" customFormat="1" x14ac:dyDescent="0.25">
      <c r="A4395" s="29"/>
      <c r="B4395" s="15"/>
      <c r="C4395" s="19"/>
      <c r="D4395" s="19"/>
      <c r="E4395" s="19"/>
      <c r="F4395" s="19"/>
      <c r="G4395" s="19"/>
      <c r="H4395" s="82"/>
    </row>
    <row r="4396" spans="1:8" s="28" customFormat="1" x14ac:dyDescent="0.25">
      <c r="A4396" s="29"/>
      <c r="B4396" s="15"/>
      <c r="C4396" s="19"/>
      <c r="D4396" s="19"/>
      <c r="E4396" s="19"/>
      <c r="F4396" s="19"/>
      <c r="G4396" s="19"/>
      <c r="H4396" s="82"/>
    </row>
    <row r="4397" spans="1:8" s="28" customFormat="1" x14ac:dyDescent="0.25">
      <c r="A4397" s="29"/>
      <c r="B4397" s="15"/>
      <c r="C4397" s="19"/>
      <c r="D4397" s="19"/>
      <c r="E4397" s="19"/>
      <c r="F4397" s="19"/>
      <c r="G4397" s="19"/>
      <c r="H4397" s="82"/>
    </row>
    <row r="4398" spans="1:8" s="28" customFormat="1" x14ac:dyDescent="0.25">
      <c r="A4398" s="29"/>
      <c r="B4398" s="15"/>
      <c r="C4398" s="19"/>
      <c r="D4398" s="19"/>
      <c r="E4398" s="19"/>
      <c r="F4398" s="19"/>
      <c r="G4398" s="19"/>
      <c r="H4398" s="82"/>
    </row>
    <row r="4399" spans="1:8" s="28" customFormat="1" x14ac:dyDescent="0.25">
      <c r="A4399" s="29"/>
      <c r="B4399" s="15"/>
      <c r="C4399" s="19"/>
      <c r="D4399" s="19"/>
      <c r="E4399" s="19"/>
      <c r="F4399" s="19"/>
      <c r="G4399" s="19"/>
      <c r="H4399" s="82"/>
    </row>
    <row r="4400" spans="1:8" s="28" customFormat="1" x14ac:dyDescent="0.25">
      <c r="A4400" s="29"/>
      <c r="B4400" s="15"/>
      <c r="C4400" s="19"/>
      <c r="D4400" s="19"/>
      <c r="E4400" s="19"/>
      <c r="F4400" s="19"/>
      <c r="G4400" s="19"/>
      <c r="H4400" s="82"/>
    </row>
    <row r="4401" spans="1:8" s="28" customFormat="1" x14ac:dyDescent="0.25">
      <c r="A4401" s="29"/>
      <c r="B4401" s="15"/>
      <c r="C4401" s="19"/>
      <c r="D4401" s="19"/>
      <c r="E4401" s="19"/>
      <c r="F4401" s="19"/>
      <c r="G4401" s="19"/>
      <c r="H4401" s="82"/>
    </row>
    <row r="4402" spans="1:8" s="28" customFormat="1" x14ac:dyDescent="0.25">
      <c r="A4402" s="29"/>
      <c r="B4402" s="15"/>
      <c r="C4402" s="19"/>
      <c r="D4402" s="19"/>
      <c r="E4402" s="19"/>
      <c r="F4402" s="19"/>
      <c r="G4402" s="19"/>
      <c r="H4402" s="82"/>
    </row>
    <row r="4403" spans="1:8" s="28" customFormat="1" x14ac:dyDescent="0.25">
      <c r="A4403" s="29"/>
      <c r="B4403" s="15"/>
      <c r="C4403" s="19"/>
      <c r="D4403" s="19"/>
      <c r="E4403" s="19"/>
      <c r="F4403" s="19"/>
      <c r="G4403" s="19"/>
      <c r="H4403" s="82"/>
    </row>
    <row r="4404" spans="1:8" s="28" customFormat="1" x14ac:dyDescent="0.25">
      <c r="A4404" s="29"/>
      <c r="B4404" s="15"/>
      <c r="C4404" s="19"/>
      <c r="D4404" s="19"/>
      <c r="E4404" s="19"/>
      <c r="F4404" s="19"/>
      <c r="G4404" s="19"/>
      <c r="H4404" s="82"/>
    </row>
    <row r="4405" spans="1:8" s="28" customFormat="1" x14ac:dyDescent="0.25">
      <c r="A4405" s="29"/>
      <c r="B4405" s="15"/>
      <c r="C4405" s="19"/>
      <c r="D4405" s="19"/>
      <c r="E4405" s="19"/>
      <c r="F4405" s="19"/>
      <c r="G4405" s="19"/>
      <c r="H4405" s="82"/>
    </row>
    <row r="4406" spans="1:8" s="28" customFormat="1" x14ac:dyDescent="0.25">
      <c r="A4406" s="29"/>
      <c r="B4406" s="15"/>
      <c r="C4406" s="19"/>
      <c r="D4406" s="19"/>
      <c r="E4406" s="19"/>
      <c r="F4406" s="19"/>
      <c r="G4406" s="19"/>
      <c r="H4406" s="82"/>
    </row>
    <row r="4407" spans="1:8" s="28" customFormat="1" x14ac:dyDescent="0.25">
      <c r="A4407" s="29"/>
      <c r="B4407" s="15"/>
      <c r="C4407" s="19"/>
      <c r="D4407" s="19"/>
      <c r="E4407" s="19"/>
      <c r="F4407" s="19"/>
      <c r="G4407" s="19"/>
      <c r="H4407" s="82"/>
    </row>
    <row r="4408" spans="1:8" s="28" customFormat="1" x14ac:dyDescent="0.25">
      <c r="A4408" s="29"/>
      <c r="B4408" s="15"/>
      <c r="C4408" s="19"/>
      <c r="D4408" s="19"/>
      <c r="E4408" s="19"/>
      <c r="F4408" s="19"/>
      <c r="G4408" s="19"/>
      <c r="H4408" s="82"/>
    </row>
    <row r="4409" spans="1:8" s="28" customFormat="1" x14ac:dyDescent="0.25">
      <c r="A4409" s="29"/>
      <c r="B4409" s="15"/>
      <c r="C4409" s="19"/>
      <c r="D4409" s="19"/>
      <c r="E4409" s="19"/>
      <c r="F4409" s="19"/>
      <c r="G4409" s="19"/>
      <c r="H4409" s="82"/>
    </row>
    <row r="4410" spans="1:8" s="28" customFormat="1" x14ac:dyDescent="0.25">
      <c r="A4410" s="29"/>
      <c r="B4410" s="15"/>
      <c r="C4410" s="19"/>
      <c r="D4410" s="19"/>
      <c r="E4410" s="19"/>
      <c r="F4410" s="19"/>
      <c r="G4410" s="19"/>
      <c r="H4410" s="82"/>
    </row>
    <row r="4411" spans="1:8" s="28" customFormat="1" x14ac:dyDescent="0.25">
      <c r="A4411" s="29"/>
      <c r="B4411" s="15"/>
      <c r="C4411" s="19"/>
      <c r="D4411" s="19"/>
      <c r="E4411" s="19"/>
      <c r="F4411" s="19"/>
      <c r="G4411" s="19"/>
      <c r="H4411" s="82"/>
    </row>
    <row r="4412" spans="1:8" s="28" customFormat="1" x14ac:dyDescent="0.25">
      <c r="A4412" s="29"/>
      <c r="B4412" s="15"/>
      <c r="C4412" s="19"/>
      <c r="D4412" s="19"/>
      <c r="E4412" s="19"/>
      <c r="F4412" s="19"/>
      <c r="G4412" s="19"/>
      <c r="H4412" s="82"/>
    </row>
    <row r="4413" spans="1:8" s="28" customFormat="1" x14ac:dyDescent="0.25">
      <c r="A4413" s="29"/>
      <c r="B4413" s="15"/>
      <c r="C4413" s="19"/>
      <c r="D4413" s="19"/>
      <c r="E4413" s="19"/>
      <c r="F4413" s="19"/>
      <c r="G4413" s="19"/>
      <c r="H4413" s="82"/>
    </row>
    <row r="4414" spans="1:8" s="28" customFormat="1" x14ac:dyDescent="0.25">
      <c r="A4414" s="29"/>
      <c r="B4414" s="15"/>
      <c r="C4414" s="19"/>
      <c r="D4414" s="19"/>
      <c r="E4414" s="19"/>
      <c r="F4414" s="19"/>
      <c r="G4414" s="19"/>
      <c r="H4414" s="82"/>
    </row>
    <row r="4415" spans="1:8" s="28" customFormat="1" x14ac:dyDescent="0.25">
      <c r="A4415" s="29"/>
      <c r="B4415" s="15"/>
      <c r="C4415" s="19"/>
      <c r="D4415" s="19"/>
      <c r="E4415" s="19"/>
      <c r="F4415" s="19"/>
      <c r="G4415" s="19"/>
      <c r="H4415" s="82"/>
    </row>
    <row r="4416" spans="1:8" s="28" customFormat="1" x14ac:dyDescent="0.25">
      <c r="A4416" s="29"/>
      <c r="B4416" s="15"/>
      <c r="C4416" s="19"/>
      <c r="D4416" s="19"/>
      <c r="E4416" s="19"/>
      <c r="F4416" s="19"/>
      <c r="G4416" s="19"/>
      <c r="H4416" s="82"/>
    </row>
    <row r="4417" spans="1:8" s="28" customFormat="1" x14ac:dyDescent="0.25">
      <c r="A4417" s="29"/>
      <c r="B4417" s="15"/>
      <c r="C4417" s="19"/>
      <c r="D4417" s="19"/>
      <c r="E4417" s="19"/>
      <c r="F4417" s="19"/>
      <c r="G4417" s="19"/>
      <c r="H4417" s="82"/>
    </row>
    <row r="4418" spans="1:8" s="28" customFormat="1" x14ac:dyDescent="0.25">
      <c r="A4418" s="29"/>
      <c r="B4418" s="15"/>
      <c r="C4418" s="19"/>
      <c r="D4418" s="19"/>
      <c r="E4418" s="19"/>
      <c r="F4418" s="19"/>
      <c r="G4418" s="19"/>
      <c r="H4418" s="82"/>
    </row>
    <row r="4419" spans="1:8" s="28" customFormat="1" x14ac:dyDescent="0.25">
      <c r="A4419" s="29"/>
      <c r="B4419" s="15"/>
      <c r="C4419" s="19"/>
      <c r="D4419" s="19"/>
      <c r="E4419" s="19"/>
      <c r="F4419" s="19"/>
      <c r="G4419" s="19"/>
      <c r="H4419" s="82"/>
    </row>
    <row r="4420" spans="1:8" s="28" customFormat="1" x14ac:dyDescent="0.25">
      <c r="A4420" s="29"/>
      <c r="B4420" s="15"/>
      <c r="C4420" s="19"/>
      <c r="D4420" s="19"/>
      <c r="E4420" s="19"/>
      <c r="F4420" s="19"/>
      <c r="G4420" s="19"/>
      <c r="H4420" s="82"/>
    </row>
    <row r="4421" spans="1:8" s="28" customFormat="1" x14ac:dyDescent="0.25">
      <c r="A4421" s="29"/>
      <c r="B4421" s="15"/>
      <c r="C4421" s="19"/>
      <c r="D4421" s="19"/>
      <c r="E4421" s="19"/>
      <c r="F4421" s="19"/>
      <c r="G4421" s="19"/>
      <c r="H4421" s="82"/>
    </row>
    <row r="4422" spans="1:8" s="28" customFormat="1" x14ac:dyDescent="0.25">
      <c r="A4422" s="29"/>
      <c r="B4422" s="15"/>
      <c r="C4422" s="19"/>
      <c r="D4422" s="19"/>
      <c r="E4422" s="19"/>
      <c r="F4422" s="19"/>
      <c r="G4422" s="19"/>
      <c r="H4422" s="82"/>
    </row>
    <row r="4423" spans="1:8" s="28" customFormat="1" x14ac:dyDescent="0.25">
      <c r="A4423" s="29"/>
      <c r="B4423" s="15"/>
      <c r="C4423" s="19"/>
      <c r="D4423" s="19"/>
      <c r="E4423" s="19"/>
      <c r="F4423" s="19"/>
      <c r="G4423" s="19"/>
      <c r="H4423" s="82"/>
    </row>
    <row r="4424" spans="1:8" s="28" customFormat="1" x14ac:dyDescent="0.25">
      <c r="A4424" s="29"/>
      <c r="B4424" s="15"/>
      <c r="C4424" s="19"/>
      <c r="D4424" s="19"/>
      <c r="E4424" s="19"/>
      <c r="F4424" s="19"/>
      <c r="G4424" s="19"/>
      <c r="H4424" s="82"/>
    </row>
    <row r="4425" spans="1:8" s="28" customFormat="1" x14ac:dyDescent="0.25">
      <c r="A4425" s="29"/>
      <c r="B4425" s="15"/>
      <c r="C4425" s="19"/>
      <c r="D4425" s="19"/>
      <c r="E4425" s="19"/>
      <c r="F4425" s="19"/>
      <c r="G4425" s="19"/>
      <c r="H4425" s="82"/>
    </row>
    <row r="4426" spans="1:8" s="28" customFormat="1" x14ac:dyDescent="0.25">
      <c r="A4426" s="29"/>
      <c r="B4426" s="15"/>
      <c r="C4426" s="19"/>
      <c r="D4426" s="19"/>
      <c r="E4426" s="19"/>
      <c r="F4426" s="19"/>
      <c r="G4426" s="19"/>
      <c r="H4426" s="82"/>
    </row>
    <row r="4427" spans="1:8" s="28" customFormat="1" x14ac:dyDescent="0.25">
      <c r="A4427" s="29"/>
      <c r="B4427" s="15"/>
      <c r="C4427" s="19"/>
      <c r="D4427" s="19"/>
      <c r="E4427" s="19"/>
      <c r="F4427" s="19"/>
      <c r="G4427" s="19"/>
      <c r="H4427" s="82"/>
    </row>
    <row r="4428" spans="1:8" s="28" customFormat="1" x14ac:dyDescent="0.25">
      <c r="A4428" s="29"/>
      <c r="B4428" s="15"/>
      <c r="C4428" s="19"/>
      <c r="D4428" s="19"/>
      <c r="E4428" s="19"/>
      <c r="F4428" s="19"/>
      <c r="G4428" s="19"/>
      <c r="H4428" s="82"/>
    </row>
    <row r="4429" spans="1:8" s="28" customFormat="1" x14ac:dyDescent="0.25">
      <c r="A4429" s="29"/>
      <c r="B4429" s="15"/>
      <c r="C4429" s="19"/>
      <c r="D4429" s="19"/>
      <c r="E4429" s="19"/>
      <c r="F4429" s="19"/>
      <c r="G4429" s="19"/>
      <c r="H4429" s="82"/>
    </row>
    <row r="4430" spans="1:8" s="28" customFormat="1" x14ac:dyDescent="0.25">
      <c r="A4430" s="29"/>
      <c r="B4430" s="15"/>
      <c r="C4430" s="19"/>
      <c r="D4430" s="19"/>
      <c r="E4430" s="19"/>
      <c r="F4430" s="19"/>
      <c r="G4430" s="19"/>
      <c r="H4430" s="82"/>
    </row>
    <row r="4431" spans="1:8" s="28" customFormat="1" x14ac:dyDescent="0.25">
      <c r="A4431" s="29"/>
      <c r="B4431" s="15"/>
      <c r="C4431" s="19"/>
      <c r="D4431" s="19"/>
      <c r="E4431" s="19"/>
      <c r="F4431" s="19"/>
      <c r="G4431" s="19"/>
      <c r="H4431" s="82"/>
    </row>
    <row r="4432" spans="1:8" s="28" customFormat="1" x14ac:dyDescent="0.25">
      <c r="A4432" s="29"/>
      <c r="B4432" s="15"/>
      <c r="C4432" s="19"/>
      <c r="D4432" s="19"/>
      <c r="E4432" s="19"/>
      <c r="F4432" s="19"/>
      <c r="G4432" s="19"/>
      <c r="H4432" s="82"/>
    </row>
    <row r="4433" spans="1:8" s="28" customFormat="1" x14ac:dyDescent="0.25">
      <c r="A4433" s="29"/>
      <c r="B4433" s="15"/>
      <c r="C4433" s="19"/>
      <c r="D4433" s="19"/>
      <c r="E4433" s="19"/>
      <c r="F4433" s="19"/>
      <c r="G4433" s="19"/>
      <c r="H4433" s="82"/>
    </row>
    <row r="4434" spans="1:8" s="28" customFormat="1" x14ac:dyDescent="0.25">
      <c r="A4434" s="29"/>
      <c r="B4434" s="15"/>
      <c r="C4434" s="19"/>
      <c r="D4434" s="19"/>
      <c r="E4434" s="19"/>
      <c r="F4434" s="19"/>
      <c r="G4434" s="19"/>
      <c r="H4434" s="82"/>
    </row>
    <row r="4435" spans="1:8" s="28" customFormat="1" x14ac:dyDescent="0.25">
      <c r="A4435" s="29"/>
      <c r="B4435" s="15"/>
      <c r="C4435" s="19"/>
      <c r="D4435" s="19"/>
      <c r="E4435" s="19"/>
      <c r="F4435" s="19"/>
      <c r="G4435" s="19"/>
      <c r="H4435" s="82"/>
    </row>
    <row r="4436" spans="1:8" s="28" customFormat="1" x14ac:dyDescent="0.25">
      <c r="A4436" s="29"/>
      <c r="B4436" s="15"/>
      <c r="C4436" s="19"/>
      <c r="D4436" s="19"/>
      <c r="E4436" s="19"/>
      <c r="F4436" s="19"/>
      <c r="G4436" s="19"/>
      <c r="H4436" s="82"/>
    </row>
    <row r="4437" spans="1:8" s="28" customFormat="1" x14ac:dyDescent="0.25">
      <c r="A4437" s="29"/>
      <c r="B4437" s="15"/>
      <c r="C4437" s="19"/>
      <c r="D4437" s="19"/>
      <c r="E4437" s="19"/>
      <c r="F4437" s="19"/>
      <c r="G4437" s="19"/>
      <c r="H4437" s="82"/>
    </row>
    <row r="4438" spans="1:8" s="28" customFormat="1" x14ac:dyDescent="0.25">
      <c r="A4438" s="29"/>
      <c r="B4438" s="15"/>
      <c r="C4438" s="19"/>
      <c r="D4438" s="19"/>
      <c r="E4438" s="19"/>
      <c r="F4438" s="19"/>
      <c r="G4438" s="19"/>
      <c r="H4438" s="82"/>
    </row>
    <row r="4439" spans="1:8" s="28" customFormat="1" x14ac:dyDescent="0.25">
      <c r="A4439" s="29"/>
      <c r="B4439" s="15"/>
      <c r="C4439" s="19"/>
      <c r="D4439" s="19"/>
      <c r="E4439" s="19"/>
      <c r="F4439" s="19"/>
      <c r="G4439" s="19"/>
      <c r="H4439" s="82"/>
    </row>
    <row r="4440" spans="1:8" s="28" customFormat="1" x14ac:dyDescent="0.25">
      <c r="A4440" s="29"/>
      <c r="B4440" s="15"/>
      <c r="C4440" s="19"/>
      <c r="D4440" s="19"/>
      <c r="E4440" s="19"/>
      <c r="F4440" s="19"/>
      <c r="G4440" s="19"/>
      <c r="H4440" s="82"/>
    </row>
    <row r="4441" spans="1:8" s="28" customFormat="1" x14ac:dyDescent="0.25">
      <c r="A4441" s="29"/>
      <c r="B4441" s="15"/>
      <c r="C4441" s="19"/>
      <c r="D4441" s="19"/>
      <c r="E4441" s="19"/>
      <c r="F4441" s="19"/>
      <c r="G4441" s="19"/>
      <c r="H4441" s="82"/>
    </row>
    <row r="4442" spans="1:8" s="28" customFormat="1" x14ac:dyDescent="0.25">
      <c r="A4442" s="29"/>
      <c r="B4442" s="15"/>
      <c r="C4442" s="19"/>
      <c r="D4442" s="19"/>
      <c r="E4442" s="19"/>
      <c r="F4442" s="19"/>
      <c r="G4442" s="19"/>
      <c r="H4442" s="82"/>
    </row>
    <row r="4443" spans="1:8" s="28" customFormat="1" x14ac:dyDescent="0.25">
      <c r="A4443" s="29"/>
      <c r="B4443" s="15"/>
      <c r="C4443" s="19"/>
      <c r="D4443" s="19"/>
      <c r="E4443" s="19"/>
      <c r="F4443" s="19"/>
      <c r="G4443" s="19"/>
      <c r="H4443" s="82"/>
    </row>
    <row r="4444" spans="1:8" s="28" customFormat="1" x14ac:dyDescent="0.25">
      <c r="A4444" s="29"/>
      <c r="B4444" s="15"/>
      <c r="C4444" s="19"/>
      <c r="D4444" s="19"/>
      <c r="E4444" s="19"/>
      <c r="F4444" s="19"/>
      <c r="G4444" s="19"/>
      <c r="H4444" s="82"/>
    </row>
    <row r="4445" spans="1:8" s="28" customFormat="1" x14ac:dyDescent="0.25">
      <c r="A4445" s="29"/>
      <c r="B4445" s="15"/>
      <c r="C4445" s="19"/>
      <c r="D4445" s="19"/>
      <c r="E4445" s="19"/>
      <c r="F4445" s="19"/>
      <c r="G4445" s="19"/>
      <c r="H4445" s="82"/>
    </row>
    <row r="4446" spans="1:8" s="28" customFormat="1" x14ac:dyDescent="0.25">
      <c r="A4446" s="29"/>
      <c r="B4446" s="15"/>
      <c r="C4446" s="19"/>
      <c r="D4446" s="19"/>
      <c r="E4446" s="19"/>
      <c r="F4446" s="19"/>
      <c r="G4446" s="19"/>
      <c r="H4446" s="82"/>
    </row>
    <row r="4447" spans="1:8" s="28" customFormat="1" x14ac:dyDescent="0.25">
      <c r="A4447" s="29"/>
      <c r="B4447" s="15"/>
      <c r="C4447" s="19"/>
      <c r="D4447" s="19"/>
      <c r="E4447" s="19"/>
      <c r="F4447" s="19"/>
      <c r="G4447" s="19"/>
      <c r="H4447" s="82"/>
    </row>
    <row r="4448" spans="1:8" s="28" customFormat="1" x14ac:dyDescent="0.25">
      <c r="A4448" s="29"/>
      <c r="B4448" s="15"/>
      <c r="C4448" s="19"/>
      <c r="D4448" s="19"/>
      <c r="E4448" s="19"/>
      <c r="F4448" s="19"/>
      <c r="G4448" s="19"/>
      <c r="H4448" s="82"/>
    </row>
    <row r="4449" spans="1:8" s="28" customFormat="1" x14ac:dyDescent="0.25">
      <c r="A4449" s="29"/>
      <c r="B4449" s="15"/>
      <c r="C4449" s="19"/>
      <c r="D4449" s="19"/>
      <c r="E4449" s="19"/>
      <c r="F4449" s="19"/>
      <c r="G4449" s="19"/>
      <c r="H4449" s="82"/>
    </row>
    <row r="4450" spans="1:8" s="28" customFormat="1" x14ac:dyDescent="0.25">
      <c r="A4450" s="29"/>
      <c r="B4450" s="15"/>
      <c r="C4450" s="19"/>
      <c r="D4450" s="19"/>
      <c r="E4450" s="19"/>
      <c r="F4450" s="19"/>
      <c r="G4450" s="19"/>
      <c r="H4450" s="82"/>
    </row>
    <row r="4451" spans="1:8" s="28" customFormat="1" x14ac:dyDescent="0.25">
      <c r="A4451" s="29"/>
      <c r="B4451" s="15"/>
      <c r="C4451" s="19"/>
      <c r="D4451" s="19"/>
      <c r="E4451" s="19"/>
      <c r="F4451" s="19"/>
      <c r="G4451" s="19"/>
      <c r="H4451" s="82"/>
    </row>
    <row r="4452" spans="1:8" s="28" customFormat="1" x14ac:dyDescent="0.25">
      <c r="A4452" s="29"/>
      <c r="B4452" s="15"/>
      <c r="C4452" s="19"/>
      <c r="D4452" s="19"/>
      <c r="E4452" s="19"/>
      <c r="F4452" s="19"/>
      <c r="G4452" s="19"/>
      <c r="H4452" s="82"/>
    </row>
    <row r="4453" spans="1:8" s="28" customFormat="1" x14ac:dyDescent="0.25">
      <c r="A4453" s="29"/>
      <c r="B4453" s="15"/>
      <c r="C4453" s="19"/>
      <c r="D4453" s="19"/>
      <c r="E4453" s="19"/>
      <c r="F4453" s="19"/>
      <c r="G4453" s="19"/>
      <c r="H4453" s="82"/>
    </row>
    <row r="4454" spans="1:8" s="28" customFormat="1" x14ac:dyDescent="0.25">
      <c r="A4454" s="29"/>
      <c r="B4454" s="15"/>
      <c r="C4454" s="19"/>
      <c r="D4454" s="19"/>
      <c r="E4454" s="19"/>
      <c r="F4454" s="19"/>
      <c r="G4454" s="19"/>
      <c r="H4454" s="82"/>
    </row>
    <row r="4455" spans="1:8" s="28" customFormat="1" x14ac:dyDescent="0.25">
      <c r="A4455" s="29"/>
      <c r="B4455" s="15"/>
      <c r="C4455" s="19"/>
      <c r="D4455" s="19"/>
      <c r="E4455" s="19"/>
      <c r="F4455" s="19"/>
      <c r="G4455" s="19"/>
      <c r="H4455" s="82"/>
    </row>
    <row r="4456" spans="1:8" s="28" customFormat="1" x14ac:dyDescent="0.25">
      <c r="A4456" s="29"/>
      <c r="B4456" s="15"/>
      <c r="C4456" s="19"/>
      <c r="D4456" s="19"/>
      <c r="E4456" s="19"/>
      <c r="F4456" s="19"/>
      <c r="G4456" s="19"/>
      <c r="H4456" s="82"/>
    </row>
    <row r="4457" spans="1:8" s="28" customFormat="1" x14ac:dyDescent="0.25">
      <c r="A4457" s="29"/>
      <c r="B4457" s="15"/>
      <c r="C4457" s="19"/>
      <c r="D4457" s="19"/>
      <c r="E4457" s="19"/>
      <c r="F4457" s="19"/>
      <c r="G4457" s="19"/>
      <c r="H4457" s="82"/>
    </row>
    <row r="4458" spans="1:8" s="28" customFormat="1" x14ac:dyDescent="0.25">
      <c r="A4458" s="29"/>
      <c r="B4458" s="15"/>
      <c r="C4458" s="19"/>
      <c r="D4458" s="19"/>
      <c r="E4458" s="19"/>
      <c r="F4458" s="19"/>
      <c r="G4458" s="19"/>
      <c r="H4458" s="82"/>
    </row>
    <row r="4459" spans="1:8" s="28" customFormat="1" x14ac:dyDescent="0.25">
      <c r="A4459" s="29"/>
      <c r="B4459" s="15"/>
      <c r="C4459" s="19"/>
      <c r="D4459" s="19"/>
      <c r="E4459" s="19"/>
      <c r="F4459" s="19"/>
      <c r="G4459" s="19"/>
      <c r="H4459" s="82"/>
    </row>
    <row r="4460" spans="1:8" s="28" customFormat="1" x14ac:dyDescent="0.25">
      <c r="A4460" s="29"/>
      <c r="B4460" s="15"/>
      <c r="C4460" s="19"/>
      <c r="D4460" s="19"/>
      <c r="E4460" s="19"/>
      <c r="F4460" s="19"/>
      <c r="G4460" s="19"/>
      <c r="H4460" s="82"/>
    </row>
    <row r="4461" spans="1:8" s="28" customFormat="1" x14ac:dyDescent="0.25">
      <c r="A4461" s="29"/>
      <c r="B4461" s="15"/>
      <c r="C4461" s="19"/>
      <c r="D4461" s="19"/>
      <c r="E4461" s="19"/>
      <c r="F4461" s="19"/>
      <c r="G4461" s="19"/>
      <c r="H4461" s="82"/>
    </row>
    <row r="4462" spans="1:8" s="28" customFormat="1" x14ac:dyDescent="0.25">
      <c r="A4462" s="29"/>
      <c r="B4462" s="15"/>
      <c r="C4462" s="19"/>
      <c r="D4462" s="19"/>
      <c r="E4462" s="19"/>
      <c r="F4462" s="19"/>
      <c r="G4462" s="19"/>
      <c r="H4462" s="82"/>
    </row>
    <row r="4463" spans="1:8" s="28" customFormat="1" x14ac:dyDescent="0.25">
      <c r="A4463" s="29"/>
      <c r="B4463" s="15"/>
      <c r="C4463" s="19"/>
      <c r="D4463" s="19"/>
      <c r="E4463" s="19"/>
      <c r="F4463" s="19"/>
      <c r="G4463" s="19"/>
      <c r="H4463" s="82"/>
    </row>
    <row r="4464" spans="1:8" s="28" customFormat="1" x14ac:dyDescent="0.25">
      <c r="A4464" s="29"/>
      <c r="B4464" s="15"/>
      <c r="C4464" s="19"/>
      <c r="D4464" s="19"/>
      <c r="E4464" s="19"/>
      <c r="F4464" s="19"/>
      <c r="G4464" s="19"/>
      <c r="H4464" s="82"/>
    </row>
    <row r="4465" spans="1:8" s="28" customFormat="1" x14ac:dyDescent="0.25">
      <c r="A4465" s="29"/>
      <c r="B4465" s="15"/>
      <c r="C4465" s="19"/>
      <c r="D4465" s="19"/>
      <c r="E4465" s="19"/>
      <c r="F4465" s="19"/>
      <c r="G4465" s="19"/>
      <c r="H4465" s="82"/>
    </row>
    <row r="4466" spans="1:8" s="28" customFormat="1" x14ac:dyDescent="0.25">
      <c r="A4466" s="29"/>
      <c r="B4466" s="15"/>
      <c r="C4466" s="19"/>
      <c r="D4466" s="19"/>
      <c r="E4466" s="19"/>
      <c r="F4466" s="19"/>
      <c r="G4466" s="19"/>
      <c r="H4466" s="82"/>
    </row>
    <row r="4467" spans="1:8" s="28" customFormat="1" x14ac:dyDescent="0.25">
      <c r="A4467" s="29"/>
      <c r="B4467" s="15"/>
      <c r="C4467" s="19"/>
      <c r="D4467" s="19"/>
      <c r="E4467" s="19"/>
      <c r="F4467" s="19"/>
      <c r="G4467" s="19"/>
      <c r="H4467" s="82"/>
    </row>
    <row r="4468" spans="1:8" s="28" customFormat="1" x14ac:dyDescent="0.25">
      <c r="A4468" s="29"/>
      <c r="B4468" s="15"/>
      <c r="C4468" s="19"/>
      <c r="D4468" s="19"/>
      <c r="E4468" s="19"/>
      <c r="F4468" s="19"/>
      <c r="G4468" s="19"/>
      <c r="H4468" s="82"/>
    </row>
    <row r="4469" spans="1:8" s="28" customFormat="1" x14ac:dyDescent="0.25">
      <c r="A4469" s="29"/>
      <c r="B4469" s="15"/>
      <c r="C4469" s="19"/>
      <c r="D4469" s="19"/>
      <c r="E4469" s="19"/>
      <c r="F4469" s="19"/>
      <c r="G4469" s="19"/>
      <c r="H4469" s="82"/>
    </row>
    <row r="4470" spans="1:8" s="28" customFormat="1" x14ac:dyDescent="0.25">
      <c r="A4470" s="29"/>
      <c r="B4470" s="15"/>
      <c r="C4470" s="19"/>
      <c r="D4470" s="19"/>
      <c r="E4470" s="19"/>
      <c r="F4470" s="19"/>
      <c r="G4470" s="19"/>
      <c r="H4470" s="82"/>
    </row>
    <row r="4471" spans="1:8" s="28" customFormat="1" x14ac:dyDescent="0.25">
      <c r="A4471" s="29"/>
      <c r="B4471" s="15"/>
      <c r="C4471" s="19"/>
      <c r="D4471" s="19"/>
      <c r="E4471" s="19"/>
      <c r="F4471" s="19"/>
      <c r="G4471" s="19"/>
      <c r="H4471" s="82"/>
    </row>
    <row r="4472" spans="1:8" s="28" customFormat="1" x14ac:dyDescent="0.25">
      <c r="A4472" s="29"/>
      <c r="B4472" s="15"/>
      <c r="C4472" s="19"/>
      <c r="D4472" s="19"/>
      <c r="E4472" s="19"/>
      <c r="F4472" s="19"/>
      <c r="G4472" s="19"/>
      <c r="H4472" s="82"/>
    </row>
    <row r="4473" spans="1:8" s="28" customFormat="1" x14ac:dyDescent="0.25">
      <c r="A4473" s="29"/>
      <c r="B4473" s="15"/>
      <c r="C4473" s="19"/>
      <c r="D4473" s="19"/>
      <c r="E4473" s="19"/>
      <c r="F4473" s="19"/>
      <c r="G4473" s="19"/>
      <c r="H4473" s="82"/>
    </row>
    <row r="4474" spans="1:8" s="28" customFormat="1" x14ac:dyDescent="0.25">
      <c r="A4474" s="29"/>
      <c r="B4474" s="15"/>
      <c r="C4474" s="19"/>
      <c r="D4474" s="19"/>
      <c r="E4474" s="19"/>
      <c r="F4474" s="19"/>
      <c r="G4474" s="19"/>
      <c r="H4474" s="82"/>
    </row>
    <row r="4475" spans="1:8" s="28" customFormat="1" x14ac:dyDescent="0.25">
      <c r="A4475" s="29"/>
      <c r="B4475" s="15"/>
      <c r="C4475" s="19"/>
      <c r="D4475" s="19"/>
      <c r="E4475" s="19"/>
      <c r="F4475" s="19"/>
      <c r="G4475" s="19"/>
      <c r="H4475" s="82"/>
    </row>
    <row r="4476" spans="1:8" s="28" customFormat="1" x14ac:dyDescent="0.25">
      <c r="A4476" s="29"/>
      <c r="B4476" s="15"/>
      <c r="C4476" s="19"/>
      <c r="D4476" s="19"/>
      <c r="E4476" s="19"/>
      <c r="F4476" s="19"/>
      <c r="G4476" s="19"/>
      <c r="H4476" s="82"/>
    </row>
    <row r="4477" spans="1:8" s="28" customFormat="1" x14ac:dyDescent="0.25">
      <c r="A4477" s="29"/>
      <c r="B4477" s="15"/>
      <c r="C4477" s="19"/>
      <c r="D4477" s="19"/>
      <c r="E4477" s="19"/>
      <c r="F4477" s="19"/>
      <c r="G4477" s="19"/>
      <c r="H4477" s="82"/>
    </row>
    <row r="4478" spans="1:8" s="28" customFormat="1" x14ac:dyDescent="0.25">
      <c r="A4478" s="29"/>
      <c r="B4478" s="15"/>
      <c r="C4478" s="19"/>
      <c r="D4478" s="19"/>
      <c r="E4478" s="19"/>
      <c r="F4478" s="19"/>
      <c r="G4478" s="19"/>
      <c r="H4478" s="82"/>
    </row>
    <row r="4479" spans="1:8" s="28" customFormat="1" x14ac:dyDescent="0.25">
      <c r="A4479" s="29"/>
      <c r="B4479" s="15"/>
      <c r="C4479" s="19"/>
      <c r="D4479" s="19"/>
      <c r="E4479" s="19"/>
      <c r="F4479" s="19"/>
      <c r="G4479" s="19"/>
      <c r="H4479" s="82"/>
    </row>
    <row r="4480" spans="1:8" s="28" customFormat="1" x14ac:dyDescent="0.25">
      <c r="A4480" s="29"/>
      <c r="B4480" s="15"/>
      <c r="C4480" s="19"/>
      <c r="D4480" s="19"/>
      <c r="E4480" s="19"/>
      <c r="F4480" s="19"/>
      <c r="G4480" s="19"/>
      <c r="H4480" s="82"/>
    </row>
    <row r="4481" spans="1:8" s="28" customFormat="1" x14ac:dyDescent="0.25">
      <c r="A4481" s="29"/>
      <c r="B4481" s="15"/>
      <c r="C4481" s="19"/>
      <c r="D4481" s="19"/>
      <c r="E4481" s="19"/>
      <c r="F4481" s="19"/>
      <c r="G4481" s="19"/>
      <c r="H4481" s="82"/>
    </row>
    <row r="4482" spans="1:8" s="28" customFormat="1" x14ac:dyDescent="0.25">
      <c r="A4482" s="29"/>
      <c r="B4482" s="15"/>
      <c r="C4482" s="19"/>
      <c r="D4482" s="19"/>
      <c r="E4482" s="19"/>
      <c r="F4482" s="19"/>
      <c r="G4482" s="19"/>
      <c r="H4482" s="82"/>
    </row>
    <row r="4483" spans="1:8" s="28" customFormat="1" x14ac:dyDescent="0.25">
      <c r="A4483" s="29"/>
      <c r="B4483" s="15"/>
      <c r="C4483" s="19"/>
      <c r="D4483" s="19"/>
      <c r="E4483" s="19"/>
      <c r="F4483" s="19"/>
      <c r="G4483" s="19"/>
      <c r="H4483" s="82"/>
    </row>
    <row r="4484" spans="1:8" s="28" customFormat="1" x14ac:dyDescent="0.25">
      <c r="A4484" s="29"/>
      <c r="B4484" s="15"/>
      <c r="C4484" s="19"/>
      <c r="D4484" s="19"/>
      <c r="E4484" s="19"/>
      <c r="F4484" s="19"/>
      <c r="G4484" s="19"/>
      <c r="H4484" s="82"/>
    </row>
    <row r="4485" spans="1:8" s="28" customFormat="1" x14ac:dyDescent="0.25">
      <c r="A4485" s="29"/>
      <c r="B4485" s="15"/>
      <c r="C4485" s="19"/>
      <c r="D4485" s="19"/>
      <c r="E4485" s="19"/>
      <c r="F4485" s="19"/>
      <c r="G4485" s="19"/>
      <c r="H4485" s="82"/>
    </row>
    <row r="4486" spans="1:8" s="28" customFormat="1" x14ac:dyDescent="0.25">
      <c r="A4486" s="29"/>
      <c r="B4486" s="15"/>
      <c r="C4486" s="19"/>
      <c r="D4486" s="19"/>
      <c r="E4486" s="19"/>
      <c r="F4486" s="19"/>
      <c r="G4486" s="19"/>
      <c r="H4486" s="82"/>
    </row>
    <row r="4487" spans="1:8" s="28" customFormat="1" x14ac:dyDescent="0.25">
      <c r="A4487" s="29"/>
      <c r="B4487" s="15"/>
      <c r="C4487" s="19"/>
      <c r="D4487" s="19"/>
      <c r="E4487" s="19"/>
      <c r="F4487" s="19"/>
      <c r="G4487" s="19"/>
      <c r="H4487" s="82"/>
    </row>
    <row r="4488" spans="1:8" s="28" customFormat="1" x14ac:dyDescent="0.25">
      <c r="A4488" s="29"/>
      <c r="B4488" s="15"/>
      <c r="C4488" s="19"/>
      <c r="D4488" s="19"/>
      <c r="E4488" s="19"/>
      <c r="F4488" s="19"/>
      <c r="G4488" s="19"/>
      <c r="H4488" s="82"/>
    </row>
    <row r="4489" spans="1:8" s="28" customFormat="1" x14ac:dyDescent="0.25">
      <c r="A4489" s="29"/>
      <c r="B4489" s="15"/>
      <c r="C4489" s="19"/>
      <c r="D4489" s="19"/>
      <c r="E4489" s="19"/>
      <c r="F4489" s="19"/>
      <c r="G4489" s="19"/>
      <c r="H4489" s="82"/>
    </row>
    <row r="4490" spans="1:8" s="28" customFormat="1" x14ac:dyDescent="0.25">
      <c r="A4490" s="29"/>
      <c r="B4490" s="15"/>
      <c r="C4490" s="19"/>
      <c r="D4490" s="19"/>
      <c r="E4490" s="19"/>
      <c r="F4490" s="19"/>
      <c r="G4490" s="19"/>
      <c r="H4490" s="82"/>
    </row>
    <row r="4491" spans="1:8" s="28" customFormat="1" x14ac:dyDescent="0.25">
      <c r="A4491" s="29"/>
      <c r="B4491" s="15"/>
      <c r="C4491" s="19"/>
      <c r="D4491" s="19"/>
      <c r="E4491" s="19"/>
      <c r="F4491" s="19"/>
      <c r="G4491" s="19"/>
      <c r="H4491" s="82"/>
    </row>
    <row r="4492" spans="1:8" s="28" customFormat="1" x14ac:dyDescent="0.25">
      <c r="A4492" s="29"/>
      <c r="B4492" s="15"/>
      <c r="C4492" s="19"/>
      <c r="D4492" s="19"/>
      <c r="E4492" s="19"/>
      <c r="F4492" s="19"/>
      <c r="G4492" s="19"/>
      <c r="H4492" s="82"/>
    </row>
    <row r="4493" spans="1:8" s="28" customFormat="1" x14ac:dyDescent="0.25">
      <c r="A4493" s="29"/>
      <c r="B4493" s="15"/>
      <c r="C4493" s="19"/>
      <c r="D4493" s="19"/>
      <c r="E4493" s="19"/>
      <c r="F4493" s="19"/>
      <c r="G4493" s="19"/>
      <c r="H4493" s="82"/>
    </row>
    <row r="4494" spans="1:8" s="28" customFormat="1" x14ac:dyDescent="0.25">
      <c r="A4494" s="29"/>
      <c r="B4494" s="15"/>
      <c r="C4494" s="19"/>
      <c r="D4494" s="19"/>
      <c r="E4494" s="19"/>
      <c r="F4494" s="19"/>
      <c r="G4494" s="19"/>
      <c r="H4494" s="82"/>
    </row>
    <row r="4495" spans="1:8" s="28" customFormat="1" x14ac:dyDescent="0.25">
      <c r="A4495" s="29"/>
      <c r="B4495" s="15"/>
      <c r="C4495" s="19"/>
      <c r="D4495" s="19"/>
      <c r="E4495" s="19"/>
      <c r="F4495" s="19"/>
      <c r="G4495" s="19"/>
      <c r="H4495" s="82"/>
    </row>
    <row r="4496" spans="1:8" s="28" customFormat="1" x14ac:dyDescent="0.25">
      <c r="A4496" s="29"/>
      <c r="B4496" s="15"/>
      <c r="C4496" s="19"/>
      <c r="D4496" s="19"/>
      <c r="E4496" s="19"/>
      <c r="F4496" s="19"/>
      <c r="G4496" s="19"/>
      <c r="H4496" s="82"/>
    </row>
    <row r="4497" spans="1:8" s="28" customFormat="1" x14ac:dyDescent="0.25">
      <c r="A4497" s="29"/>
      <c r="B4497" s="15"/>
      <c r="C4497" s="19"/>
      <c r="D4497" s="19"/>
      <c r="E4497" s="19"/>
      <c r="F4497" s="19"/>
      <c r="G4497" s="19"/>
      <c r="H4497" s="82"/>
    </row>
    <row r="4498" spans="1:8" s="28" customFormat="1" x14ac:dyDescent="0.25">
      <c r="A4498" s="29"/>
      <c r="B4498" s="15"/>
      <c r="C4498" s="19"/>
      <c r="D4498" s="19"/>
      <c r="E4498" s="19"/>
      <c r="F4498" s="19"/>
      <c r="G4498" s="19"/>
      <c r="H4498" s="82"/>
    </row>
    <row r="4499" spans="1:8" s="28" customFormat="1" x14ac:dyDescent="0.25">
      <c r="A4499" s="29"/>
      <c r="B4499" s="15"/>
      <c r="C4499" s="19"/>
      <c r="D4499" s="19"/>
      <c r="E4499" s="19"/>
      <c r="F4499" s="19"/>
      <c r="G4499" s="19"/>
      <c r="H4499" s="82"/>
    </row>
    <row r="4500" spans="1:8" s="28" customFormat="1" x14ac:dyDescent="0.25">
      <c r="A4500" s="29"/>
      <c r="B4500" s="15"/>
      <c r="C4500" s="19"/>
      <c r="D4500" s="19"/>
      <c r="E4500" s="19"/>
      <c r="F4500" s="19"/>
      <c r="G4500" s="19"/>
      <c r="H4500" s="82"/>
    </row>
    <row r="4501" spans="1:8" s="28" customFormat="1" x14ac:dyDescent="0.25">
      <c r="A4501" s="29"/>
      <c r="B4501" s="15"/>
      <c r="C4501" s="19"/>
      <c r="D4501" s="19"/>
      <c r="E4501" s="19"/>
      <c r="F4501" s="19"/>
      <c r="G4501" s="19"/>
      <c r="H4501" s="82"/>
    </row>
    <row r="4502" spans="1:8" s="28" customFormat="1" x14ac:dyDescent="0.25">
      <c r="A4502" s="29"/>
      <c r="B4502" s="15"/>
      <c r="C4502" s="19"/>
      <c r="D4502" s="19"/>
      <c r="E4502" s="19"/>
      <c r="F4502" s="19"/>
      <c r="G4502" s="19"/>
      <c r="H4502" s="82"/>
    </row>
    <row r="4503" spans="1:8" s="28" customFormat="1" x14ac:dyDescent="0.25">
      <c r="A4503" s="29"/>
      <c r="B4503" s="15"/>
      <c r="C4503" s="19"/>
      <c r="D4503" s="19"/>
      <c r="E4503" s="19"/>
      <c r="F4503" s="19"/>
      <c r="G4503" s="19"/>
      <c r="H4503" s="82"/>
    </row>
    <row r="4504" spans="1:8" s="28" customFormat="1" x14ac:dyDescent="0.25">
      <c r="A4504" s="29"/>
      <c r="B4504" s="15"/>
      <c r="C4504" s="19"/>
      <c r="D4504" s="19"/>
      <c r="E4504" s="19"/>
      <c r="F4504" s="19"/>
      <c r="G4504" s="19"/>
      <c r="H4504" s="82"/>
    </row>
    <row r="4505" spans="1:8" s="28" customFormat="1" x14ac:dyDescent="0.25">
      <c r="A4505" s="29"/>
      <c r="B4505" s="15"/>
      <c r="C4505" s="19"/>
      <c r="D4505" s="19"/>
      <c r="E4505" s="19"/>
      <c r="F4505" s="19"/>
      <c r="G4505" s="19"/>
      <c r="H4505" s="82"/>
    </row>
    <row r="4506" spans="1:8" s="28" customFormat="1" x14ac:dyDescent="0.25">
      <c r="A4506" s="29"/>
      <c r="B4506" s="15"/>
      <c r="C4506" s="19"/>
      <c r="D4506" s="19"/>
      <c r="E4506" s="19"/>
      <c r="F4506" s="19"/>
      <c r="G4506" s="19"/>
      <c r="H4506" s="82"/>
    </row>
    <row r="4507" spans="1:8" s="28" customFormat="1" x14ac:dyDescent="0.25">
      <c r="A4507" s="29"/>
      <c r="B4507" s="15"/>
      <c r="C4507" s="19"/>
      <c r="D4507" s="19"/>
      <c r="E4507" s="19"/>
      <c r="F4507" s="19"/>
      <c r="G4507" s="19"/>
      <c r="H4507" s="82"/>
    </row>
    <row r="4508" spans="1:8" s="28" customFormat="1" x14ac:dyDescent="0.25">
      <c r="A4508" s="29"/>
      <c r="B4508" s="15"/>
      <c r="C4508" s="19"/>
      <c r="D4508" s="19"/>
      <c r="E4508" s="19"/>
      <c r="F4508" s="19"/>
      <c r="G4508" s="19"/>
      <c r="H4508" s="82"/>
    </row>
    <row r="4509" spans="1:8" s="28" customFormat="1" x14ac:dyDescent="0.25">
      <c r="A4509" s="29"/>
      <c r="B4509" s="15"/>
      <c r="C4509" s="19"/>
      <c r="D4509" s="19"/>
      <c r="E4509" s="19"/>
      <c r="F4509" s="19"/>
      <c r="G4509" s="19"/>
      <c r="H4509" s="82"/>
    </row>
    <row r="4510" spans="1:8" s="28" customFormat="1" x14ac:dyDescent="0.25">
      <c r="A4510" s="29"/>
      <c r="B4510" s="15"/>
      <c r="C4510" s="19"/>
      <c r="D4510" s="19"/>
      <c r="E4510" s="19"/>
      <c r="F4510" s="19"/>
      <c r="G4510" s="19"/>
      <c r="H4510" s="82"/>
    </row>
    <row r="4511" spans="1:8" s="28" customFormat="1" x14ac:dyDescent="0.25">
      <c r="A4511" s="29"/>
      <c r="B4511" s="15"/>
      <c r="C4511" s="19"/>
      <c r="D4511" s="19"/>
      <c r="E4511" s="19"/>
      <c r="F4511" s="19"/>
      <c r="G4511" s="19"/>
      <c r="H4511" s="82"/>
    </row>
    <row r="4512" spans="1:8" s="28" customFormat="1" x14ac:dyDescent="0.25">
      <c r="A4512" s="29"/>
      <c r="B4512" s="15"/>
      <c r="C4512" s="19"/>
      <c r="D4512" s="19"/>
      <c r="E4512" s="19"/>
      <c r="F4512" s="19"/>
      <c r="G4512" s="19"/>
      <c r="H4512" s="82"/>
    </row>
    <row r="4513" spans="1:8" s="28" customFormat="1" x14ac:dyDescent="0.25">
      <c r="A4513" s="29"/>
      <c r="B4513" s="15"/>
      <c r="C4513" s="19"/>
      <c r="D4513" s="19"/>
      <c r="E4513" s="19"/>
      <c r="F4513" s="19"/>
      <c r="G4513" s="19"/>
      <c r="H4513" s="82"/>
    </row>
    <row r="4514" spans="1:8" s="28" customFormat="1" x14ac:dyDescent="0.25">
      <c r="A4514" s="29"/>
      <c r="B4514" s="15"/>
      <c r="C4514" s="19"/>
      <c r="D4514" s="19"/>
      <c r="E4514" s="19"/>
      <c r="F4514" s="19"/>
      <c r="G4514" s="19"/>
      <c r="H4514" s="82"/>
    </row>
    <row r="4515" spans="1:8" s="28" customFormat="1" x14ac:dyDescent="0.25">
      <c r="A4515" s="29"/>
      <c r="B4515" s="15"/>
      <c r="C4515" s="19"/>
      <c r="D4515" s="19"/>
      <c r="E4515" s="19"/>
      <c r="F4515" s="19"/>
      <c r="G4515" s="19"/>
      <c r="H4515" s="82"/>
    </row>
    <row r="4516" spans="1:8" s="28" customFormat="1" x14ac:dyDescent="0.25">
      <c r="A4516" s="29"/>
      <c r="B4516" s="15"/>
      <c r="C4516" s="19"/>
      <c r="D4516" s="19"/>
      <c r="E4516" s="19"/>
      <c r="F4516" s="19"/>
      <c r="G4516" s="19"/>
      <c r="H4516" s="82"/>
    </row>
    <row r="4517" spans="1:8" s="28" customFormat="1" x14ac:dyDescent="0.25">
      <c r="A4517" s="29"/>
      <c r="B4517" s="15"/>
      <c r="C4517" s="19"/>
      <c r="D4517" s="19"/>
      <c r="E4517" s="19"/>
      <c r="F4517" s="19"/>
      <c r="G4517" s="19"/>
      <c r="H4517" s="82"/>
    </row>
    <row r="4518" spans="1:8" s="28" customFormat="1" x14ac:dyDescent="0.25">
      <c r="A4518" s="29"/>
      <c r="B4518" s="15"/>
      <c r="C4518" s="19"/>
      <c r="D4518" s="19"/>
      <c r="E4518" s="19"/>
      <c r="F4518" s="19"/>
      <c r="G4518" s="19"/>
      <c r="H4518" s="82"/>
    </row>
    <row r="4519" spans="1:8" s="28" customFormat="1" x14ac:dyDescent="0.25">
      <c r="A4519" s="29"/>
      <c r="B4519" s="15"/>
      <c r="C4519" s="19"/>
      <c r="D4519" s="19"/>
      <c r="E4519" s="19"/>
      <c r="F4519" s="19"/>
      <c r="G4519" s="19"/>
      <c r="H4519" s="82"/>
    </row>
    <row r="4520" spans="1:8" s="28" customFormat="1" x14ac:dyDescent="0.25">
      <c r="A4520" s="29"/>
      <c r="B4520" s="15"/>
      <c r="C4520" s="19"/>
      <c r="D4520" s="19"/>
      <c r="E4520" s="19"/>
      <c r="F4520" s="19"/>
      <c r="G4520" s="19"/>
      <c r="H4520" s="82"/>
    </row>
    <row r="4521" spans="1:8" s="28" customFormat="1" x14ac:dyDescent="0.25">
      <c r="A4521" s="29"/>
      <c r="B4521" s="15"/>
      <c r="C4521" s="19"/>
      <c r="D4521" s="19"/>
      <c r="E4521" s="19"/>
      <c r="F4521" s="19"/>
      <c r="G4521" s="19"/>
      <c r="H4521" s="82"/>
    </row>
    <row r="4522" spans="1:8" s="28" customFormat="1" x14ac:dyDescent="0.25">
      <c r="A4522" s="29"/>
      <c r="B4522" s="15"/>
      <c r="C4522" s="19"/>
      <c r="D4522" s="19"/>
      <c r="E4522" s="19"/>
      <c r="F4522" s="19"/>
      <c r="G4522" s="19"/>
      <c r="H4522" s="82"/>
    </row>
    <row r="4523" spans="1:8" s="28" customFormat="1" x14ac:dyDescent="0.25">
      <c r="A4523" s="29"/>
      <c r="B4523" s="15"/>
      <c r="C4523" s="19"/>
      <c r="D4523" s="19"/>
      <c r="E4523" s="19"/>
      <c r="F4523" s="19"/>
      <c r="G4523" s="19"/>
      <c r="H4523" s="82"/>
    </row>
    <row r="4524" spans="1:8" s="28" customFormat="1" x14ac:dyDescent="0.25">
      <c r="A4524" s="29"/>
      <c r="B4524" s="15"/>
      <c r="C4524" s="19"/>
      <c r="D4524" s="19"/>
      <c r="E4524" s="19"/>
      <c r="F4524" s="19"/>
      <c r="G4524" s="19"/>
      <c r="H4524" s="82"/>
    </row>
    <row r="4525" spans="1:8" s="28" customFormat="1" x14ac:dyDescent="0.25">
      <c r="A4525" s="29"/>
      <c r="B4525" s="15"/>
      <c r="C4525" s="19"/>
      <c r="D4525" s="19"/>
      <c r="E4525" s="19"/>
      <c r="F4525" s="19"/>
      <c r="G4525" s="19"/>
      <c r="H4525" s="82"/>
    </row>
    <row r="4526" spans="1:8" s="28" customFormat="1" x14ac:dyDescent="0.25">
      <c r="A4526" s="29"/>
      <c r="B4526" s="15"/>
      <c r="C4526" s="19"/>
      <c r="D4526" s="19"/>
      <c r="E4526" s="19"/>
      <c r="F4526" s="19"/>
      <c r="G4526" s="19"/>
      <c r="H4526" s="82"/>
    </row>
    <row r="4527" spans="1:8" s="28" customFormat="1" x14ac:dyDescent="0.25">
      <c r="A4527" s="29"/>
      <c r="B4527" s="15"/>
      <c r="C4527" s="19"/>
      <c r="D4527" s="19"/>
      <c r="E4527" s="19"/>
      <c r="F4527" s="19"/>
      <c r="G4527" s="19"/>
      <c r="H4527" s="82"/>
    </row>
    <row r="4528" spans="1:8" s="28" customFormat="1" x14ac:dyDescent="0.25">
      <c r="A4528" s="29"/>
      <c r="B4528" s="15"/>
      <c r="C4528" s="19"/>
      <c r="D4528" s="19"/>
      <c r="E4528" s="19"/>
      <c r="F4528" s="19"/>
      <c r="G4528" s="19"/>
      <c r="H4528" s="82"/>
    </row>
    <row r="4529" spans="1:8" s="28" customFormat="1" x14ac:dyDescent="0.25">
      <c r="A4529" s="29"/>
      <c r="B4529" s="15"/>
      <c r="C4529" s="19"/>
      <c r="D4529" s="19"/>
      <c r="E4529" s="19"/>
      <c r="F4529" s="19"/>
      <c r="G4529" s="19"/>
      <c r="H4529" s="82"/>
    </row>
    <row r="4530" spans="1:8" s="28" customFormat="1" x14ac:dyDescent="0.25">
      <c r="A4530" s="29"/>
      <c r="B4530" s="15"/>
      <c r="C4530" s="19"/>
      <c r="D4530" s="19"/>
      <c r="E4530" s="19"/>
      <c r="F4530" s="19"/>
      <c r="G4530" s="19"/>
      <c r="H4530" s="82"/>
    </row>
    <row r="4531" spans="1:8" s="28" customFormat="1" x14ac:dyDescent="0.25">
      <c r="A4531" s="29"/>
      <c r="B4531" s="15"/>
      <c r="C4531" s="19"/>
      <c r="D4531" s="19"/>
      <c r="E4531" s="19"/>
      <c r="F4531" s="19"/>
      <c r="G4531" s="19"/>
      <c r="H4531" s="82"/>
    </row>
    <row r="4532" spans="1:8" s="28" customFormat="1" x14ac:dyDescent="0.25">
      <c r="A4532" s="29"/>
      <c r="B4532" s="15"/>
      <c r="C4532" s="19"/>
      <c r="D4532" s="19"/>
      <c r="E4532" s="19"/>
      <c r="F4532" s="19"/>
      <c r="G4532" s="19"/>
      <c r="H4532" s="82"/>
    </row>
    <row r="4533" spans="1:8" s="28" customFormat="1" x14ac:dyDescent="0.25">
      <c r="A4533" s="29"/>
      <c r="B4533" s="15"/>
      <c r="C4533" s="19"/>
      <c r="D4533" s="19"/>
      <c r="E4533" s="19"/>
      <c r="F4533" s="19"/>
      <c r="G4533" s="19"/>
      <c r="H4533" s="82"/>
    </row>
    <row r="4534" spans="1:8" s="28" customFormat="1" x14ac:dyDescent="0.25">
      <c r="A4534" s="29"/>
      <c r="B4534" s="15"/>
      <c r="C4534" s="19"/>
      <c r="D4534" s="19"/>
      <c r="E4534" s="19"/>
      <c r="F4534" s="19"/>
      <c r="G4534" s="19"/>
      <c r="H4534" s="82"/>
    </row>
    <row r="4535" spans="1:8" s="28" customFormat="1" x14ac:dyDescent="0.25">
      <c r="A4535" s="29"/>
      <c r="B4535" s="15"/>
      <c r="C4535" s="19"/>
      <c r="D4535" s="19"/>
      <c r="E4535" s="19"/>
      <c r="F4535" s="19"/>
      <c r="G4535" s="19"/>
      <c r="H4535" s="82"/>
    </row>
    <row r="4536" spans="1:8" s="28" customFormat="1" x14ac:dyDescent="0.25">
      <c r="A4536" s="29"/>
      <c r="B4536" s="15"/>
      <c r="C4536" s="19"/>
      <c r="D4536" s="19"/>
      <c r="E4536" s="19"/>
      <c r="F4536" s="19"/>
      <c r="G4536" s="19"/>
      <c r="H4536" s="82"/>
    </row>
    <row r="4537" spans="1:8" s="28" customFormat="1" x14ac:dyDescent="0.25">
      <c r="A4537" s="29"/>
      <c r="B4537" s="15"/>
      <c r="C4537" s="19"/>
      <c r="D4537" s="19"/>
      <c r="E4537" s="19"/>
      <c r="F4537" s="19"/>
      <c r="G4537" s="19"/>
      <c r="H4537" s="82"/>
    </row>
    <row r="4538" spans="1:8" s="28" customFormat="1" x14ac:dyDescent="0.25">
      <c r="A4538" s="29"/>
      <c r="B4538" s="15"/>
      <c r="C4538" s="19"/>
      <c r="D4538" s="19"/>
      <c r="E4538" s="19"/>
      <c r="F4538" s="19"/>
      <c r="G4538" s="19"/>
      <c r="H4538" s="82"/>
    </row>
    <row r="4539" spans="1:8" s="28" customFormat="1" x14ac:dyDescent="0.25">
      <c r="A4539" s="29"/>
      <c r="B4539" s="15"/>
      <c r="C4539" s="19"/>
      <c r="D4539" s="19"/>
      <c r="E4539" s="19"/>
      <c r="F4539" s="19"/>
      <c r="G4539" s="19"/>
      <c r="H4539" s="82"/>
    </row>
    <row r="4540" spans="1:8" s="28" customFormat="1" x14ac:dyDescent="0.25">
      <c r="A4540" s="29"/>
      <c r="B4540" s="15"/>
      <c r="C4540" s="19"/>
      <c r="D4540" s="19"/>
      <c r="E4540" s="19"/>
      <c r="F4540" s="19"/>
      <c r="G4540" s="19"/>
      <c r="H4540" s="82"/>
    </row>
    <row r="4541" spans="1:8" s="28" customFormat="1" x14ac:dyDescent="0.25">
      <c r="A4541" s="29"/>
      <c r="B4541" s="15"/>
      <c r="C4541" s="19"/>
      <c r="D4541" s="19"/>
      <c r="E4541" s="19"/>
      <c r="F4541" s="19"/>
      <c r="G4541" s="19"/>
      <c r="H4541" s="82"/>
    </row>
    <row r="4542" spans="1:8" s="28" customFormat="1" x14ac:dyDescent="0.25">
      <c r="A4542" s="29"/>
      <c r="B4542" s="15"/>
      <c r="C4542" s="19"/>
      <c r="D4542" s="19"/>
      <c r="E4542" s="19"/>
      <c r="F4542" s="19"/>
      <c r="G4542" s="19"/>
      <c r="H4542" s="82"/>
    </row>
    <row r="4543" spans="1:8" s="28" customFormat="1" x14ac:dyDescent="0.25">
      <c r="A4543" s="29"/>
      <c r="B4543" s="15"/>
      <c r="C4543" s="19"/>
      <c r="D4543" s="19"/>
      <c r="E4543" s="19"/>
      <c r="F4543" s="19"/>
      <c r="G4543" s="19"/>
      <c r="H4543" s="82"/>
    </row>
    <row r="4544" spans="1:8" s="28" customFormat="1" x14ac:dyDescent="0.25">
      <c r="A4544" s="29"/>
      <c r="B4544" s="15"/>
      <c r="C4544" s="19"/>
      <c r="D4544" s="19"/>
      <c r="E4544" s="19"/>
      <c r="F4544" s="19"/>
      <c r="G4544" s="19"/>
      <c r="H4544" s="82"/>
    </row>
    <row r="4545" spans="1:8" s="28" customFormat="1" x14ac:dyDescent="0.25">
      <c r="A4545" s="29"/>
      <c r="B4545" s="15"/>
      <c r="C4545" s="19"/>
      <c r="D4545" s="19"/>
      <c r="E4545" s="19"/>
      <c r="F4545" s="19"/>
      <c r="G4545" s="19"/>
      <c r="H4545" s="82"/>
    </row>
    <row r="4546" spans="1:8" s="28" customFormat="1" x14ac:dyDescent="0.25">
      <c r="A4546" s="29"/>
      <c r="B4546" s="15"/>
      <c r="C4546" s="19"/>
      <c r="D4546" s="19"/>
      <c r="E4546" s="19"/>
      <c r="F4546" s="19"/>
      <c r="G4546" s="19"/>
      <c r="H4546" s="82"/>
    </row>
    <row r="4547" spans="1:8" s="28" customFormat="1" x14ac:dyDescent="0.25">
      <c r="A4547" s="29"/>
      <c r="B4547" s="15"/>
      <c r="C4547" s="19"/>
      <c r="D4547" s="19"/>
      <c r="E4547" s="19"/>
      <c r="F4547" s="19"/>
      <c r="G4547" s="19"/>
      <c r="H4547" s="82"/>
    </row>
    <row r="4548" spans="1:8" s="28" customFormat="1" x14ac:dyDescent="0.25">
      <c r="A4548" s="29"/>
      <c r="B4548" s="15"/>
      <c r="C4548" s="19"/>
      <c r="D4548" s="19"/>
      <c r="E4548" s="19"/>
      <c r="F4548" s="19"/>
      <c r="G4548" s="19"/>
      <c r="H4548" s="82"/>
    </row>
    <row r="4549" spans="1:8" s="28" customFormat="1" x14ac:dyDescent="0.25">
      <c r="A4549" s="29"/>
      <c r="B4549" s="15"/>
      <c r="C4549" s="19"/>
      <c r="D4549" s="19"/>
      <c r="E4549" s="19"/>
      <c r="F4549" s="19"/>
      <c r="G4549" s="19"/>
      <c r="H4549" s="82"/>
    </row>
    <row r="4550" spans="1:8" s="28" customFormat="1" x14ac:dyDescent="0.25">
      <c r="A4550" s="29"/>
      <c r="B4550" s="15"/>
      <c r="C4550" s="19"/>
      <c r="D4550" s="19"/>
      <c r="E4550" s="19"/>
      <c r="F4550" s="19"/>
      <c r="G4550" s="19"/>
      <c r="H4550" s="82"/>
    </row>
    <row r="4551" spans="1:8" s="28" customFormat="1" x14ac:dyDescent="0.25">
      <c r="A4551" s="29"/>
      <c r="B4551" s="15"/>
      <c r="C4551" s="19"/>
      <c r="D4551" s="19"/>
      <c r="E4551" s="19"/>
      <c r="F4551" s="19"/>
      <c r="G4551" s="19"/>
      <c r="H4551" s="82"/>
    </row>
    <row r="4552" spans="1:8" s="28" customFormat="1" x14ac:dyDescent="0.25">
      <c r="A4552" s="29"/>
      <c r="B4552" s="15"/>
      <c r="C4552" s="19"/>
      <c r="D4552" s="19"/>
      <c r="E4552" s="19"/>
      <c r="F4552" s="19"/>
      <c r="G4552" s="19"/>
      <c r="H4552" s="82"/>
    </row>
    <row r="4553" spans="1:8" s="28" customFormat="1" x14ac:dyDescent="0.25">
      <c r="A4553" s="29"/>
      <c r="B4553" s="15"/>
      <c r="C4553" s="19"/>
      <c r="D4553" s="19"/>
      <c r="E4553" s="19"/>
      <c r="F4553" s="19"/>
      <c r="G4553" s="19"/>
      <c r="H4553" s="82"/>
    </row>
    <row r="4554" spans="1:8" s="28" customFormat="1" x14ac:dyDescent="0.25">
      <c r="A4554" s="29"/>
      <c r="B4554" s="15"/>
      <c r="C4554" s="19"/>
      <c r="D4554" s="19"/>
      <c r="E4554" s="19"/>
      <c r="F4554" s="19"/>
      <c r="G4554" s="19"/>
      <c r="H4554" s="82"/>
    </row>
    <row r="4555" spans="1:8" s="28" customFormat="1" x14ac:dyDescent="0.25">
      <c r="A4555" s="29"/>
      <c r="B4555" s="15"/>
      <c r="C4555" s="19"/>
      <c r="D4555" s="19"/>
      <c r="E4555" s="19"/>
      <c r="F4555" s="19"/>
      <c r="G4555" s="19"/>
      <c r="H4555" s="82"/>
    </row>
    <row r="4556" spans="1:8" s="28" customFormat="1" x14ac:dyDescent="0.25">
      <c r="A4556" s="29"/>
      <c r="B4556" s="15"/>
      <c r="C4556" s="19"/>
      <c r="D4556" s="19"/>
      <c r="E4556" s="19"/>
      <c r="F4556" s="19"/>
      <c r="G4556" s="19"/>
      <c r="H4556" s="82"/>
    </row>
    <row r="4557" spans="1:8" s="28" customFormat="1" x14ac:dyDescent="0.25">
      <c r="A4557" s="29"/>
      <c r="B4557" s="15"/>
      <c r="C4557" s="19"/>
      <c r="D4557" s="19"/>
      <c r="E4557" s="19"/>
      <c r="F4557" s="19"/>
      <c r="G4557" s="19"/>
      <c r="H4557" s="82"/>
    </row>
    <row r="4558" spans="1:8" s="28" customFormat="1" x14ac:dyDescent="0.25">
      <c r="A4558" s="29"/>
      <c r="B4558" s="15"/>
      <c r="C4558" s="19"/>
      <c r="D4558" s="19"/>
      <c r="E4558" s="19"/>
      <c r="F4558" s="19"/>
      <c r="G4558" s="19"/>
      <c r="H4558" s="82"/>
    </row>
    <row r="4559" spans="1:8" s="28" customFormat="1" x14ac:dyDescent="0.25">
      <c r="A4559" s="29"/>
      <c r="B4559" s="15"/>
      <c r="C4559" s="19"/>
      <c r="D4559" s="19"/>
      <c r="E4559" s="19"/>
      <c r="F4559" s="19"/>
      <c r="G4559" s="19"/>
      <c r="H4559" s="82"/>
    </row>
    <row r="4560" spans="1:8" s="28" customFormat="1" x14ac:dyDescent="0.25">
      <c r="A4560" s="29"/>
      <c r="B4560" s="15"/>
      <c r="C4560" s="19"/>
      <c r="D4560" s="19"/>
      <c r="E4560" s="19"/>
      <c r="F4560" s="19"/>
      <c r="G4560" s="19"/>
      <c r="H4560" s="82"/>
    </row>
    <row r="4561" spans="1:8" s="28" customFormat="1" x14ac:dyDescent="0.25">
      <c r="A4561" s="29"/>
      <c r="B4561" s="15"/>
      <c r="C4561" s="19"/>
      <c r="D4561" s="19"/>
      <c r="E4561" s="19"/>
      <c r="F4561" s="19"/>
      <c r="G4561" s="19"/>
      <c r="H4561" s="82"/>
    </row>
    <row r="4562" spans="1:8" s="28" customFormat="1" x14ac:dyDescent="0.25">
      <c r="A4562" s="29"/>
      <c r="B4562" s="15"/>
      <c r="C4562" s="19"/>
      <c r="D4562" s="19"/>
      <c r="E4562" s="19"/>
      <c r="F4562" s="19"/>
      <c r="G4562" s="19"/>
      <c r="H4562" s="82"/>
    </row>
    <row r="4563" spans="1:8" s="28" customFormat="1" x14ac:dyDescent="0.25">
      <c r="A4563" s="29"/>
      <c r="B4563" s="15"/>
      <c r="C4563" s="19"/>
      <c r="D4563" s="19"/>
      <c r="E4563" s="19"/>
      <c r="F4563" s="19"/>
      <c r="G4563" s="19"/>
      <c r="H4563" s="82"/>
    </row>
    <row r="4564" spans="1:8" s="28" customFormat="1" x14ac:dyDescent="0.25">
      <c r="A4564" s="29"/>
      <c r="B4564" s="15"/>
      <c r="C4564" s="19"/>
      <c r="D4564" s="19"/>
      <c r="E4564" s="19"/>
      <c r="F4564" s="19"/>
      <c r="G4564" s="19"/>
      <c r="H4564" s="82"/>
    </row>
    <row r="4565" spans="1:8" s="28" customFormat="1" x14ac:dyDescent="0.25">
      <c r="A4565" s="29"/>
      <c r="B4565" s="15"/>
      <c r="C4565" s="19"/>
      <c r="D4565" s="19"/>
      <c r="E4565" s="19"/>
      <c r="F4565" s="19"/>
      <c r="G4565" s="19"/>
      <c r="H4565" s="82"/>
    </row>
    <row r="4566" spans="1:8" s="28" customFormat="1" x14ac:dyDescent="0.25">
      <c r="A4566" s="29"/>
      <c r="B4566" s="15"/>
      <c r="C4566" s="19"/>
      <c r="D4566" s="19"/>
      <c r="E4566" s="19"/>
      <c r="F4566" s="19"/>
      <c r="G4566" s="19"/>
      <c r="H4566" s="82"/>
    </row>
    <row r="4567" spans="1:8" s="28" customFormat="1" x14ac:dyDescent="0.25">
      <c r="A4567" s="29"/>
      <c r="B4567" s="15"/>
      <c r="C4567" s="19"/>
      <c r="D4567" s="19"/>
      <c r="E4567" s="19"/>
      <c r="F4567" s="19"/>
      <c r="G4567" s="19"/>
      <c r="H4567" s="82"/>
    </row>
    <row r="4568" spans="1:8" s="28" customFormat="1" x14ac:dyDescent="0.25">
      <c r="A4568" s="29"/>
      <c r="B4568" s="15"/>
      <c r="C4568" s="19"/>
      <c r="D4568" s="19"/>
      <c r="E4568" s="19"/>
      <c r="F4568" s="19"/>
      <c r="G4568" s="19"/>
      <c r="H4568" s="82"/>
    </row>
    <row r="4569" spans="1:8" s="28" customFormat="1" x14ac:dyDescent="0.25">
      <c r="A4569" s="29"/>
      <c r="B4569" s="15"/>
      <c r="C4569" s="19"/>
      <c r="D4569" s="19"/>
      <c r="E4569" s="19"/>
      <c r="F4569" s="19"/>
      <c r="G4569" s="19"/>
      <c r="H4569" s="82"/>
    </row>
    <row r="4570" spans="1:8" s="28" customFormat="1" x14ac:dyDescent="0.25">
      <c r="A4570" s="29"/>
      <c r="B4570" s="15"/>
      <c r="C4570" s="19"/>
      <c r="D4570" s="19"/>
      <c r="E4570" s="19"/>
      <c r="F4570" s="19"/>
      <c r="G4570" s="19"/>
      <c r="H4570" s="82"/>
    </row>
    <row r="4571" spans="1:8" s="28" customFormat="1" x14ac:dyDescent="0.25">
      <c r="A4571" s="29"/>
      <c r="B4571" s="15"/>
      <c r="C4571" s="19"/>
      <c r="D4571" s="19"/>
      <c r="E4571" s="19"/>
      <c r="F4571" s="19"/>
      <c r="G4571" s="19"/>
      <c r="H4571" s="82"/>
    </row>
    <row r="4572" spans="1:8" s="28" customFormat="1" x14ac:dyDescent="0.25">
      <c r="A4572" s="29"/>
      <c r="B4572" s="15"/>
      <c r="C4572" s="19"/>
      <c r="D4572" s="19"/>
      <c r="E4572" s="19"/>
      <c r="F4572" s="19"/>
      <c r="G4572" s="19"/>
      <c r="H4572" s="82"/>
    </row>
    <row r="4573" spans="1:8" s="28" customFormat="1" x14ac:dyDescent="0.25">
      <c r="A4573" s="29"/>
      <c r="B4573" s="15"/>
      <c r="C4573" s="19"/>
      <c r="D4573" s="19"/>
      <c r="E4573" s="19"/>
      <c r="F4573" s="19"/>
      <c r="G4573" s="19"/>
      <c r="H4573" s="82"/>
    </row>
    <row r="4574" spans="1:8" s="28" customFormat="1" x14ac:dyDescent="0.25">
      <c r="A4574" s="29"/>
      <c r="B4574" s="15"/>
      <c r="C4574" s="19"/>
      <c r="D4574" s="19"/>
      <c r="E4574" s="19"/>
      <c r="F4574" s="19"/>
      <c r="G4574" s="19"/>
      <c r="H4574" s="82"/>
    </row>
    <row r="4575" spans="1:8" s="28" customFormat="1" x14ac:dyDescent="0.25">
      <c r="A4575" s="29"/>
      <c r="B4575" s="15"/>
      <c r="C4575" s="19"/>
      <c r="D4575" s="19"/>
      <c r="E4575" s="19"/>
      <c r="F4575" s="19"/>
      <c r="G4575" s="19"/>
      <c r="H4575" s="82"/>
    </row>
    <row r="4576" spans="1:8" s="28" customFormat="1" x14ac:dyDescent="0.25">
      <c r="A4576" s="29"/>
      <c r="B4576" s="15"/>
      <c r="C4576" s="19"/>
      <c r="D4576" s="19"/>
      <c r="E4576" s="19"/>
      <c r="F4576" s="19"/>
      <c r="G4576" s="19"/>
      <c r="H4576" s="82"/>
    </row>
    <row r="4577" spans="1:8" s="28" customFormat="1" x14ac:dyDescent="0.25">
      <c r="A4577" s="29"/>
      <c r="B4577" s="15"/>
      <c r="C4577" s="19"/>
      <c r="D4577" s="19"/>
      <c r="E4577" s="19"/>
      <c r="F4577" s="19"/>
      <c r="G4577" s="19"/>
      <c r="H4577" s="82"/>
    </row>
    <row r="4578" spans="1:8" s="28" customFormat="1" x14ac:dyDescent="0.25">
      <c r="A4578" s="29"/>
      <c r="B4578" s="15"/>
      <c r="C4578" s="19"/>
      <c r="D4578" s="19"/>
      <c r="E4578" s="19"/>
      <c r="F4578" s="19"/>
      <c r="G4578" s="19"/>
      <c r="H4578" s="82"/>
    </row>
    <row r="4579" spans="1:8" s="28" customFormat="1" x14ac:dyDescent="0.25">
      <c r="A4579" s="29"/>
      <c r="B4579" s="15"/>
      <c r="C4579" s="19"/>
      <c r="D4579" s="19"/>
      <c r="E4579" s="19"/>
      <c r="F4579" s="19"/>
      <c r="G4579" s="19"/>
      <c r="H4579" s="82"/>
    </row>
    <row r="4580" spans="1:8" s="28" customFormat="1" x14ac:dyDescent="0.25">
      <c r="A4580" s="29"/>
      <c r="B4580" s="15"/>
      <c r="C4580" s="19"/>
      <c r="D4580" s="19"/>
      <c r="E4580" s="19"/>
      <c r="F4580" s="19"/>
      <c r="G4580" s="19"/>
      <c r="H4580" s="82"/>
    </row>
    <row r="4581" spans="1:8" s="28" customFormat="1" x14ac:dyDescent="0.25">
      <c r="A4581" s="29"/>
      <c r="B4581" s="15"/>
      <c r="C4581" s="19"/>
      <c r="D4581" s="19"/>
      <c r="E4581" s="19"/>
      <c r="F4581" s="19"/>
      <c r="G4581" s="19"/>
      <c r="H4581" s="82"/>
    </row>
    <row r="4582" spans="1:8" s="28" customFormat="1" x14ac:dyDescent="0.25">
      <c r="A4582" s="29"/>
      <c r="B4582" s="15"/>
      <c r="C4582" s="19"/>
      <c r="D4582" s="19"/>
      <c r="E4582" s="19"/>
      <c r="F4582" s="19"/>
      <c r="G4582" s="19"/>
      <c r="H4582" s="82"/>
    </row>
    <row r="4583" spans="1:8" s="28" customFormat="1" x14ac:dyDescent="0.25">
      <c r="A4583" s="29"/>
      <c r="B4583" s="15"/>
      <c r="C4583" s="19"/>
      <c r="D4583" s="19"/>
      <c r="E4583" s="19"/>
      <c r="F4583" s="19"/>
      <c r="G4583" s="19"/>
      <c r="H4583" s="82"/>
    </row>
    <row r="4584" spans="1:8" s="28" customFormat="1" x14ac:dyDescent="0.25">
      <c r="A4584" s="29"/>
      <c r="B4584" s="15"/>
      <c r="C4584" s="19"/>
      <c r="D4584" s="19"/>
      <c r="E4584" s="19"/>
      <c r="F4584" s="19"/>
      <c r="G4584" s="19"/>
      <c r="H4584" s="82"/>
    </row>
    <row r="4585" spans="1:8" s="28" customFormat="1" x14ac:dyDescent="0.25">
      <c r="A4585" s="29"/>
      <c r="B4585" s="15"/>
      <c r="C4585" s="19"/>
      <c r="D4585" s="19"/>
      <c r="E4585" s="19"/>
      <c r="F4585" s="19"/>
      <c r="G4585" s="19"/>
      <c r="H4585" s="82"/>
    </row>
    <row r="4586" spans="1:8" s="28" customFormat="1" x14ac:dyDescent="0.25">
      <c r="A4586" s="29"/>
      <c r="B4586" s="15"/>
      <c r="C4586" s="19"/>
      <c r="D4586" s="19"/>
      <c r="E4586" s="19"/>
      <c r="F4586" s="19"/>
      <c r="G4586" s="19"/>
      <c r="H4586" s="82"/>
    </row>
    <row r="4587" spans="1:8" s="28" customFormat="1" x14ac:dyDescent="0.25">
      <c r="A4587" s="29"/>
      <c r="B4587" s="15"/>
      <c r="C4587" s="19"/>
      <c r="D4587" s="19"/>
      <c r="E4587" s="19"/>
      <c r="F4587" s="19"/>
      <c r="G4587" s="19"/>
      <c r="H4587" s="82"/>
    </row>
    <row r="4588" spans="1:8" s="28" customFormat="1" x14ac:dyDescent="0.25">
      <c r="A4588" s="29"/>
      <c r="B4588" s="15"/>
      <c r="C4588" s="19"/>
      <c r="D4588" s="19"/>
      <c r="E4588" s="19"/>
      <c r="F4588" s="19"/>
      <c r="G4588" s="19"/>
      <c r="H4588" s="82"/>
    </row>
    <row r="4589" spans="1:8" s="28" customFormat="1" x14ac:dyDescent="0.25">
      <c r="A4589" s="29"/>
      <c r="B4589" s="15"/>
      <c r="C4589" s="19"/>
      <c r="D4589" s="19"/>
      <c r="E4589" s="19"/>
      <c r="F4589" s="19"/>
      <c r="G4589" s="19"/>
      <c r="H4589" s="82"/>
    </row>
    <row r="4590" spans="1:8" s="28" customFormat="1" x14ac:dyDescent="0.25">
      <c r="A4590" s="29"/>
      <c r="B4590" s="15"/>
      <c r="C4590" s="19"/>
      <c r="D4590" s="19"/>
      <c r="E4590" s="19"/>
      <c r="F4590" s="19"/>
      <c r="G4590" s="19"/>
      <c r="H4590" s="82"/>
    </row>
    <row r="4591" spans="1:8" s="28" customFormat="1" x14ac:dyDescent="0.25">
      <c r="A4591" s="29"/>
      <c r="B4591" s="15"/>
      <c r="C4591" s="19"/>
      <c r="D4591" s="19"/>
      <c r="E4591" s="19"/>
      <c r="F4591" s="19"/>
      <c r="G4591" s="19"/>
      <c r="H4591" s="82"/>
    </row>
    <row r="4592" spans="1:8" s="28" customFormat="1" x14ac:dyDescent="0.25">
      <c r="A4592" s="29"/>
      <c r="B4592" s="15"/>
      <c r="C4592" s="19"/>
      <c r="D4592" s="19"/>
      <c r="E4592" s="19"/>
      <c r="F4592" s="19"/>
      <c r="G4592" s="19"/>
      <c r="H4592" s="82"/>
    </row>
    <row r="4593" spans="1:8" s="28" customFormat="1" x14ac:dyDescent="0.25">
      <c r="A4593" s="29"/>
      <c r="B4593" s="15"/>
      <c r="C4593" s="19"/>
      <c r="D4593" s="19"/>
      <c r="E4593" s="19"/>
      <c r="F4593" s="19"/>
      <c r="G4593" s="19"/>
      <c r="H4593" s="82"/>
    </row>
    <row r="4594" spans="1:8" s="28" customFormat="1" x14ac:dyDescent="0.25">
      <c r="A4594" s="29"/>
      <c r="B4594" s="15"/>
      <c r="C4594" s="19"/>
      <c r="D4594" s="19"/>
      <c r="E4594" s="19"/>
      <c r="F4594" s="19"/>
      <c r="G4594" s="19"/>
      <c r="H4594" s="82"/>
    </row>
    <row r="4595" spans="1:8" s="28" customFormat="1" x14ac:dyDescent="0.25">
      <c r="A4595" s="29"/>
      <c r="B4595" s="15"/>
      <c r="C4595" s="19"/>
      <c r="D4595" s="19"/>
      <c r="E4595" s="19"/>
      <c r="F4595" s="19"/>
      <c r="G4595" s="19"/>
      <c r="H4595" s="82"/>
    </row>
    <row r="4596" spans="1:8" s="28" customFormat="1" x14ac:dyDescent="0.25">
      <c r="A4596" s="29"/>
      <c r="B4596" s="15"/>
      <c r="C4596" s="19"/>
      <c r="D4596" s="19"/>
      <c r="E4596" s="19"/>
      <c r="F4596" s="19"/>
      <c r="G4596" s="19"/>
      <c r="H4596" s="82"/>
    </row>
    <row r="4597" spans="1:8" s="28" customFormat="1" x14ac:dyDescent="0.25">
      <c r="A4597" s="29"/>
      <c r="B4597" s="15"/>
      <c r="C4597" s="19"/>
      <c r="D4597" s="19"/>
      <c r="E4597" s="19"/>
      <c r="F4597" s="19"/>
      <c r="G4597" s="19"/>
      <c r="H4597" s="82"/>
    </row>
    <row r="4598" spans="1:8" s="28" customFormat="1" x14ac:dyDescent="0.25">
      <c r="A4598" s="29"/>
      <c r="B4598" s="15"/>
      <c r="C4598" s="19"/>
      <c r="D4598" s="19"/>
      <c r="E4598" s="19"/>
      <c r="F4598" s="19"/>
      <c r="G4598" s="19"/>
      <c r="H4598" s="82"/>
    </row>
    <row r="4599" spans="1:8" s="28" customFormat="1" x14ac:dyDescent="0.25">
      <c r="A4599" s="29"/>
      <c r="B4599" s="15"/>
      <c r="C4599" s="19"/>
      <c r="D4599" s="19"/>
      <c r="E4599" s="19"/>
      <c r="F4599" s="19"/>
      <c r="G4599" s="19"/>
      <c r="H4599" s="82"/>
    </row>
    <row r="4600" spans="1:8" s="28" customFormat="1" x14ac:dyDescent="0.25">
      <c r="A4600" s="29"/>
      <c r="B4600" s="15"/>
      <c r="C4600" s="19"/>
      <c r="D4600" s="19"/>
      <c r="E4600" s="19"/>
      <c r="F4600" s="19"/>
      <c r="G4600" s="19"/>
      <c r="H4600" s="82"/>
    </row>
    <row r="4601" spans="1:8" s="28" customFormat="1" x14ac:dyDescent="0.25">
      <c r="A4601" s="29"/>
      <c r="B4601" s="15"/>
      <c r="C4601" s="19"/>
      <c r="D4601" s="19"/>
      <c r="E4601" s="19"/>
      <c r="F4601" s="19"/>
      <c r="G4601" s="19"/>
      <c r="H4601" s="82"/>
    </row>
    <row r="4602" spans="1:8" s="28" customFormat="1" x14ac:dyDescent="0.25">
      <c r="A4602" s="29"/>
      <c r="B4602" s="15"/>
      <c r="C4602" s="19"/>
      <c r="D4602" s="19"/>
      <c r="E4602" s="19"/>
      <c r="F4602" s="19"/>
      <c r="G4602" s="19"/>
      <c r="H4602" s="82"/>
    </row>
    <row r="4603" spans="1:8" s="28" customFormat="1" x14ac:dyDescent="0.25">
      <c r="A4603" s="29"/>
      <c r="B4603" s="15"/>
      <c r="C4603" s="19"/>
      <c r="D4603" s="19"/>
      <c r="E4603" s="19"/>
      <c r="F4603" s="19"/>
      <c r="G4603" s="19"/>
      <c r="H4603" s="82"/>
    </row>
    <row r="4604" spans="1:8" s="28" customFormat="1" x14ac:dyDescent="0.25">
      <c r="A4604" s="29"/>
      <c r="B4604" s="15"/>
      <c r="C4604" s="19"/>
      <c r="D4604" s="19"/>
      <c r="E4604" s="19"/>
      <c r="F4604" s="19"/>
      <c r="G4604" s="19"/>
      <c r="H4604" s="82"/>
    </row>
    <row r="4605" spans="1:8" s="28" customFormat="1" x14ac:dyDescent="0.25">
      <c r="A4605" s="29"/>
      <c r="B4605" s="15"/>
      <c r="C4605" s="19"/>
      <c r="D4605" s="19"/>
      <c r="E4605" s="19"/>
      <c r="F4605" s="19"/>
      <c r="G4605" s="19"/>
      <c r="H4605" s="82"/>
    </row>
    <row r="4606" spans="1:8" s="28" customFormat="1" x14ac:dyDescent="0.25">
      <c r="A4606" s="29"/>
      <c r="B4606" s="15"/>
      <c r="C4606" s="19"/>
      <c r="D4606" s="19"/>
      <c r="E4606" s="19"/>
      <c r="F4606" s="19"/>
      <c r="G4606" s="19"/>
      <c r="H4606" s="82"/>
    </row>
    <row r="4607" spans="1:8" s="28" customFormat="1" x14ac:dyDescent="0.25">
      <c r="A4607" s="29"/>
      <c r="B4607" s="15"/>
      <c r="C4607" s="19"/>
      <c r="D4607" s="19"/>
      <c r="E4607" s="19"/>
      <c r="F4607" s="19"/>
      <c r="G4607" s="19"/>
      <c r="H4607" s="82"/>
    </row>
    <row r="4608" spans="1:8" s="28" customFormat="1" x14ac:dyDescent="0.25">
      <c r="A4608" s="29"/>
      <c r="B4608" s="15"/>
      <c r="C4608" s="19"/>
      <c r="D4608" s="19"/>
      <c r="E4608" s="19"/>
      <c r="F4608" s="19"/>
      <c r="G4608" s="19"/>
      <c r="H4608" s="82"/>
    </row>
    <row r="4609" spans="1:8" s="28" customFormat="1" x14ac:dyDescent="0.25">
      <c r="A4609" s="29"/>
      <c r="B4609" s="15"/>
      <c r="C4609" s="19"/>
      <c r="D4609" s="19"/>
      <c r="E4609" s="19"/>
      <c r="F4609" s="19"/>
      <c r="G4609" s="19"/>
      <c r="H4609" s="82"/>
    </row>
    <row r="4610" spans="1:8" s="28" customFormat="1" x14ac:dyDescent="0.25">
      <c r="A4610" s="29"/>
      <c r="B4610" s="15"/>
      <c r="C4610" s="19"/>
      <c r="D4610" s="19"/>
      <c r="E4610" s="19"/>
      <c r="F4610" s="19"/>
      <c r="G4610" s="19"/>
      <c r="H4610" s="82"/>
    </row>
    <row r="4611" spans="1:8" s="28" customFormat="1" x14ac:dyDescent="0.25">
      <c r="A4611" s="29"/>
      <c r="B4611" s="15"/>
      <c r="C4611" s="19"/>
      <c r="D4611" s="19"/>
      <c r="E4611" s="19"/>
      <c r="F4611" s="19"/>
      <c r="G4611" s="19"/>
      <c r="H4611" s="82"/>
    </row>
    <row r="4612" spans="1:8" s="28" customFormat="1" x14ac:dyDescent="0.25">
      <c r="A4612" s="29"/>
      <c r="B4612" s="15"/>
      <c r="C4612" s="19"/>
      <c r="D4612" s="19"/>
      <c r="E4612" s="19"/>
      <c r="F4612" s="19"/>
      <c r="G4612" s="19"/>
      <c r="H4612" s="82"/>
    </row>
    <row r="4613" spans="1:8" s="28" customFormat="1" x14ac:dyDescent="0.25">
      <c r="A4613" s="29"/>
      <c r="B4613" s="15"/>
      <c r="C4613" s="19"/>
      <c r="D4613" s="19"/>
      <c r="E4613" s="19"/>
      <c r="F4613" s="19"/>
      <c r="G4613" s="19"/>
      <c r="H4613" s="82"/>
    </row>
    <row r="4614" spans="1:8" s="28" customFormat="1" x14ac:dyDescent="0.25">
      <c r="A4614" s="29"/>
      <c r="B4614" s="15"/>
      <c r="C4614" s="19"/>
      <c r="D4614" s="19"/>
      <c r="E4614" s="19"/>
      <c r="F4614" s="19"/>
      <c r="G4614" s="19"/>
      <c r="H4614" s="82"/>
    </row>
    <row r="4615" spans="1:8" s="28" customFormat="1" x14ac:dyDescent="0.25">
      <c r="A4615" s="29"/>
      <c r="B4615" s="15"/>
      <c r="C4615" s="19"/>
      <c r="D4615" s="19"/>
      <c r="E4615" s="19"/>
      <c r="F4615" s="19"/>
      <c r="G4615" s="19"/>
      <c r="H4615" s="82"/>
    </row>
    <row r="4616" spans="1:8" s="28" customFormat="1" x14ac:dyDescent="0.25">
      <c r="A4616" s="29"/>
      <c r="B4616" s="15"/>
      <c r="C4616" s="19"/>
      <c r="D4616" s="19"/>
      <c r="E4616" s="19"/>
      <c r="F4616" s="19"/>
      <c r="G4616" s="19"/>
      <c r="H4616" s="82"/>
    </row>
    <row r="4617" spans="1:8" s="28" customFormat="1" x14ac:dyDescent="0.25">
      <c r="A4617" s="29"/>
      <c r="B4617" s="15"/>
      <c r="C4617" s="19"/>
      <c r="D4617" s="19"/>
      <c r="E4617" s="19"/>
      <c r="F4617" s="19"/>
      <c r="G4617" s="19"/>
      <c r="H4617" s="82"/>
    </row>
    <row r="4618" spans="1:8" s="28" customFormat="1" x14ac:dyDescent="0.25">
      <c r="A4618" s="29"/>
      <c r="B4618" s="15"/>
      <c r="C4618" s="19"/>
      <c r="D4618" s="19"/>
      <c r="E4618" s="19"/>
      <c r="F4618" s="19"/>
      <c r="G4618" s="19"/>
      <c r="H4618" s="82"/>
    </row>
    <row r="4619" spans="1:8" s="28" customFormat="1" x14ac:dyDescent="0.25">
      <c r="A4619" s="29"/>
      <c r="B4619" s="15"/>
      <c r="C4619" s="19"/>
      <c r="D4619" s="19"/>
      <c r="E4619" s="19"/>
      <c r="F4619" s="19"/>
      <c r="G4619" s="19"/>
      <c r="H4619" s="82"/>
    </row>
    <row r="4620" spans="1:8" s="28" customFormat="1" x14ac:dyDescent="0.25">
      <c r="A4620" s="29"/>
      <c r="B4620" s="15"/>
      <c r="C4620" s="19"/>
      <c r="D4620" s="19"/>
      <c r="E4620" s="19"/>
      <c r="F4620" s="19"/>
      <c r="G4620" s="19"/>
      <c r="H4620" s="82"/>
    </row>
    <row r="4621" spans="1:8" s="28" customFormat="1" x14ac:dyDescent="0.25">
      <c r="A4621" s="29"/>
      <c r="B4621" s="15"/>
      <c r="C4621" s="19"/>
      <c r="D4621" s="19"/>
      <c r="E4621" s="19"/>
      <c r="F4621" s="19"/>
      <c r="G4621" s="19"/>
      <c r="H4621" s="82"/>
    </row>
    <row r="4622" spans="1:8" s="28" customFormat="1" x14ac:dyDescent="0.25">
      <c r="A4622" s="29"/>
      <c r="B4622" s="15"/>
      <c r="C4622" s="19"/>
      <c r="D4622" s="19"/>
      <c r="E4622" s="19"/>
      <c r="F4622" s="19"/>
      <c r="G4622" s="19"/>
      <c r="H4622" s="82"/>
    </row>
    <row r="4623" spans="1:8" s="28" customFormat="1" x14ac:dyDescent="0.25">
      <c r="A4623" s="29"/>
      <c r="B4623" s="15"/>
      <c r="C4623" s="19"/>
      <c r="D4623" s="19"/>
      <c r="E4623" s="19"/>
      <c r="F4623" s="19"/>
      <c r="G4623" s="19"/>
      <c r="H4623" s="82"/>
    </row>
    <row r="4624" spans="1:8" s="28" customFormat="1" x14ac:dyDescent="0.25">
      <c r="A4624" s="29"/>
      <c r="B4624" s="15"/>
      <c r="C4624" s="19"/>
      <c r="D4624" s="19"/>
      <c r="E4624" s="19"/>
      <c r="F4624" s="19"/>
      <c r="G4624" s="19"/>
      <c r="H4624" s="82"/>
    </row>
    <row r="4625" spans="1:8" s="28" customFormat="1" x14ac:dyDescent="0.25">
      <c r="A4625" s="29"/>
      <c r="B4625" s="15"/>
      <c r="C4625" s="19"/>
      <c r="D4625" s="19"/>
      <c r="E4625" s="19"/>
      <c r="F4625" s="19"/>
      <c r="G4625" s="19"/>
      <c r="H4625" s="82"/>
    </row>
    <row r="4626" spans="1:8" s="28" customFormat="1" x14ac:dyDescent="0.25">
      <c r="A4626" s="29"/>
      <c r="B4626" s="15"/>
      <c r="C4626" s="19"/>
      <c r="D4626" s="19"/>
      <c r="E4626" s="19"/>
      <c r="F4626" s="19"/>
      <c r="G4626" s="19"/>
      <c r="H4626" s="82"/>
    </row>
    <row r="4627" spans="1:8" s="28" customFormat="1" x14ac:dyDescent="0.25">
      <c r="A4627" s="29"/>
      <c r="B4627" s="15"/>
      <c r="C4627" s="19"/>
      <c r="D4627" s="19"/>
      <c r="E4627" s="19"/>
      <c r="F4627" s="19"/>
      <c r="G4627" s="19"/>
      <c r="H4627" s="82"/>
    </row>
    <row r="4628" spans="1:8" s="28" customFormat="1" x14ac:dyDescent="0.25">
      <c r="A4628" s="29"/>
      <c r="B4628" s="15"/>
      <c r="C4628" s="19"/>
      <c r="D4628" s="19"/>
      <c r="E4628" s="19"/>
      <c r="F4628" s="19"/>
      <c r="G4628" s="19"/>
      <c r="H4628" s="82"/>
    </row>
    <row r="4629" spans="1:8" s="28" customFormat="1" x14ac:dyDescent="0.25">
      <c r="A4629" s="29"/>
      <c r="B4629" s="15"/>
      <c r="C4629" s="19"/>
      <c r="D4629" s="19"/>
      <c r="E4629" s="19"/>
      <c r="F4629" s="19"/>
      <c r="G4629" s="19"/>
      <c r="H4629" s="82"/>
    </row>
    <row r="4630" spans="1:8" s="28" customFormat="1" x14ac:dyDescent="0.25">
      <c r="A4630" s="29"/>
      <c r="B4630" s="15"/>
      <c r="C4630" s="19"/>
      <c r="D4630" s="19"/>
      <c r="E4630" s="19"/>
      <c r="F4630" s="19"/>
      <c r="G4630" s="19"/>
      <c r="H4630" s="82"/>
    </row>
    <row r="4631" spans="1:8" s="28" customFormat="1" x14ac:dyDescent="0.25">
      <c r="A4631" s="29"/>
      <c r="B4631" s="15"/>
      <c r="C4631" s="19"/>
      <c r="D4631" s="19"/>
      <c r="E4631" s="19"/>
      <c r="F4631" s="19"/>
      <c r="G4631" s="19"/>
      <c r="H4631" s="82"/>
    </row>
    <row r="4632" spans="1:8" s="28" customFormat="1" x14ac:dyDescent="0.25">
      <c r="A4632" s="29"/>
      <c r="B4632" s="15"/>
      <c r="C4632" s="19"/>
      <c r="D4632" s="19"/>
      <c r="E4632" s="19"/>
      <c r="F4632" s="19"/>
      <c r="G4632" s="19"/>
      <c r="H4632" s="82"/>
    </row>
    <row r="4633" spans="1:8" s="28" customFormat="1" x14ac:dyDescent="0.25">
      <c r="A4633" s="29"/>
      <c r="B4633" s="15"/>
      <c r="C4633" s="19"/>
      <c r="D4633" s="19"/>
      <c r="E4633" s="19"/>
      <c r="F4633" s="19"/>
      <c r="G4633" s="19"/>
      <c r="H4633" s="82"/>
    </row>
    <row r="4634" spans="1:8" s="28" customFormat="1" x14ac:dyDescent="0.25">
      <c r="A4634" s="29"/>
      <c r="B4634" s="15"/>
      <c r="C4634" s="19"/>
      <c r="D4634" s="19"/>
      <c r="E4634" s="19"/>
      <c r="F4634" s="19"/>
      <c r="G4634" s="19"/>
      <c r="H4634" s="82"/>
    </row>
    <row r="4635" spans="1:8" s="28" customFormat="1" x14ac:dyDescent="0.25">
      <c r="A4635" s="29"/>
      <c r="B4635" s="15"/>
      <c r="C4635" s="19"/>
      <c r="D4635" s="19"/>
      <c r="E4635" s="19"/>
      <c r="F4635" s="19"/>
      <c r="G4635" s="19"/>
      <c r="H4635" s="82"/>
    </row>
    <row r="4636" spans="1:8" s="28" customFormat="1" x14ac:dyDescent="0.25">
      <c r="A4636" s="29"/>
      <c r="B4636" s="15"/>
      <c r="C4636" s="19"/>
      <c r="D4636" s="19"/>
      <c r="E4636" s="19"/>
      <c r="F4636" s="19"/>
      <c r="G4636" s="19"/>
      <c r="H4636" s="82"/>
    </row>
    <row r="4637" spans="1:8" s="28" customFormat="1" x14ac:dyDescent="0.25">
      <c r="A4637" s="29"/>
      <c r="B4637" s="15"/>
      <c r="C4637" s="19"/>
      <c r="D4637" s="19"/>
      <c r="E4637" s="19"/>
      <c r="F4637" s="19"/>
      <c r="G4637" s="19"/>
      <c r="H4637" s="82"/>
    </row>
    <row r="4638" spans="1:8" s="28" customFormat="1" x14ac:dyDescent="0.25">
      <c r="A4638" s="29"/>
      <c r="B4638" s="15"/>
      <c r="C4638" s="19"/>
      <c r="D4638" s="19"/>
      <c r="E4638" s="19"/>
      <c r="F4638" s="19"/>
      <c r="G4638" s="19"/>
      <c r="H4638" s="82"/>
    </row>
    <row r="4639" spans="1:8" s="28" customFormat="1" x14ac:dyDescent="0.25">
      <c r="A4639" s="29"/>
      <c r="B4639" s="15"/>
      <c r="C4639" s="19"/>
      <c r="D4639" s="19"/>
      <c r="E4639" s="19"/>
      <c r="F4639" s="19"/>
      <c r="G4639" s="19"/>
      <c r="H4639" s="82"/>
    </row>
    <row r="4640" spans="1:8" s="28" customFormat="1" x14ac:dyDescent="0.25">
      <c r="A4640" s="29"/>
      <c r="B4640" s="15"/>
      <c r="C4640" s="19"/>
      <c r="D4640" s="19"/>
      <c r="E4640" s="19"/>
      <c r="F4640" s="19"/>
      <c r="G4640" s="19"/>
      <c r="H4640" s="82"/>
    </row>
    <row r="4641" spans="1:8" s="28" customFormat="1" x14ac:dyDescent="0.25">
      <c r="A4641" s="29"/>
      <c r="B4641" s="15"/>
      <c r="C4641" s="19"/>
      <c r="D4641" s="19"/>
      <c r="E4641" s="19"/>
      <c r="F4641" s="19"/>
      <c r="G4641" s="19"/>
      <c r="H4641" s="82"/>
    </row>
    <row r="4642" spans="1:8" s="28" customFormat="1" x14ac:dyDescent="0.25">
      <c r="A4642" s="29"/>
      <c r="B4642" s="15"/>
      <c r="C4642" s="19"/>
      <c r="D4642" s="19"/>
      <c r="E4642" s="19"/>
      <c r="F4642" s="19"/>
      <c r="G4642" s="19"/>
      <c r="H4642" s="82"/>
    </row>
    <row r="4643" spans="1:8" s="28" customFormat="1" x14ac:dyDescent="0.25">
      <c r="A4643" s="29"/>
      <c r="B4643" s="15"/>
      <c r="C4643" s="19"/>
      <c r="D4643" s="19"/>
      <c r="E4643" s="19"/>
      <c r="F4643" s="19"/>
      <c r="G4643" s="19"/>
      <c r="H4643" s="82"/>
    </row>
    <row r="4644" spans="1:8" s="28" customFormat="1" x14ac:dyDescent="0.25">
      <c r="A4644" s="29"/>
      <c r="B4644" s="15"/>
      <c r="C4644" s="19"/>
      <c r="D4644" s="19"/>
      <c r="E4644" s="19"/>
      <c r="F4644" s="19"/>
      <c r="G4644" s="19"/>
      <c r="H4644" s="82"/>
    </row>
    <row r="4645" spans="1:8" s="28" customFormat="1" x14ac:dyDescent="0.25">
      <c r="A4645" s="29"/>
      <c r="B4645" s="15"/>
      <c r="C4645" s="19"/>
      <c r="D4645" s="19"/>
      <c r="E4645" s="19"/>
      <c r="F4645" s="19"/>
      <c r="G4645" s="19"/>
      <c r="H4645" s="82"/>
    </row>
    <row r="4646" spans="1:8" s="28" customFormat="1" x14ac:dyDescent="0.25">
      <c r="A4646" s="29"/>
      <c r="B4646" s="15"/>
      <c r="C4646" s="19"/>
      <c r="D4646" s="19"/>
      <c r="E4646" s="19"/>
      <c r="F4646" s="19"/>
      <c r="G4646" s="19"/>
      <c r="H4646" s="82"/>
    </row>
    <row r="4647" spans="1:8" s="28" customFormat="1" x14ac:dyDescent="0.25">
      <c r="A4647" s="29"/>
      <c r="B4647" s="15"/>
      <c r="C4647" s="19"/>
      <c r="D4647" s="19"/>
      <c r="E4647" s="19"/>
      <c r="F4647" s="19"/>
      <c r="G4647" s="19"/>
      <c r="H4647" s="82"/>
    </row>
    <row r="4648" spans="1:8" s="28" customFormat="1" x14ac:dyDescent="0.25">
      <c r="A4648" s="29"/>
      <c r="B4648" s="15"/>
      <c r="C4648" s="19"/>
      <c r="D4648" s="19"/>
      <c r="E4648" s="19"/>
      <c r="F4648" s="19"/>
      <c r="G4648" s="19"/>
      <c r="H4648" s="82"/>
    </row>
    <row r="4649" spans="1:8" s="28" customFormat="1" x14ac:dyDescent="0.25">
      <c r="A4649" s="29"/>
      <c r="B4649" s="15"/>
      <c r="C4649" s="19"/>
      <c r="D4649" s="19"/>
      <c r="E4649" s="19"/>
      <c r="F4649" s="19"/>
      <c r="G4649" s="19"/>
      <c r="H4649" s="82"/>
    </row>
    <row r="4650" spans="1:8" s="28" customFormat="1" x14ac:dyDescent="0.25">
      <c r="A4650" s="29"/>
      <c r="B4650" s="15"/>
      <c r="C4650" s="19"/>
      <c r="D4650" s="19"/>
      <c r="E4650" s="19"/>
      <c r="F4650" s="19"/>
      <c r="G4650" s="19"/>
      <c r="H4650" s="82"/>
    </row>
    <row r="4651" spans="1:8" s="28" customFormat="1" x14ac:dyDescent="0.25">
      <c r="A4651" s="29"/>
      <c r="B4651" s="15"/>
      <c r="C4651" s="19"/>
      <c r="D4651" s="19"/>
      <c r="E4651" s="19"/>
      <c r="F4651" s="19"/>
      <c r="G4651" s="19"/>
      <c r="H4651" s="82"/>
    </row>
    <row r="4652" spans="1:8" s="28" customFormat="1" x14ac:dyDescent="0.25">
      <c r="A4652" s="29"/>
      <c r="B4652" s="15"/>
      <c r="C4652" s="19"/>
      <c r="D4652" s="19"/>
      <c r="E4652" s="19"/>
      <c r="F4652" s="19"/>
      <c r="G4652" s="19"/>
      <c r="H4652" s="82"/>
    </row>
    <row r="4653" spans="1:8" s="28" customFormat="1" x14ac:dyDescent="0.25">
      <c r="A4653" s="29"/>
      <c r="B4653" s="15"/>
      <c r="C4653" s="19"/>
      <c r="D4653" s="19"/>
      <c r="E4653" s="19"/>
      <c r="F4653" s="19"/>
      <c r="G4653" s="19"/>
      <c r="H4653" s="82"/>
    </row>
    <row r="4654" spans="1:8" s="28" customFormat="1" x14ac:dyDescent="0.25">
      <c r="A4654" s="29"/>
      <c r="B4654" s="15"/>
      <c r="C4654" s="19"/>
      <c r="D4654" s="19"/>
      <c r="E4654" s="19"/>
      <c r="F4654" s="19"/>
      <c r="G4654" s="19"/>
      <c r="H4654" s="82"/>
    </row>
    <row r="4655" spans="1:8" s="28" customFormat="1" x14ac:dyDescent="0.25">
      <c r="A4655" s="29"/>
      <c r="B4655" s="15"/>
      <c r="C4655" s="19"/>
      <c r="D4655" s="19"/>
      <c r="E4655" s="19"/>
      <c r="F4655" s="19"/>
      <c r="G4655" s="19"/>
      <c r="H4655" s="82"/>
    </row>
    <row r="4656" spans="1:8" s="28" customFormat="1" x14ac:dyDescent="0.25">
      <c r="A4656" s="29"/>
      <c r="B4656" s="15"/>
      <c r="C4656" s="19"/>
      <c r="D4656" s="19"/>
      <c r="E4656" s="19"/>
      <c r="F4656" s="19"/>
      <c r="G4656" s="19"/>
      <c r="H4656" s="82"/>
    </row>
    <row r="4657" spans="1:8" s="28" customFormat="1" x14ac:dyDescent="0.25">
      <c r="A4657" s="29"/>
      <c r="B4657" s="15"/>
      <c r="C4657" s="19"/>
      <c r="D4657" s="19"/>
      <c r="E4657" s="19"/>
      <c r="F4657" s="19"/>
      <c r="G4657" s="19"/>
      <c r="H4657" s="82"/>
    </row>
    <row r="4658" spans="1:8" s="28" customFormat="1" x14ac:dyDescent="0.25">
      <c r="A4658" s="29"/>
      <c r="B4658" s="15"/>
      <c r="C4658" s="19"/>
      <c r="D4658" s="19"/>
      <c r="E4658" s="19"/>
      <c r="F4658" s="19"/>
      <c r="G4658" s="19"/>
      <c r="H4658" s="82"/>
    </row>
    <row r="4659" spans="1:8" s="28" customFormat="1" x14ac:dyDescent="0.25">
      <c r="A4659" s="29"/>
      <c r="B4659" s="15"/>
      <c r="C4659" s="19"/>
      <c r="D4659" s="19"/>
      <c r="E4659" s="19"/>
      <c r="F4659" s="19"/>
      <c r="G4659" s="19"/>
      <c r="H4659" s="82"/>
    </row>
    <row r="4660" spans="1:8" s="28" customFormat="1" x14ac:dyDescent="0.25">
      <c r="A4660" s="29"/>
      <c r="B4660" s="15"/>
      <c r="C4660" s="19"/>
      <c r="D4660" s="19"/>
      <c r="E4660" s="19"/>
      <c r="F4660" s="19"/>
      <c r="G4660" s="19"/>
      <c r="H4660" s="82"/>
    </row>
    <row r="4661" spans="1:8" s="28" customFormat="1" x14ac:dyDescent="0.25">
      <c r="A4661" s="29"/>
      <c r="B4661" s="15"/>
      <c r="C4661" s="19"/>
      <c r="D4661" s="19"/>
      <c r="E4661" s="19"/>
      <c r="F4661" s="19"/>
      <c r="G4661" s="19"/>
      <c r="H4661" s="82"/>
    </row>
    <row r="4662" spans="1:8" s="28" customFormat="1" x14ac:dyDescent="0.25">
      <c r="A4662" s="29"/>
      <c r="B4662" s="15"/>
      <c r="C4662" s="19"/>
      <c r="D4662" s="19"/>
      <c r="E4662" s="19"/>
      <c r="F4662" s="19"/>
      <c r="G4662" s="19"/>
      <c r="H4662" s="82"/>
    </row>
    <row r="4663" spans="1:8" s="28" customFormat="1" x14ac:dyDescent="0.25">
      <c r="A4663" s="29"/>
      <c r="B4663" s="15"/>
      <c r="C4663" s="19"/>
      <c r="D4663" s="19"/>
      <c r="E4663" s="19"/>
      <c r="F4663" s="19"/>
      <c r="G4663" s="19"/>
      <c r="H4663" s="82"/>
    </row>
    <row r="4664" spans="1:8" s="28" customFormat="1" x14ac:dyDescent="0.25">
      <c r="A4664" s="29"/>
      <c r="B4664" s="15"/>
      <c r="C4664" s="19"/>
      <c r="D4664" s="19"/>
      <c r="E4664" s="19"/>
      <c r="F4664" s="19"/>
      <c r="G4664" s="19"/>
      <c r="H4664" s="82"/>
    </row>
    <row r="4665" spans="1:8" s="28" customFormat="1" x14ac:dyDescent="0.25">
      <c r="A4665" s="29"/>
      <c r="B4665" s="15"/>
      <c r="C4665" s="19"/>
      <c r="D4665" s="19"/>
      <c r="E4665" s="19"/>
      <c r="F4665" s="19"/>
      <c r="G4665" s="19"/>
      <c r="H4665" s="82"/>
    </row>
    <row r="4666" spans="1:8" s="28" customFormat="1" x14ac:dyDescent="0.25">
      <c r="A4666" s="29"/>
      <c r="B4666" s="15"/>
      <c r="C4666" s="19"/>
      <c r="D4666" s="19"/>
      <c r="E4666" s="19"/>
      <c r="F4666" s="19"/>
      <c r="G4666" s="19"/>
      <c r="H4666" s="82"/>
    </row>
    <row r="4667" spans="1:8" s="28" customFormat="1" x14ac:dyDescent="0.25">
      <c r="A4667" s="29"/>
      <c r="B4667" s="15"/>
      <c r="C4667" s="19"/>
      <c r="D4667" s="19"/>
      <c r="E4667" s="19"/>
      <c r="F4667" s="19"/>
      <c r="G4667" s="19"/>
      <c r="H4667" s="82"/>
    </row>
    <row r="4668" spans="1:8" s="28" customFormat="1" x14ac:dyDescent="0.25">
      <c r="A4668" s="29"/>
      <c r="B4668" s="15"/>
      <c r="C4668" s="19"/>
      <c r="D4668" s="19"/>
      <c r="E4668" s="19"/>
      <c r="F4668" s="19"/>
      <c r="G4668" s="19"/>
      <c r="H4668" s="82"/>
    </row>
    <row r="4669" spans="1:8" s="28" customFormat="1" x14ac:dyDescent="0.25">
      <c r="A4669" s="29"/>
      <c r="B4669" s="15"/>
      <c r="C4669" s="19"/>
      <c r="D4669" s="19"/>
      <c r="E4669" s="19"/>
      <c r="F4669" s="19"/>
      <c r="G4669" s="19"/>
      <c r="H4669" s="82"/>
    </row>
    <row r="4670" spans="1:8" s="28" customFormat="1" x14ac:dyDescent="0.25">
      <c r="A4670" s="29"/>
      <c r="B4670" s="15"/>
      <c r="C4670" s="19"/>
      <c r="D4670" s="19"/>
      <c r="E4670" s="19"/>
      <c r="F4670" s="19"/>
      <c r="G4670" s="19"/>
      <c r="H4670" s="82"/>
    </row>
    <row r="4671" spans="1:8" s="28" customFormat="1" x14ac:dyDescent="0.25">
      <c r="A4671" s="29"/>
      <c r="B4671" s="15"/>
      <c r="C4671" s="19"/>
      <c r="D4671" s="19"/>
      <c r="E4671" s="19"/>
      <c r="F4671" s="19"/>
      <c r="G4671" s="19"/>
      <c r="H4671" s="82"/>
    </row>
    <row r="4672" spans="1:8" s="28" customFormat="1" x14ac:dyDescent="0.25">
      <c r="A4672" s="29"/>
      <c r="B4672" s="15"/>
      <c r="C4672" s="19"/>
      <c r="D4672" s="19"/>
      <c r="E4672" s="19"/>
      <c r="F4672" s="19"/>
      <c r="G4672" s="19"/>
      <c r="H4672" s="82"/>
    </row>
    <row r="4673" spans="1:8" s="28" customFormat="1" x14ac:dyDescent="0.25">
      <c r="A4673" s="29"/>
      <c r="B4673" s="15"/>
      <c r="C4673" s="19"/>
      <c r="D4673" s="19"/>
      <c r="E4673" s="19"/>
      <c r="F4673" s="19"/>
      <c r="G4673" s="19"/>
      <c r="H4673" s="82"/>
    </row>
    <row r="4674" spans="1:8" s="28" customFormat="1" x14ac:dyDescent="0.25">
      <c r="A4674" s="29"/>
      <c r="B4674" s="15"/>
      <c r="C4674" s="19"/>
      <c r="D4674" s="19"/>
      <c r="E4674" s="19"/>
      <c r="F4674" s="19"/>
      <c r="G4674" s="19"/>
      <c r="H4674" s="82"/>
    </row>
    <row r="4675" spans="1:8" s="28" customFormat="1" x14ac:dyDescent="0.25">
      <c r="A4675" s="29"/>
      <c r="B4675" s="15"/>
      <c r="C4675" s="19"/>
      <c r="D4675" s="19"/>
      <c r="E4675" s="19"/>
      <c r="F4675" s="19"/>
      <c r="G4675" s="19"/>
      <c r="H4675" s="82"/>
    </row>
    <row r="4676" spans="1:8" s="28" customFormat="1" x14ac:dyDescent="0.25">
      <c r="A4676" s="29"/>
      <c r="B4676" s="15"/>
      <c r="C4676" s="19"/>
      <c r="D4676" s="19"/>
      <c r="E4676" s="19"/>
      <c r="F4676" s="19"/>
      <c r="G4676" s="19"/>
      <c r="H4676" s="82"/>
    </row>
    <row r="4677" spans="1:8" s="28" customFormat="1" x14ac:dyDescent="0.25">
      <c r="A4677" s="29"/>
      <c r="B4677" s="15"/>
      <c r="C4677" s="19"/>
      <c r="D4677" s="19"/>
      <c r="E4677" s="19"/>
      <c r="F4677" s="19"/>
      <c r="G4677" s="19"/>
      <c r="H4677" s="82"/>
    </row>
    <row r="4678" spans="1:8" s="28" customFormat="1" x14ac:dyDescent="0.25">
      <c r="A4678" s="29"/>
      <c r="B4678" s="15"/>
      <c r="C4678" s="19"/>
      <c r="D4678" s="19"/>
      <c r="E4678" s="19"/>
      <c r="F4678" s="19"/>
      <c r="G4678" s="19"/>
      <c r="H4678" s="82"/>
    </row>
    <row r="4679" spans="1:8" s="28" customFormat="1" x14ac:dyDescent="0.25">
      <c r="A4679" s="29"/>
      <c r="B4679" s="15"/>
      <c r="C4679" s="19"/>
      <c r="D4679" s="19"/>
      <c r="E4679" s="19"/>
      <c r="F4679" s="19"/>
      <c r="G4679" s="19"/>
      <c r="H4679" s="82"/>
    </row>
    <row r="4680" spans="1:8" s="28" customFormat="1" x14ac:dyDescent="0.25">
      <c r="A4680" s="29"/>
      <c r="B4680" s="15"/>
      <c r="C4680" s="19"/>
      <c r="D4680" s="19"/>
      <c r="E4680" s="19"/>
      <c r="F4680" s="19"/>
      <c r="G4680" s="19"/>
      <c r="H4680" s="82"/>
    </row>
    <row r="4681" spans="1:8" s="28" customFormat="1" x14ac:dyDescent="0.25">
      <c r="A4681" s="29"/>
      <c r="B4681" s="15"/>
      <c r="C4681" s="19"/>
      <c r="D4681" s="19"/>
      <c r="E4681" s="19"/>
      <c r="F4681" s="19"/>
      <c r="G4681" s="19"/>
      <c r="H4681" s="82"/>
    </row>
    <row r="4682" spans="1:8" s="28" customFormat="1" x14ac:dyDescent="0.25">
      <c r="A4682" s="29"/>
      <c r="B4682" s="15"/>
      <c r="C4682" s="19"/>
      <c r="D4682" s="19"/>
      <c r="E4682" s="19"/>
      <c r="F4682" s="19"/>
      <c r="G4682" s="19"/>
      <c r="H4682" s="82"/>
    </row>
    <row r="4683" spans="1:8" s="28" customFormat="1" x14ac:dyDescent="0.25">
      <c r="A4683" s="29"/>
      <c r="B4683" s="15"/>
      <c r="C4683" s="19"/>
      <c r="D4683" s="19"/>
      <c r="E4683" s="19"/>
      <c r="F4683" s="19"/>
      <c r="G4683" s="19"/>
      <c r="H4683" s="82"/>
    </row>
    <row r="4684" spans="1:8" s="28" customFormat="1" x14ac:dyDescent="0.25">
      <c r="A4684" s="29"/>
      <c r="B4684" s="15"/>
      <c r="C4684" s="19"/>
      <c r="D4684" s="19"/>
      <c r="E4684" s="19"/>
      <c r="F4684" s="19"/>
      <c r="G4684" s="19"/>
      <c r="H4684" s="82"/>
    </row>
    <row r="4685" spans="1:8" s="28" customFormat="1" x14ac:dyDescent="0.25">
      <c r="A4685" s="29"/>
      <c r="B4685" s="15"/>
      <c r="C4685" s="19"/>
      <c r="D4685" s="19"/>
      <c r="E4685" s="19"/>
      <c r="F4685" s="19"/>
      <c r="G4685" s="19"/>
      <c r="H4685" s="82"/>
    </row>
    <row r="4686" spans="1:8" s="28" customFormat="1" x14ac:dyDescent="0.25">
      <c r="A4686" s="29"/>
      <c r="B4686" s="15"/>
      <c r="C4686" s="19"/>
      <c r="D4686" s="19"/>
      <c r="E4686" s="19"/>
      <c r="F4686" s="19"/>
      <c r="G4686" s="19"/>
      <c r="H4686" s="82"/>
    </row>
    <row r="4687" spans="1:8" s="28" customFormat="1" x14ac:dyDescent="0.25">
      <c r="A4687" s="29"/>
      <c r="B4687" s="15"/>
      <c r="C4687" s="19"/>
      <c r="D4687" s="19"/>
      <c r="E4687" s="19"/>
      <c r="F4687" s="19"/>
      <c r="G4687" s="19"/>
      <c r="H4687" s="82"/>
    </row>
    <row r="4688" spans="1:8" s="28" customFormat="1" x14ac:dyDescent="0.25">
      <c r="A4688" s="29"/>
      <c r="B4688" s="15"/>
      <c r="C4688" s="19"/>
      <c r="D4688" s="19"/>
      <c r="E4688" s="19"/>
      <c r="F4688" s="19"/>
      <c r="G4688" s="19"/>
      <c r="H4688" s="82"/>
    </row>
    <row r="4689" spans="1:8" s="28" customFormat="1" x14ac:dyDescent="0.25">
      <c r="A4689" s="29"/>
      <c r="B4689" s="15"/>
      <c r="C4689" s="19"/>
      <c r="D4689" s="19"/>
      <c r="E4689" s="19"/>
      <c r="F4689" s="19"/>
      <c r="G4689" s="19"/>
      <c r="H4689" s="82"/>
    </row>
    <row r="4690" spans="1:8" s="28" customFormat="1" x14ac:dyDescent="0.25">
      <c r="A4690" s="29"/>
      <c r="B4690" s="15"/>
      <c r="C4690" s="19"/>
      <c r="D4690" s="19"/>
      <c r="E4690" s="19"/>
      <c r="F4690" s="19"/>
      <c r="G4690" s="19"/>
      <c r="H4690" s="82"/>
    </row>
    <row r="4691" spans="1:8" s="28" customFormat="1" x14ac:dyDescent="0.25">
      <c r="A4691" s="29"/>
      <c r="B4691" s="15"/>
      <c r="C4691" s="19"/>
      <c r="D4691" s="19"/>
      <c r="E4691" s="19"/>
      <c r="F4691" s="19"/>
      <c r="G4691" s="19"/>
      <c r="H4691" s="82"/>
    </row>
    <row r="4692" spans="1:8" s="28" customFormat="1" x14ac:dyDescent="0.25">
      <c r="A4692" s="29"/>
      <c r="B4692" s="15"/>
      <c r="C4692" s="19"/>
      <c r="D4692" s="19"/>
      <c r="E4692" s="19"/>
      <c r="F4692" s="19"/>
      <c r="G4692" s="19"/>
      <c r="H4692" s="82"/>
    </row>
    <row r="4693" spans="1:8" s="28" customFormat="1" x14ac:dyDescent="0.25">
      <c r="A4693" s="29"/>
      <c r="B4693" s="15"/>
      <c r="C4693" s="19"/>
      <c r="D4693" s="19"/>
      <c r="E4693" s="19"/>
      <c r="F4693" s="19"/>
      <c r="G4693" s="19"/>
      <c r="H4693" s="82"/>
    </row>
    <row r="4694" spans="1:8" s="28" customFormat="1" x14ac:dyDescent="0.25">
      <c r="A4694" s="29"/>
      <c r="B4694" s="15"/>
      <c r="C4694" s="19"/>
      <c r="D4694" s="19"/>
      <c r="E4694" s="19"/>
      <c r="F4694" s="19"/>
      <c r="G4694" s="19"/>
      <c r="H4694" s="82"/>
    </row>
    <row r="4695" spans="1:8" s="28" customFormat="1" x14ac:dyDescent="0.25">
      <c r="A4695" s="29"/>
      <c r="B4695" s="15"/>
      <c r="C4695" s="19"/>
      <c r="D4695" s="19"/>
      <c r="E4695" s="19"/>
      <c r="F4695" s="19"/>
      <c r="G4695" s="19"/>
      <c r="H4695" s="82"/>
    </row>
    <row r="4696" spans="1:8" s="28" customFormat="1" x14ac:dyDescent="0.25">
      <c r="A4696" s="29"/>
      <c r="B4696" s="15"/>
      <c r="C4696" s="19"/>
      <c r="D4696" s="19"/>
      <c r="E4696" s="19"/>
      <c r="F4696" s="19"/>
      <c r="G4696" s="19"/>
      <c r="H4696" s="82"/>
    </row>
    <row r="4697" spans="1:8" s="28" customFormat="1" x14ac:dyDescent="0.25">
      <c r="A4697" s="29"/>
      <c r="B4697" s="15"/>
      <c r="C4697" s="19"/>
      <c r="D4697" s="19"/>
      <c r="E4697" s="19"/>
      <c r="F4697" s="19"/>
      <c r="G4697" s="19"/>
      <c r="H4697" s="82"/>
    </row>
    <row r="4698" spans="1:8" s="28" customFormat="1" x14ac:dyDescent="0.25">
      <c r="A4698" s="29"/>
      <c r="B4698" s="15"/>
      <c r="C4698" s="19"/>
      <c r="D4698" s="19"/>
      <c r="E4698" s="19"/>
      <c r="F4698" s="19"/>
      <c r="G4698" s="19"/>
      <c r="H4698" s="82"/>
    </row>
    <row r="4699" spans="1:8" s="28" customFormat="1" x14ac:dyDescent="0.25">
      <c r="A4699" s="29"/>
      <c r="B4699" s="15"/>
      <c r="C4699" s="19"/>
      <c r="D4699" s="19"/>
      <c r="E4699" s="19"/>
      <c r="F4699" s="19"/>
      <c r="G4699" s="19"/>
      <c r="H4699" s="82"/>
    </row>
    <row r="4700" spans="1:8" s="28" customFormat="1" x14ac:dyDescent="0.25">
      <c r="A4700" s="29"/>
      <c r="B4700" s="15"/>
      <c r="C4700" s="19"/>
      <c r="D4700" s="19"/>
      <c r="E4700" s="19"/>
      <c r="F4700" s="19"/>
      <c r="G4700" s="19"/>
      <c r="H4700" s="82"/>
    </row>
    <row r="4701" spans="1:8" s="28" customFormat="1" x14ac:dyDescent="0.25">
      <c r="A4701" s="29"/>
      <c r="B4701" s="15"/>
      <c r="C4701" s="19"/>
      <c r="D4701" s="19"/>
      <c r="E4701" s="19"/>
      <c r="F4701" s="19"/>
      <c r="G4701" s="19"/>
      <c r="H4701" s="82"/>
    </row>
    <row r="4702" spans="1:8" s="28" customFormat="1" x14ac:dyDescent="0.25">
      <c r="A4702" s="29"/>
      <c r="B4702" s="15"/>
      <c r="C4702" s="19"/>
      <c r="D4702" s="19"/>
      <c r="E4702" s="19"/>
      <c r="F4702" s="19"/>
      <c r="G4702" s="19"/>
      <c r="H4702" s="82"/>
    </row>
    <row r="4703" spans="1:8" s="28" customFormat="1" x14ac:dyDescent="0.25">
      <c r="A4703" s="29"/>
      <c r="B4703" s="15"/>
      <c r="C4703" s="19"/>
      <c r="D4703" s="19"/>
      <c r="E4703" s="19"/>
      <c r="F4703" s="19"/>
      <c r="G4703" s="19"/>
      <c r="H4703" s="82"/>
    </row>
    <row r="4704" spans="1:8" s="28" customFormat="1" x14ac:dyDescent="0.25">
      <c r="A4704" s="29"/>
      <c r="B4704" s="15"/>
      <c r="C4704" s="19"/>
      <c r="D4704" s="19"/>
      <c r="E4704" s="19"/>
      <c r="F4704" s="19"/>
      <c r="G4704" s="19"/>
      <c r="H4704" s="82"/>
    </row>
    <row r="4705" spans="1:8" s="28" customFormat="1" x14ac:dyDescent="0.25">
      <c r="A4705" s="29"/>
      <c r="B4705" s="15"/>
      <c r="C4705" s="19"/>
      <c r="D4705" s="19"/>
      <c r="E4705" s="19"/>
      <c r="F4705" s="19"/>
      <c r="G4705" s="19"/>
      <c r="H4705" s="82"/>
    </row>
    <row r="4706" spans="1:8" s="28" customFormat="1" x14ac:dyDescent="0.25">
      <c r="A4706" s="29"/>
      <c r="B4706" s="15"/>
      <c r="C4706" s="19"/>
      <c r="D4706" s="19"/>
      <c r="E4706" s="19"/>
      <c r="F4706" s="19"/>
      <c r="G4706" s="19"/>
      <c r="H4706" s="82"/>
    </row>
    <row r="4707" spans="1:8" s="28" customFormat="1" x14ac:dyDescent="0.25">
      <c r="A4707" s="29"/>
      <c r="B4707" s="15"/>
      <c r="C4707" s="19"/>
      <c r="D4707" s="19"/>
      <c r="E4707" s="19"/>
      <c r="F4707" s="19"/>
      <c r="G4707" s="19"/>
      <c r="H4707" s="82"/>
    </row>
    <row r="4708" spans="1:8" s="28" customFormat="1" x14ac:dyDescent="0.25">
      <c r="A4708" s="29"/>
      <c r="B4708" s="15"/>
      <c r="C4708" s="19"/>
      <c r="D4708" s="19"/>
      <c r="E4708" s="19"/>
      <c r="F4708" s="19"/>
      <c r="G4708" s="19"/>
      <c r="H4708" s="82"/>
    </row>
    <row r="4709" spans="1:8" s="28" customFormat="1" x14ac:dyDescent="0.25">
      <c r="A4709" s="29"/>
      <c r="B4709" s="15"/>
      <c r="C4709" s="19"/>
      <c r="D4709" s="19"/>
      <c r="E4709" s="19"/>
      <c r="F4709" s="19"/>
      <c r="G4709" s="19"/>
      <c r="H4709" s="82"/>
    </row>
    <row r="4710" spans="1:8" s="28" customFormat="1" x14ac:dyDescent="0.25">
      <c r="A4710" s="29"/>
      <c r="B4710" s="15"/>
      <c r="C4710" s="19"/>
      <c r="D4710" s="19"/>
      <c r="E4710" s="19"/>
      <c r="F4710" s="19"/>
      <c r="G4710" s="19"/>
      <c r="H4710" s="82"/>
    </row>
    <row r="4711" spans="1:8" s="28" customFormat="1" x14ac:dyDescent="0.25">
      <c r="A4711" s="29"/>
      <c r="B4711" s="15"/>
      <c r="C4711" s="19"/>
      <c r="D4711" s="19"/>
      <c r="E4711" s="19"/>
      <c r="F4711" s="19"/>
      <c r="G4711" s="19"/>
      <c r="H4711" s="82"/>
    </row>
    <row r="4712" spans="1:8" s="28" customFormat="1" x14ac:dyDescent="0.25">
      <c r="A4712" s="29"/>
      <c r="B4712" s="15"/>
      <c r="C4712" s="19"/>
      <c r="D4712" s="19"/>
      <c r="E4712" s="19"/>
      <c r="F4712" s="19"/>
      <c r="G4712" s="19"/>
      <c r="H4712" s="82"/>
    </row>
    <row r="4713" spans="1:8" s="28" customFormat="1" x14ac:dyDescent="0.25">
      <c r="A4713" s="29"/>
      <c r="B4713" s="15"/>
      <c r="C4713" s="19"/>
      <c r="D4713" s="19"/>
      <c r="E4713" s="19"/>
      <c r="F4713" s="19"/>
      <c r="G4713" s="19"/>
      <c r="H4713" s="82"/>
    </row>
    <row r="4714" spans="1:8" s="28" customFormat="1" x14ac:dyDescent="0.25">
      <c r="A4714" s="29"/>
      <c r="B4714" s="15"/>
      <c r="C4714" s="19"/>
      <c r="D4714" s="19"/>
      <c r="E4714" s="19"/>
      <c r="F4714" s="19"/>
      <c r="G4714" s="19"/>
      <c r="H4714" s="82"/>
    </row>
    <row r="4715" spans="1:8" s="28" customFormat="1" x14ac:dyDescent="0.25">
      <c r="A4715" s="29"/>
      <c r="B4715" s="15"/>
      <c r="C4715" s="19"/>
      <c r="D4715" s="19"/>
      <c r="E4715" s="19"/>
      <c r="F4715" s="19"/>
      <c r="G4715" s="19"/>
      <c r="H4715" s="82"/>
    </row>
    <row r="4716" spans="1:8" s="28" customFormat="1" x14ac:dyDescent="0.25">
      <c r="A4716" s="29"/>
      <c r="B4716" s="15"/>
      <c r="C4716" s="19"/>
      <c r="D4716" s="19"/>
      <c r="E4716" s="19"/>
      <c r="F4716" s="19"/>
      <c r="G4716" s="19"/>
      <c r="H4716" s="82"/>
    </row>
    <row r="4717" spans="1:8" s="28" customFormat="1" x14ac:dyDescent="0.25">
      <c r="A4717" s="29"/>
      <c r="B4717" s="15"/>
      <c r="C4717" s="19"/>
      <c r="D4717" s="19"/>
      <c r="E4717" s="19"/>
      <c r="F4717" s="19"/>
      <c r="G4717" s="19"/>
      <c r="H4717" s="82"/>
    </row>
    <row r="4718" spans="1:8" s="28" customFormat="1" x14ac:dyDescent="0.25">
      <c r="A4718" s="29"/>
      <c r="B4718" s="15"/>
      <c r="C4718" s="19"/>
      <c r="D4718" s="19"/>
      <c r="E4718" s="19"/>
      <c r="F4718" s="19"/>
      <c r="G4718" s="19"/>
      <c r="H4718" s="82"/>
    </row>
    <row r="4719" spans="1:8" s="28" customFormat="1" x14ac:dyDescent="0.25">
      <c r="A4719" s="29"/>
      <c r="B4719" s="15"/>
      <c r="C4719" s="19"/>
      <c r="D4719" s="19"/>
      <c r="E4719" s="19"/>
      <c r="F4719" s="19"/>
      <c r="G4719" s="19"/>
      <c r="H4719" s="82"/>
    </row>
    <row r="4720" spans="1:8" s="28" customFormat="1" x14ac:dyDescent="0.25">
      <c r="A4720" s="29"/>
      <c r="B4720" s="15"/>
      <c r="C4720" s="19"/>
      <c r="D4720" s="19"/>
      <c r="E4720" s="19"/>
      <c r="F4720" s="19"/>
      <c r="G4720" s="19"/>
      <c r="H4720" s="82"/>
    </row>
    <row r="4721" spans="1:8" s="28" customFormat="1" x14ac:dyDescent="0.25">
      <c r="A4721" s="29"/>
      <c r="B4721" s="15"/>
      <c r="C4721" s="19"/>
      <c r="D4721" s="19"/>
      <c r="E4721" s="19"/>
      <c r="F4721" s="19"/>
      <c r="G4721" s="19"/>
      <c r="H4721" s="82"/>
    </row>
    <row r="4722" spans="1:8" s="28" customFormat="1" x14ac:dyDescent="0.25">
      <c r="A4722" s="29"/>
      <c r="B4722" s="15"/>
      <c r="C4722" s="19"/>
      <c r="D4722" s="19"/>
      <c r="E4722" s="19"/>
      <c r="F4722" s="19"/>
      <c r="G4722" s="19"/>
      <c r="H4722" s="82"/>
    </row>
    <row r="4723" spans="1:8" s="28" customFormat="1" x14ac:dyDescent="0.25">
      <c r="A4723" s="29"/>
      <c r="B4723" s="15"/>
      <c r="C4723" s="19"/>
      <c r="D4723" s="19"/>
      <c r="E4723" s="19"/>
      <c r="F4723" s="19"/>
      <c r="G4723" s="19"/>
      <c r="H4723" s="82"/>
    </row>
    <row r="4724" spans="1:8" s="28" customFormat="1" x14ac:dyDescent="0.25">
      <c r="A4724" s="29"/>
      <c r="B4724" s="15"/>
      <c r="C4724" s="19"/>
      <c r="D4724" s="19"/>
      <c r="E4724" s="19"/>
      <c r="F4724" s="19"/>
      <c r="G4724" s="19"/>
      <c r="H4724" s="82"/>
    </row>
    <row r="4725" spans="1:8" s="28" customFormat="1" x14ac:dyDescent="0.25">
      <c r="A4725" s="29"/>
      <c r="B4725" s="15"/>
      <c r="C4725" s="19"/>
      <c r="D4725" s="19"/>
      <c r="E4725" s="19"/>
      <c r="F4725" s="19"/>
      <c r="G4725" s="19"/>
      <c r="H4725" s="82"/>
    </row>
    <row r="4726" spans="1:8" s="28" customFormat="1" x14ac:dyDescent="0.25">
      <c r="A4726" s="29"/>
      <c r="B4726" s="15"/>
      <c r="C4726" s="19"/>
      <c r="D4726" s="19"/>
      <c r="E4726" s="19"/>
      <c r="F4726" s="19"/>
      <c r="G4726" s="19"/>
      <c r="H4726" s="82"/>
    </row>
    <row r="4727" spans="1:8" s="28" customFormat="1" x14ac:dyDescent="0.25">
      <c r="A4727" s="29"/>
      <c r="B4727" s="15"/>
      <c r="C4727" s="19"/>
      <c r="D4727" s="19"/>
      <c r="E4727" s="19"/>
      <c r="F4727" s="19"/>
      <c r="G4727" s="19"/>
      <c r="H4727" s="82"/>
    </row>
    <row r="4728" spans="1:8" s="28" customFormat="1" x14ac:dyDescent="0.25">
      <c r="A4728" s="29"/>
      <c r="B4728" s="15"/>
      <c r="C4728" s="19"/>
      <c r="D4728" s="19"/>
      <c r="E4728" s="19"/>
      <c r="F4728" s="19"/>
      <c r="G4728" s="19"/>
      <c r="H4728" s="82"/>
    </row>
    <row r="4729" spans="1:8" s="28" customFormat="1" x14ac:dyDescent="0.25">
      <c r="A4729" s="29"/>
      <c r="B4729" s="15"/>
      <c r="C4729" s="19"/>
      <c r="D4729" s="19"/>
      <c r="E4729" s="19"/>
      <c r="F4729" s="19"/>
      <c r="G4729" s="19"/>
      <c r="H4729" s="82"/>
    </row>
    <row r="4730" spans="1:8" s="28" customFormat="1" x14ac:dyDescent="0.25">
      <c r="A4730" s="29"/>
      <c r="B4730" s="15"/>
      <c r="C4730" s="19"/>
      <c r="D4730" s="19"/>
      <c r="E4730" s="19"/>
      <c r="F4730" s="19"/>
      <c r="G4730" s="19"/>
      <c r="H4730" s="82"/>
    </row>
    <row r="4731" spans="1:8" s="28" customFormat="1" x14ac:dyDescent="0.25">
      <c r="A4731" s="29"/>
      <c r="B4731" s="15"/>
      <c r="C4731" s="19"/>
      <c r="D4731" s="19"/>
      <c r="E4731" s="19"/>
      <c r="F4731" s="19"/>
      <c r="G4731" s="19"/>
      <c r="H4731" s="82"/>
    </row>
    <row r="4732" spans="1:8" s="28" customFormat="1" x14ac:dyDescent="0.25">
      <c r="A4732" s="29"/>
      <c r="B4732" s="15"/>
      <c r="C4732" s="19"/>
      <c r="D4732" s="19"/>
      <c r="E4732" s="19"/>
      <c r="F4732" s="19"/>
      <c r="G4732" s="19"/>
      <c r="H4732" s="82"/>
    </row>
    <row r="4733" spans="1:8" s="28" customFormat="1" x14ac:dyDescent="0.25">
      <c r="A4733" s="29"/>
      <c r="B4733" s="15"/>
      <c r="C4733" s="19"/>
      <c r="D4733" s="19"/>
      <c r="E4733" s="19"/>
      <c r="F4733" s="19"/>
      <c r="G4733" s="19"/>
      <c r="H4733" s="82"/>
    </row>
    <row r="4734" spans="1:8" s="28" customFormat="1" x14ac:dyDescent="0.25">
      <c r="A4734" s="29"/>
      <c r="B4734" s="15"/>
      <c r="C4734" s="19"/>
      <c r="D4734" s="19"/>
      <c r="E4734" s="19"/>
      <c r="F4734" s="19"/>
      <c r="G4734" s="19"/>
      <c r="H4734" s="82"/>
    </row>
    <row r="4735" spans="1:8" s="28" customFormat="1" x14ac:dyDescent="0.25">
      <c r="A4735" s="29"/>
      <c r="B4735" s="15"/>
      <c r="C4735" s="19"/>
      <c r="D4735" s="19"/>
      <c r="E4735" s="19"/>
      <c r="F4735" s="19"/>
      <c r="G4735" s="19"/>
      <c r="H4735" s="82"/>
    </row>
    <row r="4736" spans="1:8" s="28" customFormat="1" x14ac:dyDescent="0.25">
      <c r="A4736" s="29"/>
      <c r="B4736" s="15"/>
      <c r="C4736" s="19"/>
      <c r="D4736" s="19"/>
      <c r="E4736" s="19"/>
      <c r="F4736" s="19"/>
      <c r="G4736" s="19"/>
      <c r="H4736" s="82"/>
    </row>
    <row r="4737" spans="1:8" s="28" customFormat="1" x14ac:dyDescent="0.25">
      <c r="A4737" s="29"/>
      <c r="B4737" s="15"/>
      <c r="C4737" s="19"/>
      <c r="D4737" s="19"/>
      <c r="E4737" s="19"/>
      <c r="F4737" s="19"/>
      <c r="G4737" s="19"/>
      <c r="H4737" s="82"/>
    </row>
    <row r="4738" spans="1:8" s="28" customFormat="1" x14ac:dyDescent="0.25">
      <c r="A4738" s="29"/>
      <c r="B4738" s="15"/>
      <c r="C4738" s="19"/>
      <c r="D4738" s="19"/>
      <c r="E4738" s="19"/>
      <c r="F4738" s="19"/>
      <c r="G4738" s="19"/>
      <c r="H4738" s="82"/>
    </row>
    <row r="4739" spans="1:8" s="28" customFormat="1" x14ac:dyDescent="0.25">
      <c r="A4739" s="29"/>
      <c r="B4739" s="15"/>
      <c r="C4739" s="19"/>
      <c r="D4739" s="19"/>
      <c r="E4739" s="19"/>
      <c r="F4739" s="19"/>
      <c r="G4739" s="19"/>
      <c r="H4739" s="82"/>
    </row>
    <row r="4740" spans="1:8" s="28" customFormat="1" x14ac:dyDescent="0.25">
      <c r="A4740" s="29"/>
      <c r="B4740" s="15"/>
      <c r="C4740" s="19"/>
      <c r="D4740" s="19"/>
      <c r="E4740" s="19"/>
      <c r="F4740" s="19"/>
      <c r="G4740" s="19"/>
      <c r="H4740" s="82"/>
    </row>
    <row r="4741" spans="1:8" s="28" customFormat="1" x14ac:dyDescent="0.25">
      <c r="A4741" s="29"/>
      <c r="B4741" s="15"/>
      <c r="C4741" s="19"/>
      <c r="D4741" s="19"/>
      <c r="E4741" s="19"/>
      <c r="F4741" s="19"/>
      <c r="G4741" s="19"/>
      <c r="H4741" s="82"/>
    </row>
    <row r="4742" spans="1:8" s="28" customFormat="1" x14ac:dyDescent="0.25">
      <c r="A4742" s="29"/>
      <c r="B4742" s="15"/>
      <c r="C4742" s="19"/>
      <c r="D4742" s="19"/>
      <c r="E4742" s="19"/>
      <c r="F4742" s="19"/>
      <c r="G4742" s="19"/>
      <c r="H4742" s="82"/>
    </row>
    <row r="4743" spans="1:8" s="28" customFormat="1" x14ac:dyDescent="0.25">
      <c r="A4743" s="29"/>
      <c r="B4743" s="15"/>
      <c r="C4743" s="19"/>
      <c r="D4743" s="19"/>
      <c r="E4743" s="19"/>
      <c r="F4743" s="19"/>
      <c r="G4743" s="19"/>
      <c r="H4743" s="82"/>
    </row>
    <row r="4744" spans="1:8" s="28" customFormat="1" x14ac:dyDescent="0.25">
      <c r="A4744" s="29"/>
      <c r="B4744" s="15"/>
      <c r="C4744" s="19"/>
      <c r="D4744" s="19"/>
      <c r="E4744" s="19"/>
      <c r="F4744" s="19"/>
      <c r="G4744" s="19"/>
      <c r="H4744" s="82"/>
    </row>
    <row r="4745" spans="1:8" s="28" customFormat="1" x14ac:dyDescent="0.25">
      <c r="A4745" s="29"/>
      <c r="B4745" s="15"/>
      <c r="C4745" s="19"/>
      <c r="D4745" s="19"/>
      <c r="E4745" s="19"/>
      <c r="F4745" s="19"/>
      <c r="G4745" s="19"/>
      <c r="H4745" s="82"/>
    </row>
    <row r="4746" spans="1:8" s="28" customFormat="1" x14ac:dyDescent="0.25">
      <c r="A4746" s="29"/>
      <c r="B4746" s="15"/>
      <c r="C4746" s="19"/>
      <c r="D4746" s="19"/>
      <c r="E4746" s="19"/>
      <c r="F4746" s="19"/>
      <c r="G4746" s="19"/>
      <c r="H4746" s="82"/>
    </row>
    <row r="4747" spans="1:8" s="28" customFormat="1" x14ac:dyDescent="0.25">
      <c r="A4747" s="29"/>
      <c r="B4747" s="15"/>
      <c r="C4747" s="19"/>
      <c r="D4747" s="19"/>
      <c r="E4747" s="19"/>
      <c r="F4747" s="19"/>
      <c r="G4747" s="19"/>
      <c r="H4747" s="82"/>
    </row>
    <row r="4748" spans="1:8" s="28" customFormat="1" x14ac:dyDescent="0.25">
      <c r="A4748" s="29"/>
      <c r="B4748" s="15"/>
      <c r="C4748" s="19"/>
      <c r="D4748" s="19"/>
      <c r="E4748" s="19"/>
      <c r="F4748" s="19"/>
      <c r="G4748" s="19"/>
      <c r="H4748" s="82"/>
    </row>
    <row r="4749" spans="1:8" s="28" customFormat="1" x14ac:dyDescent="0.25">
      <c r="A4749" s="29"/>
      <c r="B4749" s="15"/>
      <c r="C4749" s="19"/>
      <c r="D4749" s="19"/>
      <c r="E4749" s="19"/>
      <c r="F4749" s="19"/>
      <c r="G4749" s="19"/>
      <c r="H4749" s="82"/>
    </row>
    <row r="4750" spans="1:8" s="28" customFormat="1" x14ac:dyDescent="0.25">
      <c r="A4750" s="29"/>
      <c r="B4750" s="15"/>
      <c r="C4750" s="19"/>
      <c r="D4750" s="19"/>
      <c r="E4750" s="19"/>
      <c r="F4750" s="19"/>
      <c r="G4750" s="19"/>
      <c r="H4750" s="82"/>
    </row>
    <row r="4751" spans="1:8" s="28" customFormat="1" x14ac:dyDescent="0.25">
      <c r="A4751" s="29"/>
      <c r="B4751" s="15"/>
      <c r="C4751" s="19"/>
      <c r="D4751" s="19"/>
      <c r="E4751" s="19"/>
      <c r="F4751" s="19"/>
      <c r="G4751" s="19"/>
      <c r="H4751" s="82"/>
    </row>
    <row r="4752" spans="1:8" s="28" customFormat="1" x14ac:dyDescent="0.25">
      <c r="A4752" s="29"/>
      <c r="B4752" s="15"/>
      <c r="C4752" s="19"/>
      <c r="D4752" s="19"/>
      <c r="E4752" s="19"/>
      <c r="F4752" s="19"/>
      <c r="G4752" s="19"/>
      <c r="H4752" s="82"/>
    </row>
    <row r="4753" spans="1:8" s="28" customFormat="1" x14ac:dyDescent="0.25">
      <c r="A4753" s="29"/>
      <c r="B4753" s="15"/>
      <c r="C4753" s="19"/>
      <c r="D4753" s="19"/>
      <c r="E4753" s="19"/>
      <c r="F4753" s="19"/>
      <c r="G4753" s="19"/>
      <c r="H4753" s="82"/>
    </row>
    <row r="4754" spans="1:8" s="28" customFormat="1" x14ac:dyDescent="0.25">
      <c r="A4754" s="29"/>
      <c r="B4754" s="15"/>
      <c r="C4754" s="19"/>
      <c r="D4754" s="19"/>
      <c r="E4754" s="19"/>
      <c r="F4754" s="19"/>
      <c r="G4754" s="19"/>
      <c r="H4754" s="82"/>
    </row>
    <row r="4755" spans="1:8" s="28" customFormat="1" x14ac:dyDescent="0.25">
      <c r="A4755" s="29"/>
      <c r="B4755" s="15"/>
      <c r="C4755" s="19"/>
      <c r="D4755" s="19"/>
      <c r="E4755" s="19"/>
      <c r="F4755" s="19"/>
      <c r="G4755" s="19"/>
      <c r="H4755" s="82"/>
    </row>
    <row r="4756" spans="1:8" s="28" customFormat="1" x14ac:dyDescent="0.25">
      <c r="A4756" s="29"/>
      <c r="B4756" s="15"/>
      <c r="C4756" s="19"/>
      <c r="D4756" s="19"/>
      <c r="E4756" s="19"/>
      <c r="F4756" s="19"/>
      <c r="G4756" s="19"/>
      <c r="H4756" s="82"/>
    </row>
    <row r="4757" spans="1:8" s="28" customFormat="1" x14ac:dyDescent="0.25">
      <c r="A4757" s="29"/>
      <c r="B4757" s="15"/>
      <c r="C4757" s="19"/>
      <c r="D4757" s="19"/>
      <c r="E4757" s="19"/>
      <c r="F4757" s="19"/>
      <c r="G4757" s="19"/>
      <c r="H4757" s="82"/>
    </row>
    <row r="4758" spans="1:8" s="28" customFormat="1" x14ac:dyDescent="0.25">
      <c r="A4758" s="29"/>
      <c r="B4758" s="15"/>
      <c r="C4758" s="19"/>
      <c r="D4758" s="19"/>
      <c r="E4758" s="19"/>
      <c r="F4758" s="19"/>
      <c r="G4758" s="19"/>
      <c r="H4758" s="82"/>
    </row>
    <row r="4759" spans="1:8" s="28" customFormat="1" x14ac:dyDescent="0.25">
      <c r="A4759" s="29"/>
      <c r="B4759" s="15"/>
      <c r="C4759" s="19"/>
      <c r="D4759" s="19"/>
      <c r="E4759" s="19"/>
      <c r="F4759" s="19"/>
      <c r="G4759" s="19"/>
      <c r="H4759" s="82"/>
    </row>
    <row r="4760" spans="1:8" s="28" customFormat="1" x14ac:dyDescent="0.25">
      <c r="A4760" s="29"/>
      <c r="B4760" s="15"/>
      <c r="C4760" s="19"/>
      <c r="D4760" s="19"/>
      <c r="E4760" s="19"/>
      <c r="F4760" s="19"/>
      <c r="G4760" s="19"/>
      <c r="H4760" s="82"/>
    </row>
    <row r="4761" spans="1:8" s="28" customFormat="1" x14ac:dyDescent="0.25">
      <c r="A4761" s="29"/>
      <c r="B4761" s="15"/>
      <c r="C4761" s="19"/>
      <c r="D4761" s="19"/>
      <c r="E4761" s="19"/>
      <c r="F4761" s="19"/>
      <c r="G4761" s="19"/>
      <c r="H4761" s="82"/>
    </row>
    <row r="4762" spans="1:8" s="28" customFormat="1" x14ac:dyDescent="0.25">
      <c r="A4762" s="29"/>
      <c r="B4762" s="15"/>
      <c r="C4762" s="19"/>
      <c r="D4762" s="19"/>
      <c r="E4762" s="19"/>
      <c r="F4762" s="19"/>
      <c r="G4762" s="19"/>
      <c r="H4762" s="82"/>
    </row>
    <row r="4763" spans="1:8" s="28" customFormat="1" x14ac:dyDescent="0.25">
      <c r="A4763" s="29"/>
      <c r="B4763" s="15"/>
      <c r="C4763" s="19"/>
      <c r="D4763" s="19"/>
      <c r="E4763" s="19"/>
      <c r="F4763" s="19"/>
      <c r="G4763" s="19"/>
      <c r="H4763" s="82"/>
    </row>
    <row r="4764" spans="1:8" s="28" customFormat="1" x14ac:dyDescent="0.25">
      <c r="A4764" s="29"/>
      <c r="B4764" s="15"/>
      <c r="C4764" s="19"/>
      <c r="D4764" s="19"/>
      <c r="E4764" s="19"/>
      <c r="F4764" s="19"/>
      <c r="G4764" s="19"/>
      <c r="H4764" s="82"/>
    </row>
    <row r="4765" spans="1:8" s="28" customFormat="1" x14ac:dyDescent="0.25">
      <c r="A4765" s="29"/>
      <c r="B4765" s="15"/>
      <c r="C4765" s="19"/>
      <c r="D4765" s="19"/>
      <c r="E4765" s="19"/>
      <c r="F4765" s="19"/>
      <c r="G4765" s="19"/>
      <c r="H4765" s="82"/>
    </row>
    <row r="4766" spans="1:8" s="28" customFormat="1" x14ac:dyDescent="0.25">
      <c r="A4766" s="29"/>
      <c r="B4766" s="15"/>
      <c r="C4766" s="19"/>
      <c r="D4766" s="19"/>
      <c r="E4766" s="19"/>
      <c r="F4766" s="19"/>
      <c r="G4766" s="19"/>
      <c r="H4766" s="82"/>
    </row>
    <row r="4767" spans="1:8" s="28" customFormat="1" x14ac:dyDescent="0.25">
      <c r="A4767" s="29"/>
      <c r="B4767" s="15"/>
      <c r="C4767" s="19"/>
      <c r="D4767" s="19"/>
      <c r="E4767" s="19"/>
      <c r="F4767" s="19"/>
      <c r="G4767" s="19"/>
      <c r="H4767" s="82"/>
    </row>
    <row r="4768" spans="1:8" s="28" customFormat="1" x14ac:dyDescent="0.25">
      <c r="A4768" s="29"/>
      <c r="B4768" s="15"/>
      <c r="C4768" s="19"/>
      <c r="D4768" s="19"/>
      <c r="E4768" s="19"/>
      <c r="F4768" s="19"/>
      <c r="G4768" s="19"/>
      <c r="H4768" s="82"/>
    </row>
    <row r="4769" spans="1:8" s="28" customFormat="1" x14ac:dyDescent="0.25">
      <c r="A4769" s="29"/>
      <c r="B4769" s="15"/>
      <c r="C4769" s="19"/>
      <c r="D4769" s="19"/>
      <c r="E4769" s="19"/>
      <c r="F4769" s="19"/>
      <c r="G4769" s="19"/>
      <c r="H4769" s="82"/>
    </row>
    <row r="4770" spans="1:8" s="28" customFormat="1" x14ac:dyDescent="0.25">
      <c r="A4770" s="29"/>
      <c r="B4770" s="15"/>
      <c r="C4770" s="19"/>
      <c r="D4770" s="19"/>
      <c r="E4770" s="19"/>
      <c r="F4770" s="19"/>
      <c r="G4770" s="19"/>
      <c r="H4770" s="82"/>
    </row>
    <row r="4771" spans="1:8" s="28" customFormat="1" x14ac:dyDescent="0.25">
      <c r="A4771" s="29"/>
      <c r="B4771" s="15"/>
      <c r="C4771" s="19"/>
      <c r="D4771" s="19"/>
      <c r="E4771" s="19"/>
      <c r="F4771" s="19"/>
      <c r="G4771" s="19"/>
      <c r="H4771" s="82"/>
    </row>
    <row r="4772" spans="1:8" s="28" customFormat="1" x14ac:dyDescent="0.25">
      <c r="A4772" s="29"/>
      <c r="B4772" s="15"/>
      <c r="C4772" s="19"/>
      <c r="D4772" s="19"/>
      <c r="E4772" s="19"/>
      <c r="F4772" s="19"/>
      <c r="G4772" s="19"/>
      <c r="H4772" s="82"/>
    </row>
    <row r="4773" spans="1:8" s="28" customFormat="1" x14ac:dyDescent="0.25">
      <c r="A4773" s="29"/>
      <c r="B4773" s="15"/>
      <c r="C4773" s="19"/>
      <c r="D4773" s="19"/>
      <c r="E4773" s="19"/>
      <c r="F4773" s="19"/>
      <c r="G4773" s="19"/>
      <c r="H4773" s="82"/>
    </row>
    <row r="4774" spans="1:8" s="28" customFormat="1" x14ac:dyDescent="0.25">
      <c r="A4774" s="29"/>
      <c r="B4774" s="15"/>
      <c r="C4774" s="19"/>
      <c r="D4774" s="19"/>
      <c r="E4774" s="19"/>
      <c r="F4774" s="19"/>
      <c r="G4774" s="19"/>
      <c r="H4774" s="82"/>
    </row>
    <row r="4775" spans="1:8" s="28" customFormat="1" x14ac:dyDescent="0.25">
      <c r="A4775" s="29"/>
      <c r="B4775" s="15"/>
      <c r="C4775" s="19"/>
      <c r="D4775" s="19"/>
      <c r="E4775" s="19"/>
      <c r="F4775" s="19"/>
      <c r="G4775" s="19"/>
      <c r="H4775" s="82"/>
    </row>
    <row r="4776" spans="1:8" s="28" customFormat="1" x14ac:dyDescent="0.25">
      <c r="A4776" s="29"/>
      <c r="B4776" s="15"/>
      <c r="C4776" s="19"/>
      <c r="D4776" s="19"/>
      <c r="E4776" s="19"/>
      <c r="F4776" s="19"/>
      <c r="G4776" s="19"/>
      <c r="H4776" s="82"/>
    </row>
    <row r="4777" spans="1:8" s="28" customFormat="1" x14ac:dyDescent="0.25">
      <c r="A4777" s="29"/>
      <c r="B4777" s="15"/>
      <c r="C4777" s="19"/>
      <c r="D4777" s="19"/>
      <c r="E4777" s="19"/>
      <c r="F4777" s="19"/>
      <c r="G4777" s="19"/>
      <c r="H4777" s="82"/>
    </row>
    <row r="4778" spans="1:8" s="28" customFormat="1" x14ac:dyDescent="0.25">
      <c r="A4778" s="29"/>
      <c r="B4778" s="15"/>
      <c r="C4778" s="19"/>
      <c r="D4778" s="19"/>
      <c r="E4778" s="19"/>
      <c r="F4778" s="19"/>
      <c r="G4778" s="19"/>
      <c r="H4778" s="82"/>
    </row>
    <row r="4779" spans="1:8" s="28" customFormat="1" x14ac:dyDescent="0.25">
      <c r="A4779" s="29"/>
      <c r="B4779" s="15"/>
      <c r="C4779" s="19"/>
      <c r="D4779" s="19"/>
      <c r="E4779" s="19"/>
      <c r="F4779" s="19"/>
      <c r="G4779" s="19"/>
      <c r="H4779" s="82"/>
    </row>
    <row r="4780" spans="1:8" s="28" customFormat="1" x14ac:dyDescent="0.25">
      <c r="A4780" s="29"/>
      <c r="B4780" s="15"/>
      <c r="C4780" s="19"/>
      <c r="D4780" s="19"/>
      <c r="E4780" s="19"/>
      <c r="F4780" s="19"/>
      <c r="G4780" s="19"/>
      <c r="H4780" s="82"/>
    </row>
    <row r="4781" spans="1:8" s="28" customFormat="1" x14ac:dyDescent="0.25">
      <c r="A4781" s="29"/>
      <c r="B4781" s="15"/>
      <c r="C4781" s="19"/>
      <c r="D4781" s="19"/>
      <c r="E4781" s="19"/>
      <c r="F4781" s="19"/>
      <c r="G4781" s="19"/>
      <c r="H4781" s="82"/>
    </row>
    <row r="4782" spans="1:8" s="28" customFormat="1" x14ac:dyDescent="0.25">
      <c r="A4782" s="29"/>
      <c r="B4782" s="15"/>
      <c r="C4782" s="19"/>
      <c r="D4782" s="19"/>
      <c r="E4782" s="19"/>
      <c r="F4782" s="19"/>
      <c r="G4782" s="19"/>
      <c r="H4782" s="82"/>
    </row>
    <row r="4783" spans="1:8" s="28" customFormat="1" x14ac:dyDescent="0.25">
      <c r="A4783" s="29"/>
      <c r="B4783" s="15"/>
      <c r="C4783" s="19"/>
      <c r="D4783" s="19"/>
      <c r="E4783" s="19"/>
      <c r="F4783" s="19"/>
      <c r="G4783" s="19"/>
      <c r="H4783" s="82"/>
    </row>
    <row r="4784" spans="1:8" s="28" customFormat="1" x14ac:dyDescent="0.25">
      <c r="A4784" s="29"/>
      <c r="B4784" s="15"/>
      <c r="C4784" s="19"/>
      <c r="D4784" s="19"/>
      <c r="E4784" s="19"/>
      <c r="F4784" s="19"/>
      <c r="G4784" s="19"/>
      <c r="H4784" s="82"/>
    </row>
    <row r="4785" spans="1:8" s="28" customFormat="1" x14ac:dyDescent="0.25">
      <c r="A4785" s="29"/>
      <c r="B4785" s="15"/>
      <c r="C4785" s="19"/>
      <c r="D4785" s="19"/>
      <c r="E4785" s="19"/>
      <c r="F4785" s="19"/>
      <c r="G4785" s="19"/>
      <c r="H4785" s="82"/>
    </row>
    <row r="4786" spans="1:8" s="28" customFormat="1" x14ac:dyDescent="0.25">
      <c r="A4786" s="29"/>
      <c r="B4786" s="15"/>
      <c r="C4786" s="19"/>
      <c r="D4786" s="19"/>
      <c r="E4786" s="19"/>
      <c r="F4786" s="19"/>
      <c r="G4786" s="19"/>
      <c r="H4786" s="82"/>
    </row>
    <row r="4787" spans="1:8" s="28" customFormat="1" x14ac:dyDescent="0.25">
      <c r="A4787" s="29"/>
      <c r="B4787" s="15"/>
      <c r="C4787" s="19"/>
      <c r="D4787" s="19"/>
      <c r="E4787" s="19"/>
      <c r="F4787" s="19"/>
      <c r="G4787" s="19"/>
      <c r="H4787" s="82"/>
    </row>
    <row r="4788" spans="1:8" s="28" customFormat="1" x14ac:dyDescent="0.25">
      <c r="A4788" s="29"/>
      <c r="B4788" s="15"/>
      <c r="C4788" s="19"/>
      <c r="D4788" s="19"/>
      <c r="E4788" s="19"/>
      <c r="F4788" s="19"/>
      <c r="G4788" s="19"/>
      <c r="H4788" s="82"/>
    </row>
    <row r="4789" spans="1:8" s="28" customFormat="1" x14ac:dyDescent="0.25">
      <c r="A4789" s="29"/>
      <c r="B4789" s="15"/>
      <c r="C4789" s="19"/>
      <c r="D4789" s="19"/>
      <c r="E4789" s="19"/>
      <c r="F4789" s="19"/>
      <c r="G4789" s="19"/>
      <c r="H4789" s="82"/>
    </row>
    <row r="4790" spans="1:8" s="28" customFormat="1" x14ac:dyDescent="0.25">
      <c r="A4790" s="29"/>
      <c r="B4790" s="15"/>
      <c r="C4790" s="19"/>
      <c r="D4790" s="19"/>
      <c r="E4790" s="19"/>
      <c r="F4790" s="19"/>
      <c r="G4790" s="19"/>
      <c r="H4790" s="82"/>
    </row>
    <row r="4791" spans="1:8" s="28" customFormat="1" x14ac:dyDescent="0.25">
      <c r="A4791" s="29"/>
      <c r="B4791" s="15"/>
      <c r="C4791" s="19"/>
      <c r="D4791" s="19"/>
      <c r="E4791" s="19"/>
      <c r="F4791" s="19"/>
      <c r="G4791" s="19"/>
      <c r="H4791" s="82"/>
    </row>
    <row r="4792" spans="1:8" s="28" customFormat="1" x14ac:dyDescent="0.25">
      <c r="A4792" s="29"/>
      <c r="B4792" s="15"/>
      <c r="C4792" s="19"/>
      <c r="D4792" s="19"/>
      <c r="E4792" s="19"/>
      <c r="F4792" s="19"/>
      <c r="G4792" s="19"/>
      <c r="H4792" s="82"/>
    </row>
    <row r="4793" spans="1:8" s="28" customFormat="1" x14ac:dyDescent="0.25">
      <c r="A4793" s="29"/>
      <c r="B4793" s="15"/>
      <c r="C4793" s="19"/>
      <c r="D4793" s="19"/>
      <c r="E4793" s="19"/>
      <c r="F4793" s="19"/>
      <c r="G4793" s="19"/>
      <c r="H4793" s="82"/>
    </row>
    <row r="4794" spans="1:8" s="28" customFormat="1" x14ac:dyDescent="0.25">
      <c r="A4794" s="29"/>
      <c r="B4794" s="15"/>
      <c r="C4794" s="19"/>
      <c r="D4794" s="19"/>
      <c r="E4794" s="19"/>
      <c r="F4794" s="19"/>
      <c r="G4794" s="19"/>
      <c r="H4794" s="82"/>
    </row>
    <row r="4795" spans="1:8" s="28" customFormat="1" x14ac:dyDescent="0.25">
      <c r="A4795" s="29"/>
      <c r="B4795" s="15"/>
      <c r="C4795" s="19"/>
      <c r="D4795" s="19"/>
      <c r="E4795" s="19"/>
      <c r="F4795" s="19"/>
      <c r="G4795" s="19"/>
      <c r="H4795" s="82"/>
    </row>
    <row r="4796" spans="1:8" s="28" customFormat="1" x14ac:dyDescent="0.25">
      <c r="A4796" s="29"/>
      <c r="B4796" s="15"/>
      <c r="C4796" s="19"/>
      <c r="D4796" s="19"/>
      <c r="E4796" s="19"/>
      <c r="F4796" s="19"/>
      <c r="G4796" s="19"/>
      <c r="H4796" s="82"/>
    </row>
    <row r="4797" spans="1:8" s="28" customFormat="1" x14ac:dyDescent="0.25">
      <c r="A4797" s="29"/>
      <c r="B4797" s="15"/>
      <c r="C4797" s="19"/>
      <c r="D4797" s="19"/>
      <c r="E4797" s="19"/>
      <c r="F4797" s="19"/>
      <c r="G4797" s="19"/>
      <c r="H4797" s="82"/>
    </row>
    <row r="4798" spans="1:8" s="28" customFormat="1" x14ac:dyDescent="0.25">
      <c r="A4798" s="29"/>
      <c r="B4798" s="15"/>
      <c r="C4798" s="19"/>
      <c r="D4798" s="19"/>
      <c r="E4798" s="19"/>
      <c r="F4798" s="19"/>
      <c r="G4798" s="19"/>
      <c r="H4798" s="82"/>
    </row>
    <row r="4799" spans="1:8" s="28" customFormat="1" x14ac:dyDescent="0.25">
      <c r="A4799" s="29"/>
      <c r="B4799" s="15"/>
      <c r="C4799" s="19"/>
      <c r="D4799" s="19"/>
      <c r="E4799" s="19"/>
      <c r="F4799" s="19"/>
      <c r="G4799" s="19"/>
      <c r="H4799" s="82"/>
    </row>
    <row r="4800" spans="1:8" s="28" customFormat="1" x14ac:dyDescent="0.25">
      <c r="A4800" s="29"/>
      <c r="B4800" s="15"/>
      <c r="C4800" s="19"/>
      <c r="D4800" s="19"/>
      <c r="E4800" s="19"/>
      <c r="F4800" s="19"/>
      <c r="G4800" s="19"/>
      <c r="H4800" s="82"/>
    </row>
    <row r="4801" spans="1:8" s="28" customFormat="1" x14ac:dyDescent="0.25">
      <c r="A4801" s="29"/>
      <c r="B4801" s="15"/>
      <c r="C4801" s="19"/>
      <c r="D4801" s="19"/>
      <c r="E4801" s="19"/>
      <c r="F4801" s="19"/>
      <c r="G4801" s="19"/>
      <c r="H4801" s="82"/>
    </row>
    <row r="4802" spans="1:8" s="28" customFormat="1" x14ac:dyDescent="0.25">
      <c r="A4802" s="29"/>
      <c r="B4802" s="15"/>
      <c r="C4802" s="19"/>
      <c r="D4802" s="19"/>
      <c r="E4802" s="19"/>
      <c r="F4802" s="19"/>
      <c r="G4802" s="19"/>
      <c r="H4802" s="82"/>
    </row>
    <row r="4803" spans="1:8" s="28" customFormat="1" x14ac:dyDescent="0.25">
      <c r="A4803" s="29"/>
      <c r="B4803" s="15"/>
      <c r="C4803" s="19"/>
      <c r="D4803" s="19"/>
      <c r="E4803" s="19"/>
      <c r="F4803" s="19"/>
      <c r="G4803" s="19"/>
      <c r="H4803" s="82"/>
    </row>
    <row r="4804" spans="1:8" s="28" customFormat="1" x14ac:dyDescent="0.25">
      <c r="A4804" s="29"/>
      <c r="B4804" s="15"/>
      <c r="C4804" s="19"/>
      <c r="D4804" s="19"/>
      <c r="E4804" s="19"/>
      <c r="F4804" s="19"/>
      <c r="G4804" s="19"/>
      <c r="H4804" s="82"/>
    </row>
    <row r="4805" spans="1:8" s="28" customFormat="1" x14ac:dyDescent="0.25">
      <c r="A4805" s="29"/>
      <c r="B4805" s="15"/>
      <c r="C4805" s="19"/>
      <c r="D4805" s="19"/>
      <c r="E4805" s="19"/>
      <c r="F4805" s="19"/>
      <c r="G4805" s="19"/>
      <c r="H4805" s="82"/>
    </row>
    <row r="4806" spans="1:8" s="28" customFormat="1" x14ac:dyDescent="0.25">
      <c r="A4806" s="29"/>
      <c r="B4806" s="15"/>
      <c r="C4806" s="19"/>
      <c r="D4806" s="19"/>
      <c r="E4806" s="19"/>
      <c r="F4806" s="19"/>
      <c r="G4806" s="19"/>
      <c r="H4806" s="82"/>
    </row>
    <row r="4807" spans="1:8" s="28" customFormat="1" x14ac:dyDescent="0.25">
      <c r="A4807" s="29"/>
      <c r="B4807" s="15"/>
      <c r="C4807" s="19"/>
      <c r="D4807" s="19"/>
      <c r="E4807" s="19"/>
      <c r="F4807" s="19"/>
      <c r="G4807" s="19"/>
      <c r="H4807" s="82"/>
    </row>
    <row r="4808" spans="1:8" s="28" customFormat="1" x14ac:dyDescent="0.25">
      <c r="A4808" s="29"/>
      <c r="B4808" s="15"/>
      <c r="C4808" s="19"/>
      <c r="D4808" s="19"/>
      <c r="E4808" s="19"/>
      <c r="F4808" s="19"/>
      <c r="G4808" s="19"/>
      <c r="H4808" s="82"/>
    </row>
    <row r="4809" spans="1:8" s="28" customFormat="1" x14ac:dyDescent="0.25">
      <c r="A4809" s="29"/>
      <c r="B4809" s="15"/>
      <c r="C4809" s="19"/>
      <c r="D4809" s="19"/>
      <c r="E4809" s="19"/>
      <c r="F4809" s="19"/>
      <c r="G4809" s="19"/>
      <c r="H4809" s="82"/>
    </row>
    <row r="4810" spans="1:8" s="28" customFormat="1" x14ac:dyDescent="0.25">
      <c r="A4810" s="29"/>
      <c r="B4810" s="15"/>
      <c r="C4810" s="19"/>
      <c r="D4810" s="19"/>
      <c r="E4810" s="19"/>
      <c r="F4810" s="19"/>
      <c r="G4810" s="19"/>
      <c r="H4810" s="82"/>
    </row>
    <row r="4811" spans="1:8" s="28" customFormat="1" x14ac:dyDescent="0.25">
      <c r="A4811" s="29"/>
      <c r="B4811" s="15"/>
      <c r="C4811" s="19"/>
      <c r="D4811" s="19"/>
      <c r="E4811" s="19"/>
      <c r="F4811" s="19"/>
      <c r="G4811" s="19"/>
      <c r="H4811" s="82"/>
    </row>
    <row r="4812" spans="1:8" s="28" customFormat="1" x14ac:dyDescent="0.25">
      <c r="A4812" s="29"/>
      <c r="B4812" s="15"/>
      <c r="C4812" s="19"/>
      <c r="D4812" s="19"/>
      <c r="E4812" s="19"/>
      <c r="F4812" s="19"/>
      <c r="G4812" s="19"/>
      <c r="H4812" s="82"/>
    </row>
    <row r="4813" spans="1:8" s="28" customFormat="1" x14ac:dyDescent="0.25">
      <c r="A4813" s="29"/>
      <c r="B4813" s="15"/>
      <c r="C4813" s="19"/>
      <c r="D4813" s="19"/>
      <c r="E4813" s="19"/>
      <c r="F4813" s="19"/>
      <c r="G4813" s="19"/>
      <c r="H4813" s="82"/>
    </row>
    <row r="4814" spans="1:8" s="28" customFormat="1" x14ac:dyDescent="0.25">
      <c r="A4814" s="29"/>
      <c r="B4814" s="15"/>
      <c r="C4814" s="19"/>
      <c r="D4814" s="19"/>
      <c r="E4814" s="19"/>
      <c r="F4814" s="19"/>
      <c r="G4814" s="19"/>
      <c r="H4814" s="82"/>
    </row>
    <row r="4815" spans="1:8" s="28" customFormat="1" x14ac:dyDescent="0.25">
      <c r="A4815" s="29"/>
      <c r="B4815" s="15"/>
      <c r="C4815" s="19"/>
      <c r="D4815" s="19"/>
      <c r="E4815" s="19"/>
      <c r="F4815" s="19"/>
      <c r="G4815" s="19"/>
      <c r="H4815" s="82"/>
    </row>
    <row r="4816" spans="1:8" s="28" customFormat="1" x14ac:dyDescent="0.25">
      <c r="A4816" s="29"/>
      <c r="B4816" s="15"/>
      <c r="C4816" s="19"/>
      <c r="D4816" s="19"/>
      <c r="E4816" s="19"/>
      <c r="F4816" s="19"/>
      <c r="G4816" s="19"/>
      <c r="H4816" s="82"/>
    </row>
    <row r="4817" spans="1:8" s="28" customFormat="1" x14ac:dyDescent="0.25">
      <c r="A4817" s="29"/>
      <c r="B4817" s="15"/>
      <c r="C4817" s="19"/>
      <c r="D4817" s="19"/>
      <c r="E4817" s="19"/>
      <c r="F4817" s="19"/>
      <c r="G4817" s="19"/>
      <c r="H4817" s="82"/>
    </row>
    <row r="4818" spans="1:8" s="28" customFormat="1" x14ac:dyDescent="0.25">
      <c r="A4818" s="29"/>
      <c r="B4818" s="15"/>
      <c r="C4818" s="19"/>
      <c r="D4818" s="19"/>
      <c r="E4818" s="19"/>
      <c r="F4818" s="19"/>
      <c r="G4818" s="19"/>
      <c r="H4818" s="82"/>
    </row>
    <row r="4819" spans="1:8" s="28" customFormat="1" x14ac:dyDescent="0.25">
      <c r="A4819" s="29"/>
      <c r="B4819" s="15"/>
      <c r="C4819" s="19"/>
      <c r="D4819" s="19"/>
      <c r="E4819" s="19"/>
      <c r="F4819" s="19"/>
      <c r="G4819" s="19"/>
      <c r="H4819" s="82"/>
    </row>
    <row r="4820" spans="1:8" s="28" customFormat="1" x14ac:dyDescent="0.25">
      <c r="A4820" s="29"/>
      <c r="B4820" s="15"/>
      <c r="C4820" s="19"/>
      <c r="D4820" s="19"/>
      <c r="E4820" s="19"/>
      <c r="F4820" s="19"/>
      <c r="G4820" s="19"/>
      <c r="H4820" s="82"/>
    </row>
    <row r="4821" spans="1:8" s="28" customFormat="1" x14ac:dyDescent="0.25">
      <c r="A4821" s="29"/>
      <c r="B4821" s="15"/>
      <c r="C4821" s="19"/>
      <c r="D4821" s="19"/>
      <c r="E4821" s="19"/>
      <c r="F4821" s="19"/>
      <c r="G4821" s="19"/>
      <c r="H4821" s="82"/>
    </row>
    <row r="4822" spans="1:8" s="28" customFormat="1" x14ac:dyDescent="0.25">
      <c r="A4822" s="29"/>
      <c r="B4822" s="15"/>
      <c r="C4822" s="19"/>
      <c r="D4822" s="19"/>
      <c r="E4822" s="19"/>
      <c r="F4822" s="19"/>
      <c r="G4822" s="19"/>
      <c r="H4822" s="82"/>
    </row>
    <row r="4823" spans="1:8" s="28" customFormat="1" x14ac:dyDescent="0.25">
      <c r="A4823" s="29"/>
      <c r="B4823" s="15"/>
      <c r="C4823" s="19"/>
      <c r="D4823" s="19"/>
      <c r="E4823" s="19"/>
      <c r="F4823" s="19"/>
      <c r="G4823" s="19"/>
      <c r="H4823" s="82"/>
    </row>
    <row r="4824" spans="1:8" s="28" customFormat="1" x14ac:dyDescent="0.25">
      <c r="A4824" s="29"/>
      <c r="B4824" s="15"/>
      <c r="C4824" s="19"/>
      <c r="D4824" s="19"/>
      <c r="E4824" s="19"/>
      <c r="F4824" s="19"/>
      <c r="G4824" s="19"/>
      <c r="H4824" s="82"/>
    </row>
    <row r="4825" spans="1:8" s="28" customFormat="1" x14ac:dyDescent="0.25">
      <c r="A4825" s="29"/>
      <c r="B4825" s="15"/>
      <c r="C4825" s="19"/>
      <c r="D4825" s="19"/>
      <c r="E4825" s="19"/>
      <c r="F4825" s="19"/>
      <c r="G4825" s="19"/>
      <c r="H4825" s="82"/>
    </row>
    <row r="4826" spans="1:8" s="28" customFormat="1" x14ac:dyDescent="0.25">
      <c r="A4826" s="29"/>
      <c r="B4826" s="15"/>
      <c r="C4826" s="19"/>
      <c r="D4826" s="19"/>
      <c r="E4826" s="19"/>
      <c r="F4826" s="19"/>
      <c r="G4826" s="19"/>
      <c r="H4826" s="82"/>
    </row>
    <row r="4827" spans="1:8" s="28" customFormat="1" x14ac:dyDescent="0.25">
      <c r="A4827" s="29"/>
      <c r="B4827" s="15"/>
      <c r="C4827" s="19"/>
      <c r="D4827" s="19"/>
      <c r="E4827" s="19"/>
      <c r="F4827" s="19"/>
      <c r="G4827" s="19"/>
      <c r="H4827" s="82"/>
    </row>
    <row r="4828" spans="1:8" s="28" customFormat="1" x14ac:dyDescent="0.25">
      <c r="A4828" s="29"/>
      <c r="B4828" s="15"/>
      <c r="C4828" s="19"/>
      <c r="D4828" s="19"/>
      <c r="E4828" s="19"/>
      <c r="F4828" s="19"/>
      <c r="G4828" s="19"/>
      <c r="H4828" s="82"/>
    </row>
    <row r="4829" spans="1:8" s="28" customFormat="1" x14ac:dyDescent="0.25">
      <c r="A4829" s="29"/>
      <c r="B4829" s="15"/>
      <c r="C4829" s="19"/>
      <c r="D4829" s="19"/>
      <c r="E4829" s="19"/>
      <c r="F4829" s="19"/>
      <c r="G4829" s="19"/>
      <c r="H4829" s="82"/>
    </row>
    <row r="4830" spans="1:8" s="28" customFormat="1" x14ac:dyDescent="0.25">
      <c r="A4830" s="29"/>
      <c r="B4830" s="15"/>
      <c r="C4830" s="19"/>
      <c r="D4830" s="19"/>
      <c r="E4830" s="19"/>
      <c r="F4830" s="19"/>
      <c r="G4830" s="19"/>
      <c r="H4830" s="82"/>
    </row>
    <row r="4831" spans="1:8" s="28" customFormat="1" x14ac:dyDescent="0.25">
      <c r="A4831" s="29"/>
      <c r="B4831" s="15"/>
      <c r="C4831" s="19"/>
      <c r="D4831" s="19"/>
      <c r="E4831" s="19"/>
      <c r="F4831" s="19"/>
      <c r="G4831" s="19"/>
      <c r="H4831" s="82"/>
    </row>
    <row r="4832" spans="1:8" s="28" customFormat="1" x14ac:dyDescent="0.25">
      <c r="A4832" s="29"/>
      <c r="B4832" s="15"/>
      <c r="C4832" s="19"/>
      <c r="D4832" s="19"/>
      <c r="E4832" s="19"/>
      <c r="F4832" s="19"/>
      <c r="G4832" s="19"/>
      <c r="H4832" s="82"/>
    </row>
    <row r="4833" spans="1:8" s="28" customFormat="1" x14ac:dyDescent="0.25">
      <c r="A4833" s="29"/>
      <c r="B4833" s="15"/>
      <c r="C4833" s="19"/>
      <c r="D4833" s="19"/>
      <c r="E4833" s="19"/>
      <c r="F4833" s="19"/>
      <c r="G4833" s="19"/>
      <c r="H4833" s="82"/>
    </row>
    <row r="4834" spans="1:8" s="28" customFormat="1" x14ac:dyDescent="0.25">
      <c r="A4834" s="29"/>
      <c r="B4834" s="15"/>
      <c r="C4834" s="19"/>
      <c r="D4834" s="19"/>
      <c r="E4834" s="19"/>
      <c r="F4834" s="19"/>
      <c r="G4834" s="19"/>
      <c r="H4834" s="82"/>
    </row>
    <row r="4835" spans="1:8" s="28" customFormat="1" x14ac:dyDescent="0.25">
      <c r="A4835" s="29"/>
      <c r="B4835" s="15"/>
      <c r="C4835" s="19"/>
      <c r="D4835" s="19"/>
      <c r="E4835" s="19"/>
      <c r="F4835" s="19"/>
      <c r="G4835" s="19"/>
      <c r="H4835" s="82"/>
    </row>
    <row r="4836" spans="1:8" s="28" customFormat="1" x14ac:dyDescent="0.25">
      <c r="A4836" s="29"/>
      <c r="B4836" s="15"/>
      <c r="C4836" s="19"/>
      <c r="D4836" s="19"/>
      <c r="E4836" s="19"/>
      <c r="F4836" s="19"/>
      <c r="G4836" s="19"/>
      <c r="H4836" s="82"/>
    </row>
    <row r="4837" spans="1:8" s="28" customFormat="1" x14ac:dyDescent="0.25">
      <c r="A4837" s="29"/>
      <c r="B4837" s="15"/>
      <c r="C4837" s="19"/>
      <c r="D4837" s="19"/>
      <c r="E4837" s="19"/>
      <c r="F4837" s="19"/>
      <c r="G4837" s="19"/>
      <c r="H4837" s="82"/>
    </row>
    <row r="4838" spans="1:8" s="28" customFormat="1" x14ac:dyDescent="0.25">
      <c r="A4838" s="29"/>
      <c r="B4838" s="15"/>
      <c r="C4838" s="19"/>
      <c r="D4838" s="19"/>
      <c r="E4838" s="19"/>
      <c r="F4838" s="19"/>
      <c r="G4838" s="19"/>
      <c r="H4838" s="82"/>
    </row>
    <row r="4839" spans="1:8" s="28" customFormat="1" x14ac:dyDescent="0.25">
      <c r="A4839" s="29"/>
      <c r="B4839" s="15"/>
      <c r="C4839" s="19"/>
      <c r="D4839" s="19"/>
      <c r="E4839" s="19"/>
      <c r="F4839" s="19"/>
      <c r="G4839" s="19"/>
      <c r="H4839" s="82"/>
    </row>
    <row r="4840" spans="1:8" s="28" customFormat="1" x14ac:dyDescent="0.25">
      <c r="A4840" s="29"/>
      <c r="B4840" s="15"/>
      <c r="C4840" s="19"/>
      <c r="D4840" s="19"/>
      <c r="E4840" s="19"/>
      <c r="F4840" s="19"/>
      <c r="G4840" s="19"/>
      <c r="H4840" s="82"/>
    </row>
    <row r="4841" spans="1:8" s="28" customFormat="1" x14ac:dyDescent="0.25">
      <c r="A4841" s="29"/>
      <c r="B4841" s="15"/>
      <c r="C4841" s="19"/>
      <c r="D4841" s="19"/>
      <c r="E4841" s="19"/>
      <c r="F4841" s="19"/>
      <c r="G4841" s="19"/>
      <c r="H4841" s="82"/>
    </row>
    <row r="4842" spans="1:8" s="28" customFormat="1" x14ac:dyDescent="0.25">
      <c r="A4842" s="29"/>
      <c r="B4842" s="15"/>
      <c r="C4842" s="19"/>
      <c r="D4842" s="19"/>
      <c r="E4842" s="19"/>
      <c r="F4842" s="19"/>
      <c r="G4842" s="19"/>
      <c r="H4842" s="82"/>
    </row>
    <row r="4843" spans="1:8" s="28" customFormat="1" x14ac:dyDescent="0.25">
      <c r="A4843" s="29"/>
      <c r="B4843" s="15"/>
      <c r="C4843" s="19"/>
      <c r="D4843" s="19"/>
      <c r="E4843" s="19"/>
      <c r="F4843" s="19"/>
      <c r="G4843" s="19"/>
      <c r="H4843" s="82"/>
    </row>
    <row r="4844" spans="1:8" s="28" customFormat="1" x14ac:dyDescent="0.25">
      <c r="A4844" s="29"/>
      <c r="B4844" s="15"/>
      <c r="C4844" s="19"/>
      <c r="D4844" s="19"/>
      <c r="E4844" s="19"/>
      <c r="F4844" s="19"/>
      <c r="G4844" s="19"/>
      <c r="H4844" s="82"/>
    </row>
    <row r="4845" spans="1:8" s="28" customFormat="1" x14ac:dyDescent="0.25">
      <c r="A4845" s="29"/>
      <c r="B4845" s="15"/>
      <c r="C4845" s="19"/>
      <c r="D4845" s="19"/>
      <c r="E4845" s="19"/>
      <c r="F4845" s="19"/>
      <c r="G4845" s="19"/>
      <c r="H4845" s="82"/>
    </row>
    <row r="4846" spans="1:8" s="28" customFormat="1" x14ac:dyDescent="0.25">
      <c r="A4846" s="29"/>
      <c r="B4846" s="15"/>
      <c r="C4846" s="19"/>
      <c r="D4846" s="19"/>
      <c r="E4846" s="19"/>
      <c r="F4846" s="19"/>
      <c r="G4846" s="19"/>
      <c r="H4846" s="82"/>
    </row>
    <row r="4847" spans="1:8" s="28" customFormat="1" x14ac:dyDescent="0.25">
      <c r="A4847" s="29"/>
      <c r="B4847" s="15"/>
      <c r="C4847" s="19"/>
      <c r="D4847" s="19"/>
      <c r="E4847" s="19"/>
      <c r="F4847" s="19"/>
      <c r="G4847" s="19"/>
      <c r="H4847" s="82"/>
    </row>
    <row r="4848" spans="1:8" s="28" customFormat="1" x14ac:dyDescent="0.25">
      <c r="A4848" s="29"/>
      <c r="B4848" s="15"/>
      <c r="C4848" s="19"/>
      <c r="D4848" s="19"/>
      <c r="E4848" s="19"/>
      <c r="F4848" s="19"/>
      <c r="G4848" s="19"/>
      <c r="H4848" s="82"/>
    </row>
    <row r="4849" spans="1:8" s="28" customFormat="1" x14ac:dyDescent="0.25">
      <c r="A4849" s="29"/>
      <c r="B4849" s="15"/>
      <c r="C4849" s="19"/>
      <c r="D4849" s="19"/>
      <c r="E4849" s="19"/>
      <c r="F4849" s="19"/>
      <c r="G4849" s="19"/>
      <c r="H4849" s="82"/>
    </row>
    <row r="4850" spans="1:8" s="28" customFormat="1" x14ac:dyDescent="0.25">
      <c r="A4850" s="29"/>
      <c r="B4850" s="15"/>
      <c r="C4850" s="19"/>
      <c r="D4850" s="19"/>
      <c r="E4850" s="19"/>
      <c r="F4850" s="19"/>
      <c r="G4850" s="19"/>
      <c r="H4850" s="82"/>
    </row>
    <row r="4851" spans="1:8" s="28" customFormat="1" x14ac:dyDescent="0.25">
      <c r="A4851" s="29"/>
      <c r="B4851" s="15"/>
      <c r="C4851" s="19"/>
      <c r="D4851" s="19"/>
      <c r="E4851" s="19"/>
      <c r="F4851" s="19"/>
      <c r="G4851" s="19"/>
      <c r="H4851" s="82"/>
    </row>
    <row r="4852" spans="1:8" s="28" customFormat="1" x14ac:dyDescent="0.25">
      <c r="A4852" s="29"/>
      <c r="B4852" s="15"/>
      <c r="C4852" s="19"/>
      <c r="D4852" s="19"/>
      <c r="E4852" s="19"/>
      <c r="F4852" s="19"/>
      <c r="G4852" s="19"/>
      <c r="H4852" s="82"/>
    </row>
    <row r="4853" spans="1:8" s="28" customFormat="1" x14ac:dyDescent="0.25">
      <c r="A4853" s="29"/>
      <c r="B4853" s="15"/>
      <c r="C4853" s="19"/>
      <c r="D4853" s="19"/>
      <c r="E4853" s="19"/>
      <c r="F4853" s="19"/>
      <c r="G4853" s="19"/>
      <c r="H4853" s="82"/>
    </row>
    <row r="4854" spans="1:8" s="28" customFormat="1" x14ac:dyDescent="0.25">
      <c r="A4854" s="29"/>
      <c r="B4854" s="15"/>
      <c r="C4854" s="19"/>
      <c r="D4854" s="19"/>
      <c r="E4854" s="19"/>
      <c r="F4854" s="19"/>
      <c r="G4854" s="19"/>
      <c r="H4854" s="82"/>
    </row>
    <row r="4855" spans="1:8" s="28" customFormat="1" x14ac:dyDescent="0.25">
      <c r="A4855" s="29"/>
      <c r="B4855" s="15"/>
      <c r="C4855" s="19"/>
      <c r="D4855" s="19"/>
      <c r="E4855" s="19"/>
      <c r="F4855" s="19"/>
      <c r="G4855" s="19"/>
      <c r="H4855" s="82"/>
    </row>
    <row r="4856" spans="1:8" s="28" customFormat="1" x14ac:dyDescent="0.25">
      <c r="A4856" s="29"/>
      <c r="B4856" s="15"/>
      <c r="C4856" s="19"/>
      <c r="D4856" s="19"/>
      <c r="E4856" s="19"/>
      <c r="F4856" s="19"/>
      <c r="G4856" s="19"/>
      <c r="H4856" s="82"/>
    </row>
    <row r="4857" spans="1:8" s="28" customFormat="1" x14ac:dyDescent="0.25">
      <c r="A4857" s="29"/>
      <c r="B4857" s="15"/>
      <c r="C4857" s="19"/>
      <c r="D4857" s="19"/>
      <c r="E4857" s="19"/>
      <c r="F4857" s="19"/>
      <c r="G4857" s="19"/>
      <c r="H4857" s="82"/>
    </row>
    <row r="4858" spans="1:8" s="28" customFormat="1" x14ac:dyDescent="0.25">
      <c r="A4858" s="29"/>
      <c r="B4858" s="15"/>
      <c r="C4858" s="19"/>
      <c r="D4858" s="19"/>
      <c r="E4858" s="19"/>
      <c r="F4858" s="19"/>
      <c r="G4858" s="19"/>
      <c r="H4858" s="82"/>
    </row>
    <row r="4859" spans="1:8" s="28" customFormat="1" x14ac:dyDescent="0.25">
      <c r="A4859" s="29"/>
      <c r="B4859" s="15"/>
      <c r="C4859" s="19"/>
      <c r="D4859" s="19"/>
      <c r="E4859" s="19"/>
      <c r="F4859" s="19"/>
      <c r="G4859" s="19"/>
      <c r="H4859" s="82"/>
    </row>
    <row r="4860" spans="1:8" s="28" customFormat="1" x14ac:dyDescent="0.25">
      <c r="A4860" s="29"/>
      <c r="B4860" s="15"/>
      <c r="C4860" s="19"/>
      <c r="D4860" s="19"/>
      <c r="E4860" s="19"/>
      <c r="F4860" s="19"/>
      <c r="G4860" s="19"/>
      <c r="H4860" s="82"/>
    </row>
    <row r="4861" spans="1:8" s="28" customFormat="1" x14ac:dyDescent="0.25">
      <c r="A4861" s="29"/>
      <c r="B4861" s="15"/>
      <c r="C4861" s="19"/>
      <c r="D4861" s="19"/>
      <c r="E4861" s="19"/>
      <c r="F4861" s="19"/>
      <c r="G4861" s="19"/>
      <c r="H4861" s="82"/>
    </row>
    <row r="4862" spans="1:8" s="28" customFormat="1" x14ac:dyDescent="0.25">
      <c r="A4862" s="29"/>
      <c r="B4862" s="15"/>
      <c r="C4862" s="19"/>
      <c r="D4862" s="19"/>
      <c r="E4862" s="19"/>
      <c r="F4862" s="19"/>
      <c r="G4862" s="19"/>
      <c r="H4862" s="82"/>
    </row>
    <row r="4863" spans="1:8" s="28" customFormat="1" x14ac:dyDescent="0.25">
      <c r="A4863" s="29"/>
      <c r="B4863" s="15"/>
      <c r="C4863" s="19"/>
      <c r="D4863" s="19"/>
      <c r="E4863" s="19"/>
      <c r="F4863" s="19"/>
      <c r="G4863" s="19"/>
      <c r="H4863" s="82"/>
    </row>
    <row r="4864" spans="1:8" s="28" customFormat="1" x14ac:dyDescent="0.25">
      <c r="A4864" s="29"/>
      <c r="B4864" s="15"/>
      <c r="C4864" s="19"/>
      <c r="D4864" s="19"/>
      <c r="E4864" s="19"/>
      <c r="F4864" s="19"/>
      <c r="G4864" s="19"/>
      <c r="H4864" s="82"/>
    </row>
    <row r="4865" spans="1:8" s="28" customFormat="1" x14ac:dyDescent="0.25">
      <c r="A4865" s="29"/>
      <c r="B4865" s="15"/>
      <c r="C4865" s="19"/>
      <c r="D4865" s="19"/>
      <c r="E4865" s="19"/>
      <c r="F4865" s="19"/>
      <c r="G4865" s="19"/>
      <c r="H4865" s="82"/>
    </row>
    <row r="4866" spans="1:8" s="28" customFormat="1" x14ac:dyDescent="0.25">
      <c r="A4866" s="29"/>
      <c r="B4866" s="15"/>
      <c r="C4866" s="19"/>
      <c r="D4866" s="19"/>
      <c r="E4866" s="19"/>
      <c r="F4866" s="19"/>
      <c r="G4866" s="19"/>
      <c r="H4866" s="82"/>
    </row>
    <row r="4867" spans="1:8" s="28" customFormat="1" x14ac:dyDescent="0.25">
      <c r="A4867" s="29"/>
      <c r="B4867" s="15"/>
      <c r="C4867" s="19"/>
      <c r="D4867" s="19"/>
      <c r="E4867" s="19"/>
      <c r="F4867" s="19"/>
      <c r="G4867" s="19"/>
      <c r="H4867" s="82"/>
    </row>
    <row r="4868" spans="1:8" s="28" customFormat="1" x14ac:dyDescent="0.25">
      <c r="A4868" s="29"/>
      <c r="B4868" s="15"/>
      <c r="C4868" s="19"/>
      <c r="D4868" s="19"/>
      <c r="E4868" s="19"/>
      <c r="F4868" s="19"/>
      <c r="G4868" s="19"/>
      <c r="H4868" s="82"/>
    </row>
    <row r="4869" spans="1:8" s="28" customFormat="1" x14ac:dyDescent="0.25">
      <c r="A4869" s="29"/>
      <c r="B4869" s="15"/>
      <c r="C4869" s="19"/>
      <c r="D4869" s="19"/>
      <c r="E4869" s="19"/>
      <c r="F4869" s="19"/>
      <c r="G4869" s="19"/>
      <c r="H4869" s="82"/>
    </row>
    <row r="4870" spans="1:8" s="28" customFormat="1" x14ac:dyDescent="0.25">
      <c r="A4870" s="29"/>
      <c r="B4870" s="15"/>
      <c r="C4870" s="19"/>
      <c r="D4870" s="19"/>
      <c r="E4870" s="19"/>
      <c r="F4870" s="19"/>
      <c r="G4870" s="19"/>
      <c r="H4870" s="82"/>
    </row>
    <row r="4871" spans="1:8" s="28" customFormat="1" x14ac:dyDescent="0.25">
      <c r="A4871" s="29"/>
      <c r="B4871" s="15"/>
      <c r="C4871" s="19"/>
      <c r="D4871" s="19"/>
      <c r="E4871" s="19"/>
      <c r="F4871" s="19"/>
      <c r="G4871" s="19"/>
      <c r="H4871" s="82"/>
    </row>
    <row r="4872" spans="1:8" s="28" customFormat="1" x14ac:dyDescent="0.25">
      <c r="A4872" s="29"/>
      <c r="B4872" s="15"/>
      <c r="C4872" s="19"/>
      <c r="D4872" s="19"/>
      <c r="E4872" s="19"/>
      <c r="F4872" s="19"/>
      <c r="G4872" s="19"/>
      <c r="H4872" s="82"/>
    </row>
    <row r="4873" spans="1:8" s="28" customFormat="1" x14ac:dyDescent="0.25">
      <c r="A4873" s="29"/>
      <c r="B4873" s="15"/>
      <c r="C4873" s="19"/>
      <c r="D4873" s="19"/>
      <c r="E4873" s="19"/>
      <c r="F4873" s="19"/>
      <c r="G4873" s="19"/>
      <c r="H4873" s="82"/>
    </row>
    <row r="4874" spans="1:8" s="28" customFormat="1" x14ac:dyDescent="0.25">
      <c r="A4874" s="29"/>
      <c r="B4874" s="15"/>
      <c r="C4874" s="19"/>
      <c r="D4874" s="19"/>
      <c r="E4874" s="19"/>
      <c r="F4874" s="19"/>
      <c r="G4874" s="19"/>
      <c r="H4874" s="82"/>
    </row>
    <row r="4875" spans="1:8" s="28" customFormat="1" x14ac:dyDescent="0.25">
      <c r="A4875" s="29"/>
      <c r="B4875" s="15"/>
      <c r="C4875" s="19"/>
      <c r="D4875" s="19"/>
      <c r="E4875" s="19"/>
      <c r="F4875" s="19"/>
      <c r="G4875" s="19"/>
      <c r="H4875" s="82"/>
    </row>
    <row r="4876" spans="1:8" s="28" customFormat="1" x14ac:dyDescent="0.25">
      <c r="A4876" s="29"/>
      <c r="B4876" s="15"/>
      <c r="C4876" s="19"/>
      <c r="D4876" s="19"/>
      <c r="E4876" s="19"/>
      <c r="F4876" s="19"/>
      <c r="G4876" s="19"/>
      <c r="H4876" s="82"/>
    </row>
    <row r="4877" spans="1:8" s="28" customFormat="1" x14ac:dyDescent="0.25">
      <c r="A4877" s="29"/>
      <c r="B4877" s="15"/>
      <c r="C4877" s="19"/>
      <c r="D4877" s="19"/>
      <c r="E4877" s="19"/>
      <c r="F4877" s="19"/>
      <c r="G4877" s="19"/>
      <c r="H4877" s="82"/>
    </row>
    <row r="4878" spans="1:8" s="28" customFormat="1" x14ac:dyDescent="0.25">
      <c r="A4878" s="29"/>
      <c r="B4878" s="15"/>
      <c r="C4878" s="19"/>
      <c r="D4878" s="19"/>
      <c r="E4878" s="19"/>
      <c r="F4878" s="19"/>
      <c r="G4878" s="19"/>
      <c r="H4878" s="82"/>
    </row>
    <row r="4879" spans="1:8" s="28" customFormat="1" x14ac:dyDescent="0.25">
      <c r="A4879" s="29"/>
      <c r="B4879" s="15"/>
      <c r="C4879" s="19"/>
      <c r="D4879" s="19"/>
      <c r="E4879" s="19"/>
      <c r="F4879" s="19"/>
      <c r="G4879" s="19"/>
      <c r="H4879" s="82"/>
    </row>
    <row r="4880" spans="1:8" s="28" customFormat="1" x14ac:dyDescent="0.25">
      <c r="A4880" s="29"/>
      <c r="B4880" s="15"/>
      <c r="C4880" s="19"/>
      <c r="D4880" s="19"/>
      <c r="E4880" s="19"/>
      <c r="F4880" s="19"/>
      <c r="G4880" s="19"/>
      <c r="H4880" s="82"/>
    </row>
    <row r="4881" spans="1:8" s="28" customFormat="1" x14ac:dyDescent="0.25">
      <c r="A4881" s="29"/>
      <c r="B4881" s="15"/>
      <c r="C4881" s="19"/>
      <c r="D4881" s="19"/>
      <c r="E4881" s="19"/>
      <c r="F4881" s="19"/>
      <c r="G4881" s="19"/>
      <c r="H4881" s="82"/>
    </row>
    <row r="4882" spans="1:8" s="28" customFormat="1" x14ac:dyDescent="0.25">
      <c r="A4882" s="29"/>
      <c r="B4882" s="15"/>
      <c r="C4882" s="19"/>
      <c r="D4882" s="19"/>
      <c r="E4882" s="19"/>
      <c r="F4882" s="19"/>
      <c r="G4882" s="19"/>
      <c r="H4882" s="82"/>
    </row>
    <row r="4883" spans="1:8" s="28" customFormat="1" x14ac:dyDescent="0.25">
      <c r="A4883" s="29"/>
      <c r="B4883" s="15"/>
      <c r="C4883" s="19"/>
      <c r="D4883" s="19"/>
      <c r="E4883" s="19"/>
      <c r="F4883" s="19"/>
      <c r="G4883" s="19"/>
      <c r="H4883" s="82"/>
    </row>
    <row r="4884" spans="1:8" s="28" customFormat="1" x14ac:dyDescent="0.25">
      <c r="A4884" s="29"/>
      <c r="B4884" s="15"/>
      <c r="C4884" s="19"/>
      <c r="D4884" s="19"/>
      <c r="E4884" s="19"/>
      <c r="F4884" s="19"/>
      <c r="G4884" s="19"/>
      <c r="H4884" s="82"/>
    </row>
    <row r="4885" spans="1:8" s="28" customFormat="1" x14ac:dyDescent="0.25">
      <c r="A4885" s="29"/>
      <c r="B4885" s="15"/>
      <c r="C4885" s="19"/>
      <c r="D4885" s="19"/>
      <c r="E4885" s="19"/>
      <c r="F4885" s="19"/>
      <c r="G4885" s="19"/>
      <c r="H4885" s="82"/>
    </row>
    <row r="4886" spans="1:8" s="28" customFormat="1" x14ac:dyDescent="0.25">
      <c r="A4886" s="29"/>
      <c r="B4886" s="15"/>
      <c r="C4886" s="19"/>
      <c r="D4886" s="19"/>
      <c r="E4886" s="19"/>
      <c r="F4886" s="19"/>
      <c r="G4886" s="19"/>
      <c r="H4886" s="82"/>
    </row>
    <row r="4887" spans="1:8" s="28" customFormat="1" x14ac:dyDescent="0.25">
      <c r="A4887" s="29"/>
      <c r="B4887" s="15"/>
      <c r="C4887" s="19"/>
      <c r="D4887" s="19"/>
      <c r="E4887" s="19"/>
      <c r="F4887" s="19"/>
      <c r="G4887" s="19"/>
      <c r="H4887" s="82"/>
    </row>
    <row r="4888" spans="1:8" s="28" customFormat="1" x14ac:dyDescent="0.25">
      <c r="A4888" s="29"/>
      <c r="B4888" s="15"/>
      <c r="C4888" s="19"/>
      <c r="D4888" s="19"/>
      <c r="E4888" s="19"/>
      <c r="F4888" s="19"/>
      <c r="G4888" s="19"/>
      <c r="H4888" s="82"/>
    </row>
    <row r="4889" spans="1:8" s="28" customFormat="1" x14ac:dyDescent="0.25">
      <c r="A4889" s="29"/>
      <c r="B4889" s="15"/>
      <c r="C4889" s="19"/>
      <c r="D4889" s="19"/>
      <c r="E4889" s="19"/>
      <c r="F4889" s="19"/>
      <c r="G4889" s="19"/>
      <c r="H4889" s="82"/>
    </row>
    <row r="4890" spans="1:8" s="28" customFormat="1" x14ac:dyDescent="0.25">
      <c r="A4890" s="29"/>
      <c r="B4890" s="15"/>
      <c r="C4890" s="19"/>
      <c r="D4890" s="19"/>
      <c r="E4890" s="19"/>
      <c r="F4890" s="19"/>
      <c r="G4890" s="19"/>
      <c r="H4890" s="82"/>
    </row>
    <row r="4891" spans="1:8" s="28" customFormat="1" x14ac:dyDescent="0.25">
      <c r="A4891" s="29"/>
      <c r="B4891" s="15"/>
      <c r="C4891" s="19"/>
      <c r="D4891" s="19"/>
      <c r="E4891" s="19"/>
      <c r="F4891" s="19"/>
      <c r="G4891" s="19"/>
      <c r="H4891" s="82"/>
    </row>
    <row r="4892" spans="1:8" s="28" customFormat="1" x14ac:dyDescent="0.25">
      <c r="A4892" s="29"/>
      <c r="B4892" s="15"/>
      <c r="C4892" s="19"/>
      <c r="D4892" s="19"/>
      <c r="E4892" s="19"/>
      <c r="F4892" s="19"/>
      <c r="G4892" s="19"/>
      <c r="H4892" s="82"/>
    </row>
    <row r="4893" spans="1:8" s="28" customFormat="1" x14ac:dyDescent="0.25">
      <c r="A4893" s="29"/>
      <c r="B4893" s="15"/>
      <c r="C4893" s="19"/>
      <c r="D4893" s="19"/>
      <c r="E4893" s="19"/>
      <c r="F4893" s="19"/>
      <c r="G4893" s="19"/>
      <c r="H4893" s="82"/>
    </row>
    <row r="4894" spans="1:8" s="28" customFormat="1" x14ac:dyDescent="0.25">
      <c r="A4894" s="29"/>
      <c r="B4894" s="15"/>
      <c r="C4894" s="19"/>
      <c r="D4894" s="19"/>
      <c r="E4894" s="19"/>
      <c r="F4894" s="19"/>
      <c r="G4894" s="19"/>
      <c r="H4894" s="82"/>
    </row>
    <row r="4895" spans="1:8" s="28" customFormat="1" x14ac:dyDescent="0.25">
      <c r="A4895" s="29"/>
      <c r="B4895" s="15"/>
      <c r="C4895" s="19"/>
      <c r="D4895" s="19"/>
      <c r="E4895" s="19"/>
      <c r="F4895" s="19"/>
      <c r="G4895" s="19"/>
      <c r="H4895" s="82"/>
    </row>
    <row r="4896" spans="1:8" s="28" customFormat="1" x14ac:dyDescent="0.25">
      <c r="A4896" s="29"/>
      <c r="B4896" s="15"/>
      <c r="C4896" s="19"/>
      <c r="D4896" s="19"/>
      <c r="E4896" s="19"/>
      <c r="F4896" s="19"/>
      <c r="G4896" s="19"/>
      <c r="H4896" s="82"/>
    </row>
    <row r="4897" spans="1:8" s="28" customFormat="1" x14ac:dyDescent="0.25">
      <c r="A4897" s="29"/>
      <c r="B4897" s="15"/>
      <c r="C4897" s="19"/>
      <c r="D4897" s="19"/>
      <c r="E4897" s="19"/>
      <c r="F4897" s="19"/>
      <c r="G4897" s="19"/>
      <c r="H4897" s="82"/>
    </row>
    <row r="4898" spans="1:8" s="28" customFormat="1" x14ac:dyDescent="0.25">
      <c r="A4898" s="29"/>
      <c r="B4898" s="15"/>
      <c r="C4898" s="19"/>
      <c r="D4898" s="19"/>
      <c r="E4898" s="19"/>
      <c r="F4898" s="19"/>
      <c r="G4898" s="19"/>
      <c r="H4898" s="82"/>
    </row>
    <row r="4899" spans="1:8" s="28" customFormat="1" x14ac:dyDescent="0.25">
      <c r="A4899" s="29"/>
      <c r="B4899" s="15"/>
      <c r="C4899" s="19"/>
      <c r="D4899" s="19"/>
      <c r="E4899" s="19"/>
      <c r="F4899" s="19"/>
      <c r="G4899" s="19"/>
      <c r="H4899" s="82"/>
    </row>
    <row r="4900" spans="1:8" s="28" customFormat="1" x14ac:dyDescent="0.25">
      <c r="A4900" s="29"/>
      <c r="B4900" s="15"/>
      <c r="C4900" s="19"/>
      <c r="D4900" s="19"/>
      <c r="E4900" s="19"/>
      <c r="F4900" s="19"/>
      <c r="G4900" s="19"/>
      <c r="H4900" s="82"/>
    </row>
    <row r="4901" spans="1:8" s="28" customFormat="1" x14ac:dyDescent="0.25">
      <c r="A4901" s="29"/>
      <c r="B4901" s="15"/>
      <c r="C4901" s="19"/>
      <c r="D4901" s="19"/>
      <c r="E4901" s="19"/>
      <c r="F4901" s="19"/>
      <c r="G4901" s="19"/>
      <c r="H4901" s="82"/>
    </row>
    <row r="4902" spans="1:8" s="28" customFormat="1" x14ac:dyDescent="0.25">
      <c r="A4902" s="29"/>
      <c r="B4902" s="15"/>
      <c r="C4902" s="19"/>
      <c r="D4902" s="19"/>
      <c r="E4902" s="19"/>
      <c r="F4902" s="19"/>
      <c r="G4902" s="19"/>
      <c r="H4902" s="82"/>
    </row>
    <row r="4903" spans="1:8" s="28" customFormat="1" x14ac:dyDescent="0.25">
      <c r="A4903" s="29"/>
      <c r="B4903" s="15"/>
      <c r="C4903" s="19"/>
      <c r="D4903" s="19"/>
      <c r="E4903" s="19"/>
      <c r="F4903" s="19"/>
      <c r="G4903" s="19"/>
      <c r="H4903" s="82"/>
    </row>
    <row r="4904" spans="1:8" s="28" customFormat="1" x14ac:dyDescent="0.25">
      <c r="A4904" s="29"/>
      <c r="B4904" s="15"/>
      <c r="C4904" s="19"/>
      <c r="D4904" s="19"/>
      <c r="E4904" s="19"/>
      <c r="F4904" s="19"/>
      <c r="G4904" s="19"/>
      <c r="H4904" s="82"/>
    </row>
    <row r="4905" spans="1:8" s="28" customFormat="1" x14ac:dyDescent="0.25">
      <c r="A4905" s="29"/>
      <c r="B4905" s="15"/>
      <c r="C4905" s="19"/>
      <c r="D4905" s="19"/>
      <c r="E4905" s="19"/>
      <c r="F4905" s="19"/>
      <c r="G4905" s="19"/>
      <c r="H4905" s="82"/>
    </row>
    <row r="4906" spans="1:8" s="28" customFormat="1" x14ac:dyDescent="0.25">
      <c r="A4906" s="29"/>
      <c r="B4906" s="15"/>
      <c r="C4906" s="19"/>
      <c r="D4906" s="19"/>
      <c r="E4906" s="19"/>
      <c r="F4906" s="19"/>
      <c r="G4906" s="19"/>
      <c r="H4906" s="82"/>
    </row>
    <row r="4907" spans="1:8" s="28" customFormat="1" x14ac:dyDescent="0.25">
      <c r="A4907" s="29"/>
      <c r="B4907" s="15"/>
      <c r="C4907" s="19"/>
      <c r="D4907" s="19"/>
      <c r="E4907" s="19"/>
      <c r="F4907" s="19"/>
      <c r="G4907" s="19"/>
      <c r="H4907" s="82"/>
    </row>
    <row r="4908" spans="1:8" s="28" customFormat="1" x14ac:dyDescent="0.25">
      <c r="A4908" s="29"/>
      <c r="B4908" s="15"/>
      <c r="C4908" s="19"/>
      <c r="D4908" s="19"/>
      <c r="E4908" s="19"/>
      <c r="F4908" s="19"/>
      <c r="G4908" s="19"/>
      <c r="H4908" s="82"/>
    </row>
    <row r="4909" spans="1:8" s="28" customFormat="1" x14ac:dyDescent="0.25">
      <c r="A4909" s="29"/>
      <c r="B4909" s="15"/>
      <c r="C4909" s="19"/>
      <c r="D4909" s="19"/>
      <c r="E4909" s="19"/>
      <c r="F4909" s="19"/>
      <c r="G4909" s="19"/>
      <c r="H4909" s="82"/>
    </row>
    <row r="4910" spans="1:8" s="28" customFormat="1" x14ac:dyDescent="0.25">
      <c r="A4910" s="29"/>
      <c r="B4910" s="15"/>
      <c r="C4910" s="19"/>
      <c r="D4910" s="19"/>
      <c r="E4910" s="19"/>
      <c r="F4910" s="19"/>
      <c r="G4910" s="19"/>
      <c r="H4910" s="82"/>
    </row>
    <row r="4911" spans="1:8" s="28" customFormat="1" x14ac:dyDescent="0.25">
      <c r="A4911" s="29"/>
      <c r="B4911" s="15"/>
      <c r="C4911" s="19"/>
      <c r="D4911" s="19"/>
      <c r="E4911" s="19"/>
      <c r="F4911" s="19"/>
      <c r="G4911" s="19"/>
      <c r="H4911" s="82"/>
    </row>
    <row r="4912" spans="1:8" s="28" customFormat="1" x14ac:dyDescent="0.25">
      <c r="A4912" s="29"/>
      <c r="B4912" s="15"/>
      <c r="C4912" s="19"/>
      <c r="D4912" s="19"/>
      <c r="E4912" s="19"/>
      <c r="F4912" s="19"/>
      <c r="G4912" s="19"/>
      <c r="H4912" s="82"/>
    </row>
    <row r="4913" spans="1:8" s="28" customFormat="1" x14ac:dyDescent="0.25">
      <c r="A4913" s="29"/>
      <c r="B4913" s="15"/>
      <c r="C4913" s="19"/>
      <c r="D4913" s="19"/>
      <c r="E4913" s="19"/>
      <c r="F4913" s="19"/>
      <c r="G4913" s="19"/>
      <c r="H4913" s="82"/>
    </row>
    <row r="4914" spans="1:8" s="28" customFormat="1" x14ac:dyDescent="0.25">
      <c r="A4914" s="29"/>
      <c r="B4914" s="15"/>
      <c r="C4914" s="19"/>
      <c r="D4914" s="19"/>
      <c r="E4914" s="19"/>
      <c r="F4914" s="19"/>
      <c r="G4914" s="19"/>
      <c r="H4914" s="82"/>
    </row>
    <row r="4915" spans="1:8" s="28" customFormat="1" x14ac:dyDescent="0.25">
      <c r="A4915" s="29"/>
      <c r="B4915" s="15"/>
      <c r="C4915" s="19"/>
      <c r="D4915" s="19"/>
      <c r="E4915" s="19"/>
      <c r="F4915" s="19"/>
      <c r="G4915" s="19"/>
      <c r="H4915" s="82"/>
    </row>
    <row r="4916" spans="1:8" s="28" customFormat="1" x14ac:dyDescent="0.25">
      <c r="A4916" s="29"/>
      <c r="B4916" s="15"/>
      <c r="C4916" s="19"/>
      <c r="D4916" s="19"/>
      <c r="E4916" s="19"/>
      <c r="F4916" s="19"/>
      <c r="G4916" s="19"/>
      <c r="H4916" s="82"/>
    </row>
    <row r="4917" spans="1:8" s="28" customFormat="1" x14ac:dyDescent="0.25">
      <c r="A4917" s="29"/>
      <c r="B4917" s="15"/>
      <c r="C4917" s="19"/>
      <c r="D4917" s="19"/>
      <c r="E4917" s="19"/>
      <c r="F4917" s="19"/>
      <c r="G4917" s="19"/>
      <c r="H4917" s="82"/>
    </row>
    <row r="4918" spans="1:8" s="28" customFormat="1" x14ac:dyDescent="0.25">
      <c r="A4918" s="29"/>
      <c r="B4918" s="15"/>
      <c r="C4918" s="19"/>
      <c r="D4918" s="19"/>
      <c r="E4918" s="19"/>
      <c r="F4918" s="19"/>
      <c r="G4918" s="19"/>
      <c r="H4918" s="82"/>
    </row>
    <row r="4919" spans="1:8" s="28" customFormat="1" x14ac:dyDescent="0.25">
      <c r="A4919" s="29"/>
      <c r="B4919" s="15"/>
      <c r="C4919" s="19"/>
      <c r="D4919" s="19"/>
      <c r="E4919" s="19"/>
      <c r="F4919" s="19"/>
      <c r="G4919" s="19"/>
      <c r="H4919" s="82"/>
    </row>
    <row r="4920" spans="1:8" s="28" customFormat="1" x14ac:dyDescent="0.25">
      <c r="A4920" s="29"/>
      <c r="B4920" s="15"/>
      <c r="C4920" s="19"/>
      <c r="D4920" s="19"/>
      <c r="E4920" s="19"/>
      <c r="F4920" s="19"/>
      <c r="G4920" s="19"/>
      <c r="H4920" s="82"/>
    </row>
    <row r="4921" spans="1:8" s="28" customFormat="1" x14ac:dyDescent="0.25">
      <c r="A4921" s="29"/>
      <c r="B4921" s="15"/>
      <c r="C4921" s="19"/>
      <c r="D4921" s="19"/>
      <c r="E4921" s="19"/>
      <c r="F4921" s="19"/>
      <c r="G4921" s="19"/>
      <c r="H4921" s="82"/>
    </row>
    <row r="4922" spans="1:8" s="28" customFormat="1" x14ac:dyDescent="0.25">
      <c r="A4922" s="29"/>
      <c r="B4922" s="15"/>
      <c r="C4922" s="19"/>
      <c r="D4922" s="19"/>
      <c r="E4922" s="19"/>
      <c r="F4922" s="19"/>
      <c r="G4922" s="19"/>
      <c r="H4922" s="82"/>
    </row>
    <row r="4923" spans="1:8" s="28" customFormat="1" x14ac:dyDescent="0.25">
      <c r="A4923" s="29"/>
      <c r="B4923" s="15"/>
      <c r="C4923" s="19"/>
      <c r="D4923" s="19"/>
      <c r="E4923" s="19"/>
      <c r="F4923" s="19"/>
      <c r="G4923" s="19"/>
      <c r="H4923" s="82"/>
    </row>
    <row r="4924" spans="1:8" s="28" customFormat="1" x14ac:dyDescent="0.25">
      <c r="A4924" s="29"/>
      <c r="B4924" s="15"/>
      <c r="C4924" s="19"/>
      <c r="D4924" s="19"/>
      <c r="E4924" s="19"/>
      <c r="F4924" s="19"/>
      <c r="G4924" s="19"/>
      <c r="H4924" s="82"/>
    </row>
    <row r="4925" spans="1:8" s="28" customFormat="1" x14ac:dyDescent="0.25">
      <c r="A4925" s="29"/>
      <c r="B4925" s="15"/>
      <c r="C4925" s="19"/>
      <c r="D4925" s="19"/>
      <c r="E4925" s="19"/>
      <c r="F4925" s="19"/>
      <c r="G4925" s="19"/>
      <c r="H4925" s="82"/>
    </row>
    <row r="4926" spans="1:8" s="28" customFormat="1" x14ac:dyDescent="0.25">
      <c r="A4926" s="29"/>
      <c r="B4926" s="15"/>
      <c r="C4926" s="19"/>
      <c r="D4926" s="19"/>
      <c r="E4926" s="19"/>
      <c r="F4926" s="19"/>
      <c r="G4926" s="19"/>
      <c r="H4926" s="82"/>
    </row>
    <row r="4927" spans="1:8" s="28" customFormat="1" x14ac:dyDescent="0.25">
      <c r="A4927" s="29"/>
      <c r="B4927" s="15"/>
      <c r="C4927" s="19"/>
      <c r="D4927" s="19"/>
      <c r="E4927" s="19"/>
      <c r="F4927" s="19"/>
      <c r="G4927" s="19"/>
      <c r="H4927" s="82"/>
    </row>
    <row r="4928" spans="1:8" s="28" customFormat="1" x14ac:dyDescent="0.25">
      <c r="A4928" s="29"/>
      <c r="B4928" s="15"/>
      <c r="C4928" s="19"/>
      <c r="D4928" s="19"/>
      <c r="E4928" s="19"/>
      <c r="F4928" s="19"/>
      <c r="G4928" s="19"/>
      <c r="H4928" s="82"/>
    </row>
    <row r="4929" spans="1:8" s="28" customFormat="1" x14ac:dyDescent="0.25">
      <c r="A4929" s="29"/>
      <c r="B4929" s="15"/>
      <c r="C4929" s="19"/>
      <c r="D4929" s="19"/>
      <c r="E4929" s="19"/>
      <c r="F4929" s="19"/>
      <c r="G4929" s="19"/>
      <c r="H4929" s="82"/>
    </row>
    <row r="4930" spans="1:8" s="28" customFormat="1" x14ac:dyDescent="0.25">
      <c r="A4930" s="29"/>
      <c r="B4930" s="15"/>
      <c r="C4930" s="19"/>
      <c r="D4930" s="19"/>
      <c r="E4930" s="19"/>
      <c r="F4930" s="19"/>
      <c r="G4930" s="19"/>
      <c r="H4930" s="82"/>
    </row>
    <row r="4931" spans="1:8" s="28" customFormat="1" x14ac:dyDescent="0.25">
      <c r="A4931" s="29"/>
      <c r="B4931" s="15"/>
      <c r="C4931" s="19"/>
      <c r="D4931" s="19"/>
      <c r="E4931" s="19"/>
      <c r="F4931" s="19"/>
      <c r="G4931" s="19"/>
      <c r="H4931" s="82"/>
    </row>
    <row r="4932" spans="1:8" s="28" customFormat="1" x14ac:dyDescent="0.25">
      <c r="A4932" s="29"/>
      <c r="B4932" s="15"/>
      <c r="C4932" s="19"/>
      <c r="D4932" s="19"/>
      <c r="E4932" s="19"/>
      <c r="F4932" s="19"/>
      <c r="G4932" s="19"/>
      <c r="H4932" s="82"/>
    </row>
    <row r="4933" spans="1:8" s="28" customFormat="1" x14ac:dyDescent="0.25">
      <c r="A4933" s="29"/>
      <c r="B4933" s="15"/>
      <c r="C4933" s="19"/>
      <c r="D4933" s="19"/>
      <c r="E4933" s="19"/>
      <c r="F4933" s="19"/>
      <c r="G4933" s="19"/>
      <c r="H4933" s="82"/>
    </row>
    <row r="4934" spans="1:8" s="28" customFormat="1" x14ac:dyDescent="0.25">
      <c r="A4934" s="29"/>
      <c r="B4934" s="15"/>
      <c r="C4934" s="19"/>
      <c r="D4934" s="19"/>
      <c r="E4934" s="19"/>
      <c r="F4934" s="19"/>
      <c r="G4934" s="19"/>
      <c r="H4934" s="82"/>
    </row>
    <row r="4935" spans="1:8" s="28" customFormat="1" x14ac:dyDescent="0.25">
      <c r="A4935" s="29"/>
      <c r="B4935" s="15"/>
      <c r="C4935" s="19"/>
      <c r="D4935" s="19"/>
      <c r="E4935" s="19"/>
      <c r="F4935" s="19"/>
      <c r="G4935" s="19"/>
      <c r="H4935" s="82"/>
    </row>
    <row r="4936" spans="1:8" s="28" customFormat="1" x14ac:dyDescent="0.25">
      <c r="A4936" s="29"/>
      <c r="B4936" s="15"/>
      <c r="C4936" s="19"/>
      <c r="D4936" s="19"/>
      <c r="E4936" s="19"/>
      <c r="F4936" s="19"/>
      <c r="G4936" s="19"/>
      <c r="H4936" s="82"/>
    </row>
    <row r="4937" spans="1:8" s="28" customFormat="1" x14ac:dyDescent="0.25">
      <c r="A4937" s="29"/>
      <c r="B4937" s="15"/>
      <c r="C4937" s="19"/>
      <c r="D4937" s="19"/>
      <c r="E4937" s="19"/>
      <c r="F4937" s="19"/>
      <c r="G4937" s="19"/>
      <c r="H4937" s="82"/>
    </row>
    <row r="4938" spans="1:8" s="28" customFormat="1" x14ac:dyDescent="0.25">
      <c r="A4938" s="29"/>
      <c r="B4938" s="15"/>
      <c r="C4938" s="19"/>
      <c r="D4938" s="19"/>
      <c r="E4938" s="19"/>
      <c r="F4938" s="19"/>
      <c r="G4938" s="19"/>
      <c r="H4938" s="82"/>
    </row>
    <row r="4939" spans="1:8" s="28" customFormat="1" x14ac:dyDescent="0.25">
      <c r="A4939" s="29"/>
      <c r="B4939" s="15"/>
      <c r="C4939" s="19"/>
      <c r="D4939" s="19"/>
      <c r="E4939" s="19"/>
      <c r="F4939" s="19"/>
      <c r="G4939" s="19"/>
      <c r="H4939" s="82"/>
    </row>
    <row r="4940" spans="1:8" s="28" customFormat="1" x14ac:dyDescent="0.25">
      <c r="A4940" s="29"/>
      <c r="B4940" s="15"/>
      <c r="C4940" s="19"/>
      <c r="D4940" s="19"/>
      <c r="E4940" s="19"/>
      <c r="F4940" s="19"/>
      <c r="G4940" s="19"/>
      <c r="H4940" s="82"/>
    </row>
    <row r="4941" spans="1:8" s="28" customFormat="1" x14ac:dyDescent="0.25">
      <c r="A4941" s="29"/>
      <c r="B4941" s="15"/>
      <c r="C4941" s="19"/>
      <c r="D4941" s="19"/>
      <c r="E4941" s="19"/>
      <c r="F4941" s="19"/>
      <c r="G4941" s="19"/>
      <c r="H4941" s="82"/>
    </row>
    <row r="4942" spans="1:8" s="28" customFormat="1" x14ac:dyDescent="0.25">
      <c r="A4942" s="29"/>
      <c r="B4942" s="15"/>
      <c r="C4942" s="19"/>
      <c r="D4942" s="19"/>
      <c r="E4942" s="19"/>
      <c r="F4942" s="19"/>
      <c r="G4942" s="19"/>
      <c r="H4942" s="82"/>
    </row>
    <row r="4943" spans="1:8" s="28" customFormat="1" x14ac:dyDescent="0.25">
      <c r="A4943" s="29"/>
      <c r="B4943" s="15"/>
      <c r="C4943" s="19"/>
      <c r="D4943" s="19"/>
      <c r="E4943" s="19"/>
      <c r="F4943" s="19"/>
      <c r="G4943" s="19"/>
      <c r="H4943" s="82"/>
    </row>
    <row r="4944" spans="1:8" s="28" customFormat="1" x14ac:dyDescent="0.25">
      <c r="A4944" s="29"/>
      <c r="B4944" s="15"/>
      <c r="C4944" s="19"/>
      <c r="D4944" s="19"/>
      <c r="E4944" s="19"/>
      <c r="F4944" s="19"/>
      <c r="G4944" s="19"/>
      <c r="H4944" s="82"/>
    </row>
    <row r="4945" spans="1:8" s="28" customFormat="1" x14ac:dyDescent="0.25">
      <c r="A4945" s="29"/>
      <c r="B4945" s="15"/>
      <c r="C4945" s="19"/>
      <c r="D4945" s="19"/>
      <c r="E4945" s="19"/>
      <c r="F4945" s="19"/>
      <c r="G4945" s="19"/>
      <c r="H4945" s="82"/>
    </row>
    <row r="4946" spans="1:8" s="28" customFormat="1" x14ac:dyDescent="0.25">
      <c r="A4946" s="29"/>
      <c r="B4946" s="15"/>
      <c r="C4946" s="19"/>
      <c r="D4946" s="19"/>
      <c r="E4946" s="19"/>
      <c r="F4946" s="19"/>
      <c r="G4946" s="19"/>
      <c r="H4946" s="82"/>
    </row>
    <row r="4947" spans="1:8" s="28" customFormat="1" x14ac:dyDescent="0.25">
      <c r="A4947" s="29"/>
      <c r="B4947" s="15"/>
      <c r="C4947" s="19"/>
      <c r="D4947" s="19"/>
      <c r="E4947" s="19"/>
      <c r="F4947" s="19"/>
      <c r="G4947" s="19"/>
      <c r="H4947" s="82"/>
    </row>
    <row r="4948" spans="1:8" s="28" customFormat="1" x14ac:dyDescent="0.25">
      <c r="A4948" s="29"/>
      <c r="B4948" s="15"/>
      <c r="C4948" s="19"/>
      <c r="D4948" s="19"/>
      <c r="E4948" s="19"/>
      <c r="F4948" s="19"/>
      <c r="G4948" s="19"/>
      <c r="H4948" s="82"/>
    </row>
    <row r="4949" spans="1:8" s="28" customFormat="1" x14ac:dyDescent="0.25">
      <c r="A4949" s="29"/>
      <c r="B4949" s="15"/>
      <c r="C4949" s="19"/>
      <c r="D4949" s="19"/>
      <c r="E4949" s="19"/>
      <c r="F4949" s="19"/>
      <c r="G4949" s="19"/>
      <c r="H4949" s="82"/>
    </row>
    <row r="4950" spans="1:8" s="28" customFormat="1" x14ac:dyDescent="0.25">
      <c r="A4950" s="29"/>
      <c r="B4950" s="15"/>
      <c r="C4950" s="19"/>
      <c r="D4950" s="19"/>
      <c r="E4950" s="19"/>
      <c r="F4950" s="19"/>
      <c r="G4950" s="19"/>
      <c r="H4950" s="82"/>
    </row>
    <row r="4951" spans="1:8" s="28" customFormat="1" x14ac:dyDescent="0.25">
      <c r="A4951" s="29"/>
      <c r="B4951" s="15"/>
      <c r="C4951" s="19"/>
      <c r="D4951" s="19"/>
      <c r="E4951" s="19"/>
      <c r="F4951" s="19"/>
      <c r="G4951" s="19"/>
      <c r="H4951" s="82"/>
    </row>
    <row r="4952" spans="1:8" s="28" customFormat="1" x14ac:dyDescent="0.25">
      <c r="A4952" s="29"/>
      <c r="B4952" s="15"/>
      <c r="C4952" s="19"/>
      <c r="D4952" s="19"/>
      <c r="E4952" s="19"/>
      <c r="F4952" s="19"/>
      <c r="G4952" s="19"/>
      <c r="H4952" s="82"/>
    </row>
    <row r="4953" spans="1:8" s="28" customFormat="1" x14ac:dyDescent="0.25">
      <c r="A4953" s="29"/>
      <c r="B4953" s="15"/>
      <c r="C4953" s="19"/>
      <c r="D4953" s="19"/>
      <c r="E4953" s="19"/>
      <c r="F4953" s="19"/>
      <c r="G4953" s="19"/>
      <c r="H4953" s="82"/>
    </row>
    <row r="4954" spans="1:8" s="28" customFormat="1" x14ac:dyDescent="0.25">
      <c r="A4954" s="29"/>
      <c r="B4954" s="15"/>
      <c r="C4954" s="19"/>
      <c r="D4954" s="19"/>
      <c r="E4954" s="19"/>
      <c r="F4954" s="19"/>
      <c r="G4954" s="19"/>
      <c r="H4954" s="82"/>
    </row>
    <row r="4955" spans="1:8" s="28" customFormat="1" x14ac:dyDescent="0.25">
      <c r="A4955" s="29"/>
      <c r="B4955" s="15"/>
      <c r="C4955" s="19"/>
      <c r="D4955" s="19"/>
      <c r="E4955" s="19"/>
      <c r="F4955" s="19"/>
      <c r="G4955" s="19"/>
      <c r="H4955" s="82"/>
    </row>
    <row r="4956" spans="1:8" s="28" customFormat="1" x14ac:dyDescent="0.25">
      <c r="A4956" s="29"/>
      <c r="B4956" s="15"/>
      <c r="C4956" s="19"/>
      <c r="D4956" s="19"/>
      <c r="E4956" s="19"/>
      <c r="F4956" s="19"/>
      <c r="G4956" s="19"/>
      <c r="H4956" s="82"/>
    </row>
    <row r="4957" spans="1:8" s="28" customFormat="1" x14ac:dyDescent="0.25">
      <c r="A4957" s="29"/>
      <c r="B4957" s="15"/>
      <c r="C4957" s="19"/>
      <c r="D4957" s="19"/>
      <c r="E4957" s="19"/>
      <c r="F4957" s="19"/>
      <c r="G4957" s="19"/>
      <c r="H4957" s="82"/>
    </row>
    <row r="4958" spans="1:8" s="28" customFormat="1" x14ac:dyDescent="0.25">
      <c r="A4958" s="29"/>
      <c r="B4958" s="15"/>
      <c r="C4958" s="19"/>
      <c r="D4958" s="19"/>
      <c r="E4958" s="19"/>
      <c r="F4958" s="19"/>
      <c r="G4958" s="19"/>
      <c r="H4958" s="82"/>
    </row>
    <row r="4959" spans="1:8" s="28" customFormat="1" x14ac:dyDescent="0.25">
      <c r="A4959" s="29"/>
      <c r="B4959" s="15"/>
      <c r="C4959" s="19"/>
      <c r="D4959" s="19"/>
      <c r="E4959" s="19"/>
      <c r="F4959" s="19"/>
      <c r="G4959" s="19"/>
      <c r="H4959" s="82"/>
    </row>
    <row r="4960" spans="1:8" s="28" customFormat="1" x14ac:dyDescent="0.25">
      <c r="A4960" s="29"/>
      <c r="B4960" s="15"/>
      <c r="C4960" s="19"/>
      <c r="D4960" s="19"/>
      <c r="E4960" s="19"/>
      <c r="F4960" s="19"/>
      <c r="G4960" s="19"/>
      <c r="H4960" s="82"/>
    </row>
    <row r="4961" spans="1:8" s="28" customFormat="1" x14ac:dyDescent="0.25">
      <c r="A4961" s="29"/>
      <c r="B4961" s="15"/>
      <c r="C4961" s="19"/>
      <c r="D4961" s="19"/>
      <c r="E4961" s="19"/>
      <c r="F4961" s="19"/>
      <c r="G4961" s="19"/>
      <c r="H4961" s="82"/>
    </row>
    <row r="4962" spans="1:8" s="28" customFormat="1" x14ac:dyDescent="0.25">
      <c r="A4962" s="29"/>
      <c r="B4962" s="15"/>
      <c r="C4962" s="19"/>
      <c r="D4962" s="19"/>
      <c r="E4962" s="19"/>
      <c r="F4962" s="19"/>
      <c r="G4962" s="19"/>
      <c r="H4962" s="82"/>
    </row>
    <row r="4963" spans="1:8" s="28" customFormat="1" x14ac:dyDescent="0.25">
      <c r="A4963" s="29"/>
      <c r="B4963" s="15"/>
      <c r="C4963" s="19"/>
      <c r="D4963" s="19"/>
      <c r="E4963" s="19"/>
      <c r="F4963" s="19"/>
      <c r="G4963" s="19"/>
      <c r="H4963" s="82"/>
    </row>
    <row r="4964" spans="1:8" s="28" customFormat="1" x14ac:dyDescent="0.25">
      <c r="A4964" s="29"/>
      <c r="B4964" s="15"/>
      <c r="C4964" s="19"/>
      <c r="D4964" s="19"/>
      <c r="E4964" s="19"/>
      <c r="F4964" s="19"/>
      <c r="G4964" s="19"/>
      <c r="H4964" s="82"/>
    </row>
    <row r="4965" spans="1:8" s="28" customFormat="1" x14ac:dyDescent="0.25">
      <c r="A4965" s="29"/>
      <c r="B4965" s="15"/>
      <c r="C4965" s="19"/>
      <c r="D4965" s="19"/>
      <c r="E4965" s="19"/>
      <c r="F4965" s="19"/>
      <c r="G4965" s="19"/>
      <c r="H4965" s="82"/>
    </row>
    <row r="4966" spans="1:8" s="28" customFormat="1" x14ac:dyDescent="0.25">
      <c r="A4966" s="29"/>
      <c r="B4966" s="15"/>
      <c r="C4966" s="19"/>
      <c r="D4966" s="19"/>
      <c r="E4966" s="19"/>
      <c r="F4966" s="19"/>
      <c r="G4966" s="19"/>
      <c r="H4966" s="82"/>
    </row>
    <row r="4967" spans="1:8" s="28" customFormat="1" x14ac:dyDescent="0.25">
      <c r="A4967" s="29"/>
      <c r="B4967" s="15"/>
      <c r="C4967" s="19"/>
      <c r="D4967" s="19"/>
      <c r="E4967" s="19"/>
      <c r="F4967" s="19"/>
      <c r="G4967" s="19"/>
      <c r="H4967" s="82"/>
    </row>
    <row r="4968" spans="1:8" s="28" customFormat="1" x14ac:dyDescent="0.25">
      <c r="A4968" s="29"/>
      <c r="B4968" s="15"/>
      <c r="C4968" s="19"/>
      <c r="D4968" s="19"/>
      <c r="E4968" s="19"/>
      <c r="F4968" s="19"/>
      <c r="G4968" s="19"/>
      <c r="H4968" s="82"/>
    </row>
    <row r="4969" spans="1:8" s="28" customFormat="1" x14ac:dyDescent="0.25">
      <c r="A4969" s="29"/>
      <c r="B4969" s="15"/>
      <c r="C4969" s="19"/>
      <c r="D4969" s="19"/>
      <c r="E4969" s="19"/>
      <c r="F4969" s="19"/>
      <c r="G4969" s="19"/>
      <c r="H4969" s="82"/>
    </row>
    <row r="4970" spans="1:8" s="28" customFormat="1" x14ac:dyDescent="0.25">
      <c r="A4970" s="29"/>
      <c r="B4970" s="15"/>
      <c r="C4970" s="19"/>
      <c r="D4970" s="19"/>
      <c r="E4970" s="19"/>
      <c r="F4970" s="19"/>
      <c r="G4970" s="19"/>
      <c r="H4970" s="82"/>
    </row>
    <row r="4971" spans="1:8" s="28" customFormat="1" x14ac:dyDescent="0.25">
      <c r="A4971" s="29"/>
      <c r="B4971" s="15"/>
      <c r="C4971" s="19"/>
      <c r="D4971" s="19"/>
      <c r="E4971" s="19"/>
      <c r="F4971" s="19"/>
      <c r="G4971" s="19"/>
      <c r="H4971" s="82"/>
    </row>
    <row r="4972" spans="1:8" s="28" customFormat="1" x14ac:dyDescent="0.25">
      <c r="A4972" s="29"/>
      <c r="B4972" s="15"/>
      <c r="C4972" s="19"/>
      <c r="D4972" s="19"/>
      <c r="E4972" s="19"/>
      <c r="F4972" s="19"/>
      <c r="G4972" s="19"/>
      <c r="H4972" s="82"/>
    </row>
    <row r="4973" spans="1:8" s="28" customFormat="1" x14ac:dyDescent="0.25">
      <c r="A4973" s="29"/>
      <c r="B4973" s="15"/>
      <c r="C4973" s="19"/>
      <c r="D4973" s="19"/>
      <c r="E4973" s="19"/>
      <c r="F4973" s="19"/>
      <c r="G4973" s="19"/>
      <c r="H4973" s="82"/>
    </row>
    <row r="4974" spans="1:8" s="28" customFormat="1" x14ac:dyDescent="0.25">
      <c r="A4974" s="29"/>
      <c r="B4974" s="15"/>
      <c r="C4974" s="19"/>
      <c r="D4974" s="19"/>
      <c r="E4974" s="19"/>
      <c r="F4974" s="19"/>
      <c r="G4974" s="19"/>
      <c r="H4974" s="82"/>
    </row>
    <row r="4975" spans="1:8" s="28" customFormat="1" x14ac:dyDescent="0.25">
      <c r="A4975" s="29"/>
      <c r="B4975" s="15"/>
      <c r="C4975" s="19"/>
      <c r="D4975" s="19"/>
      <c r="E4975" s="19"/>
      <c r="F4975" s="19"/>
      <c r="G4975" s="19"/>
      <c r="H4975" s="82"/>
    </row>
    <row r="4976" spans="1:8" s="28" customFormat="1" x14ac:dyDescent="0.25">
      <c r="A4976" s="29"/>
      <c r="B4976" s="15"/>
      <c r="C4976" s="19"/>
      <c r="D4976" s="19"/>
      <c r="E4976" s="19"/>
      <c r="F4976" s="19"/>
      <c r="G4976" s="19"/>
      <c r="H4976" s="82"/>
    </row>
    <row r="4977" spans="1:8" s="28" customFormat="1" x14ac:dyDescent="0.25">
      <c r="A4977" s="29"/>
      <c r="B4977" s="15"/>
      <c r="C4977" s="19"/>
      <c r="D4977" s="19"/>
      <c r="E4977" s="19"/>
      <c r="F4977" s="19"/>
      <c r="G4977" s="19"/>
      <c r="H4977" s="82"/>
    </row>
    <row r="4978" spans="1:8" s="28" customFormat="1" x14ac:dyDescent="0.25">
      <c r="A4978" s="29"/>
      <c r="B4978" s="15"/>
      <c r="C4978" s="19"/>
      <c r="D4978" s="19"/>
      <c r="E4978" s="19"/>
      <c r="F4978" s="19"/>
      <c r="G4978" s="19"/>
      <c r="H4978" s="82"/>
    </row>
    <row r="4979" spans="1:8" s="28" customFormat="1" x14ac:dyDescent="0.25">
      <c r="A4979" s="29"/>
      <c r="B4979" s="15"/>
      <c r="C4979" s="19"/>
      <c r="D4979" s="19"/>
      <c r="E4979" s="19"/>
      <c r="F4979" s="19"/>
      <c r="G4979" s="19"/>
      <c r="H4979" s="82"/>
    </row>
    <row r="4980" spans="1:8" s="28" customFormat="1" x14ac:dyDescent="0.25">
      <c r="A4980" s="29"/>
      <c r="B4980" s="15"/>
      <c r="C4980" s="19"/>
      <c r="D4980" s="19"/>
      <c r="E4980" s="19"/>
      <c r="F4980" s="19"/>
      <c r="G4980" s="19"/>
      <c r="H4980" s="82"/>
    </row>
    <row r="4981" spans="1:8" s="28" customFormat="1" x14ac:dyDescent="0.25">
      <c r="A4981" s="29"/>
      <c r="B4981" s="15"/>
      <c r="C4981" s="19"/>
      <c r="D4981" s="19"/>
      <c r="E4981" s="19"/>
      <c r="F4981" s="19"/>
      <c r="G4981" s="19"/>
      <c r="H4981" s="82"/>
    </row>
    <row r="4982" spans="1:8" s="28" customFormat="1" x14ac:dyDescent="0.25">
      <c r="A4982" s="29"/>
      <c r="B4982" s="15"/>
      <c r="C4982" s="19"/>
      <c r="D4982" s="19"/>
      <c r="E4982" s="19"/>
      <c r="F4982" s="19"/>
      <c r="G4982" s="19"/>
      <c r="H4982" s="82"/>
    </row>
    <row r="4983" spans="1:8" s="28" customFormat="1" x14ac:dyDescent="0.25">
      <c r="A4983" s="29"/>
      <c r="B4983" s="15"/>
      <c r="C4983" s="19"/>
      <c r="D4983" s="19"/>
      <c r="E4983" s="19"/>
      <c r="F4983" s="19"/>
      <c r="G4983" s="19"/>
      <c r="H4983" s="82"/>
    </row>
    <row r="4984" spans="1:8" s="28" customFormat="1" x14ac:dyDescent="0.25">
      <c r="A4984" s="29"/>
      <c r="B4984" s="15"/>
      <c r="C4984" s="19"/>
      <c r="D4984" s="19"/>
      <c r="E4984" s="19"/>
      <c r="F4984" s="19"/>
      <c r="G4984" s="19"/>
      <c r="H4984" s="82"/>
    </row>
    <row r="4985" spans="1:8" s="28" customFormat="1" x14ac:dyDescent="0.25">
      <c r="A4985" s="29"/>
      <c r="B4985" s="15"/>
      <c r="C4985" s="19"/>
      <c r="D4985" s="19"/>
      <c r="E4985" s="19"/>
      <c r="F4985" s="19"/>
      <c r="G4985" s="19"/>
      <c r="H4985" s="82"/>
    </row>
    <row r="4986" spans="1:8" s="28" customFormat="1" x14ac:dyDescent="0.25">
      <c r="A4986" s="29"/>
      <c r="B4986" s="15"/>
      <c r="C4986" s="19"/>
      <c r="D4986" s="19"/>
      <c r="E4986" s="19"/>
      <c r="F4986" s="19"/>
      <c r="G4986" s="19"/>
      <c r="H4986" s="82"/>
    </row>
    <row r="4987" spans="1:8" s="28" customFormat="1" x14ac:dyDescent="0.25">
      <c r="A4987" s="29"/>
      <c r="B4987" s="15"/>
      <c r="C4987" s="19"/>
      <c r="D4987" s="19"/>
      <c r="E4987" s="19"/>
      <c r="F4987" s="19"/>
      <c r="G4987" s="19"/>
      <c r="H4987" s="82"/>
    </row>
    <row r="4988" spans="1:8" s="28" customFormat="1" x14ac:dyDescent="0.25">
      <c r="A4988" s="29"/>
      <c r="B4988" s="15"/>
      <c r="C4988" s="19"/>
      <c r="D4988" s="19"/>
      <c r="E4988" s="19"/>
      <c r="F4988" s="19"/>
      <c r="G4988" s="19"/>
      <c r="H4988" s="82"/>
    </row>
    <row r="4989" spans="1:8" s="28" customFormat="1" x14ac:dyDescent="0.25">
      <c r="A4989" s="29"/>
      <c r="B4989" s="15"/>
      <c r="C4989" s="19"/>
      <c r="D4989" s="19"/>
      <c r="E4989" s="19"/>
      <c r="F4989" s="19"/>
      <c r="G4989" s="19"/>
      <c r="H4989" s="82"/>
    </row>
    <row r="4990" spans="1:8" s="28" customFormat="1" x14ac:dyDescent="0.25">
      <c r="A4990" s="29"/>
      <c r="B4990" s="15"/>
      <c r="C4990" s="19"/>
      <c r="D4990" s="19"/>
      <c r="E4990" s="19"/>
      <c r="F4990" s="19"/>
      <c r="G4990" s="19"/>
      <c r="H4990" s="82"/>
    </row>
    <row r="4991" spans="1:8" s="28" customFormat="1" x14ac:dyDescent="0.25">
      <c r="A4991" s="29"/>
      <c r="B4991" s="15"/>
      <c r="C4991" s="19"/>
      <c r="D4991" s="19"/>
      <c r="E4991" s="19"/>
      <c r="F4991" s="19"/>
      <c r="G4991" s="19"/>
      <c r="H4991" s="82"/>
    </row>
    <row r="4992" spans="1:8" s="28" customFormat="1" x14ac:dyDescent="0.25">
      <c r="A4992" s="29"/>
      <c r="B4992" s="15"/>
      <c r="C4992" s="19"/>
      <c r="D4992" s="19"/>
      <c r="E4992" s="19"/>
      <c r="F4992" s="19"/>
      <c r="G4992" s="19"/>
      <c r="H4992" s="82"/>
    </row>
    <row r="4993" spans="1:8" s="28" customFormat="1" x14ac:dyDescent="0.25">
      <c r="A4993" s="29"/>
      <c r="B4993" s="15"/>
      <c r="C4993" s="19"/>
      <c r="D4993" s="19"/>
      <c r="E4993" s="19"/>
      <c r="F4993" s="19"/>
      <c r="G4993" s="19"/>
      <c r="H4993" s="82"/>
    </row>
    <row r="4994" spans="1:8" s="28" customFormat="1" x14ac:dyDescent="0.25">
      <c r="A4994" s="29"/>
      <c r="B4994" s="15"/>
      <c r="C4994" s="19"/>
      <c r="D4994" s="19"/>
      <c r="E4994" s="19"/>
      <c r="F4994" s="19"/>
      <c r="G4994" s="19"/>
      <c r="H4994" s="82"/>
    </row>
    <row r="4995" spans="1:8" s="28" customFormat="1" x14ac:dyDescent="0.25">
      <c r="A4995" s="29"/>
      <c r="B4995" s="15"/>
      <c r="C4995" s="19"/>
      <c r="D4995" s="19"/>
      <c r="E4995" s="19"/>
      <c r="F4995" s="19"/>
      <c r="G4995" s="19"/>
      <c r="H4995" s="82"/>
    </row>
    <row r="4996" spans="1:8" s="28" customFormat="1" x14ac:dyDescent="0.25">
      <c r="A4996" s="29"/>
      <c r="B4996" s="15"/>
      <c r="C4996" s="19"/>
      <c r="D4996" s="19"/>
      <c r="E4996" s="19"/>
      <c r="F4996" s="19"/>
      <c r="G4996" s="19"/>
      <c r="H4996" s="82"/>
    </row>
    <row r="4997" spans="1:8" s="28" customFormat="1" x14ac:dyDescent="0.25">
      <c r="A4997" s="29"/>
      <c r="B4997" s="15"/>
      <c r="C4997" s="19"/>
      <c r="D4997" s="19"/>
      <c r="E4997" s="19"/>
      <c r="F4997" s="19"/>
      <c r="G4997" s="19"/>
      <c r="H4997" s="82"/>
    </row>
    <row r="4998" spans="1:8" s="28" customFormat="1" x14ac:dyDescent="0.25">
      <c r="A4998" s="29"/>
      <c r="B4998" s="15"/>
      <c r="C4998" s="19"/>
      <c r="D4998" s="19"/>
      <c r="E4998" s="19"/>
      <c r="F4998" s="19"/>
      <c r="G4998" s="19"/>
      <c r="H4998" s="82"/>
    </row>
    <row r="4999" spans="1:8" s="28" customFormat="1" x14ac:dyDescent="0.25">
      <c r="A4999" s="29"/>
      <c r="B4999" s="15"/>
      <c r="C4999" s="19"/>
      <c r="D4999" s="19"/>
      <c r="E4999" s="19"/>
      <c r="F4999" s="19"/>
      <c r="G4999" s="19"/>
      <c r="H4999" s="82"/>
    </row>
    <row r="5000" spans="1:8" s="28" customFormat="1" x14ac:dyDescent="0.25">
      <c r="A5000" s="29"/>
      <c r="B5000" s="15"/>
      <c r="C5000" s="19"/>
      <c r="D5000" s="19"/>
      <c r="E5000" s="19"/>
      <c r="F5000" s="19"/>
      <c r="G5000" s="19"/>
      <c r="H5000" s="82"/>
    </row>
    <row r="5001" spans="1:8" s="28" customFormat="1" x14ac:dyDescent="0.25">
      <c r="A5001" s="29"/>
      <c r="B5001" s="15"/>
      <c r="C5001" s="19"/>
      <c r="D5001" s="19"/>
      <c r="E5001" s="19"/>
      <c r="F5001" s="19"/>
      <c r="G5001" s="19"/>
      <c r="H5001" s="82"/>
    </row>
    <row r="5002" spans="1:8" s="28" customFormat="1" x14ac:dyDescent="0.25">
      <c r="A5002" s="29"/>
      <c r="B5002" s="15"/>
      <c r="C5002" s="19"/>
      <c r="D5002" s="19"/>
      <c r="E5002" s="19"/>
      <c r="F5002" s="19"/>
      <c r="G5002" s="19"/>
      <c r="H5002" s="82"/>
    </row>
    <row r="5003" spans="1:8" s="28" customFormat="1" x14ac:dyDescent="0.25">
      <c r="A5003" s="29"/>
      <c r="B5003" s="15"/>
      <c r="C5003" s="19"/>
      <c r="D5003" s="19"/>
      <c r="E5003" s="19"/>
      <c r="F5003" s="19"/>
      <c r="G5003" s="19"/>
      <c r="H5003" s="82"/>
    </row>
    <row r="5004" spans="1:8" s="28" customFormat="1" x14ac:dyDescent="0.25">
      <c r="A5004" s="29"/>
      <c r="B5004" s="15"/>
      <c r="C5004" s="19"/>
      <c r="D5004" s="19"/>
      <c r="E5004" s="19"/>
      <c r="F5004" s="19"/>
      <c r="G5004" s="19"/>
      <c r="H5004" s="82"/>
    </row>
    <row r="5005" spans="1:8" s="28" customFormat="1" x14ac:dyDescent="0.25">
      <c r="A5005" s="29"/>
      <c r="B5005" s="15"/>
      <c r="C5005" s="19"/>
      <c r="D5005" s="19"/>
      <c r="E5005" s="19"/>
      <c r="F5005" s="19"/>
      <c r="G5005" s="19"/>
      <c r="H5005" s="82"/>
    </row>
    <row r="5006" spans="1:8" s="28" customFormat="1" x14ac:dyDescent="0.25">
      <c r="A5006" s="29"/>
      <c r="B5006" s="15"/>
      <c r="C5006" s="19"/>
      <c r="D5006" s="19"/>
      <c r="E5006" s="19"/>
      <c r="F5006" s="19"/>
      <c r="G5006" s="19"/>
      <c r="H5006" s="82"/>
    </row>
    <row r="5007" spans="1:8" s="28" customFormat="1" x14ac:dyDescent="0.25">
      <c r="A5007" s="29"/>
      <c r="B5007" s="15"/>
      <c r="C5007" s="19"/>
      <c r="D5007" s="19"/>
      <c r="E5007" s="19"/>
      <c r="F5007" s="19"/>
      <c r="G5007" s="19"/>
      <c r="H5007" s="82"/>
    </row>
    <row r="5008" spans="1:8" s="28" customFormat="1" x14ac:dyDescent="0.25">
      <c r="A5008" s="29"/>
      <c r="B5008" s="15"/>
      <c r="C5008" s="19"/>
      <c r="D5008" s="19"/>
      <c r="E5008" s="19"/>
      <c r="F5008" s="19"/>
      <c r="G5008" s="19"/>
      <c r="H5008" s="82"/>
    </row>
    <row r="5009" spans="1:8" s="28" customFormat="1" x14ac:dyDescent="0.25">
      <c r="A5009" s="29"/>
      <c r="B5009" s="15"/>
      <c r="C5009" s="19"/>
      <c r="D5009" s="19"/>
      <c r="E5009" s="19"/>
      <c r="F5009" s="19"/>
      <c r="G5009" s="19"/>
      <c r="H5009" s="82"/>
    </row>
    <row r="5010" spans="1:8" s="28" customFormat="1" x14ac:dyDescent="0.25">
      <c r="A5010" s="29"/>
      <c r="B5010" s="15"/>
      <c r="C5010" s="19"/>
      <c r="D5010" s="19"/>
      <c r="E5010" s="19"/>
      <c r="F5010" s="19"/>
      <c r="G5010" s="19"/>
      <c r="H5010" s="82"/>
    </row>
    <row r="5011" spans="1:8" s="28" customFormat="1" x14ac:dyDescent="0.25">
      <c r="A5011" s="29"/>
      <c r="B5011" s="15"/>
      <c r="C5011" s="19"/>
      <c r="D5011" s="19"/>
      <c r="E5011" s="19"/>
      <c r="F5011" s="19"/>
      <c r="G5011" s="19"/>
      <c r="H5011" s="82"/>
    </row>
    <row r="5012" spans="1:8" s="28" customFormat="1" x14ac:dyDescent="0.25">
      <c r="A5012" s="29"/>
      <c r="B5012" s="15"/>
      <c r="C5012" s="19"/>
      <c r="D5012" s="19"/>
      <c r="E5012" s="19"/>
      <c r="F5012" s="19"/>
      <c r="G5012" s="19"/>
      <c r="H5012" s="82"/>
    </row>
    <row r="5013" spans="1:8" s="28" customFormat="1" x14ac:dyDescent="0.25">
      <c r="A5013" s="29"/>
      <c r="B5013" s="15"/>
      <c r="C5013" s="19"/>
      <c r="D5013" s="19"/>
      <c r="E5013" s="19"/>
      <c r="F5013" s="19"/>
      <c r="G5013" s="19"/>
      <c r="H5013" s="82"/>
    </row>
    <row r="5014" spans="1:8" s="28" customFormat="1" x14ac:dyDescent="0.25">
      <c r="A5014" s="29"/>
      <c r="B5014" s="15"/>
      <c r="C5014" s="19"/>
      <c r="D5014" s="19"/>
      <c r="E5014" s="19"/>
      <c r="F5014" s="19"/>
      <c r="G5014" s="19"/>
      <c r="H5014" s="82"/>
    </row>
    <row r="5015" spans="1:8" s="28" customFormat="1" x14ac:dyDescent="0.25">
      <c r="A5015" s="29"/>
      <c r="B5015" s="15"/>
      <c r="C5015" s="19"/>
      <c r="D5015" s="19"/>
      <c r="E5015" s="19"/>
      <c r="F5015" s="19"/>
      <c r="G5015" s="19"/>
      <c r="H5015" s="82"/>
    </row>
    <row r="5016" spans="1:8" s="28" customFormat="1" x14ac:dyDescent="0.25">
      <c r="A5016" s="29"/>
      <c r="B5016" s="15"/>
      <c r="C5016" s="19"/>
      <c r="D5016" s="19"/>
      <c r="E5016" s="19"/>
      <c r="F5016" s="19"/>
      <c r="G5016" s="19"/>
      <c r="H5016" s="82"/>
    </row>
    <row r="5017" spans="1:8" s="28" customFormat="1" x14ac:dyDescent="0.25">
      <c r="A5017" s="29"/>
      <c r="B5017" s="15"/>
      <c r="C5017" s="19"/>
      <c r="D5017" s="19"/>
      <c r="E5017" s="19"/>
      <c r="F5017" s="19"/>
      <c r="G5017" s="19"/>
      <c r="H5017" s="82"/>
    </row>
    <row r="5018" spans="1:8" s="28" customFormat="1" x14ac:dyDescent="0.25">
      <c r="A5018" s="29"/>
      <c r="B5018" s="15"/>
      <c r="C5018" s="19"/>
      <c r="D5018" s="19"/>
      <c r="E5018" s="19"/>
      <c r="F5018" s="19"/>
      <c r="G5018" s="19"/>
      <c r="H5018" s="82"/>
    </row>
    <row r="5019" spans="1:8" s="28" customFormat="1" x14ac:dyDescent="0.25">
      <c r="A5019" s="29"/>
      <c r="B5019" s="15"/>
      <c r="C5019" s="19"/>
      <c r="D5019" s="19"/>
      <c r="E5019" s="19"/>
      <c r="F5019" s="19"/>
      <c r="G5019" s="19"/>
      <c r="H5019" s="82"/>
    </row>
    <row r="5020" spans="1:8" s="28" customFormat="1" x14ac:dyDescent="0.25">
      <c r="A5020" s="29"/>
      <c r="B5020" s="15"/>
      <c r="C5020" s="19"/>
      <c r="D5020" s="19"/>
      <c r="E5020" s="19"/>
      <c r="F5020" s="19"/>
      <c r="G5020" s="19"/>
      <c r="H5020" s="82"/>
    </row>
    <row r="5021" spans="1:8" s="28" customFormat="1" x14ac:dyDescent="0.25">
      <c r="A5021" s="29"/>
      <c r="B5021" s="15"/>
      <c r="C5021" s="19"/>
      <c r="D5021" s="19"/>
      <c r="E5021" s="19"/>
      <c r="F5021" s="19"/>
      <c r="G5021" s="19"/>
      <c r="H5021" s="82"/>
    </row>
    <row r="5022" spans="1:8" s="28" customFormat="1" x14ac:dyDescent="0.25">
      <c r="A5022" s="29"/>
      <c r="B5022" s="15"/>
      <c r="C5022" s="19"/>
      <c r="D5022" s="19"/>
      <c r="E5022" s="19"/>
      <c r="F5022" s="19"/>
      <c r="G5022" s="19"/>
      <c r="H5022" s="82"/>
    </row>
    <row r="5023" spans="1:8" s="28" customFormat="1" x14ac:dyDescent="0.25">
      <c r="A5023" s="29"/>
      <c r="B5023" s="15"/>
      <c r="C5023" s="19"/>
      <c r="D5023" s="19"/>
      <c r="E5023" s="19"/>
      <c r="F5023" s="19"/>
      <c r="G5023" s="19"/>
      <c r="H5023" s="82"/>
    </row>
    <row r="5024" spans="1:8" s="28" customFormat="1" x14ac:dyDescent="0.25">
      <c r="A5024" s="29"/>
      <c r="B5024" s="15"/>
      <c r="C5024" s="19"/>
      <c r="D5024" s="19"/>
      <c r="E5024" s="19"/>
      <c r="F5024" s="19"/>
      <c r="G5024" s="19"/>
      <c r="H5024" s="82"/>
    </row>
    <row r="5025" spans="1:8" s="28" customFormat="1" x14ac:dyDescent="0.25">
      <c r="A5025" s="29"/>
      <c r="B5025" s="15"/>
      <c r="C5025" s="19"/>
      <c r="D5025" s="19"/>
      <c r="E5025" s="19"/>
      <c r="F5025" s="19"/>
      <c r="G5025" s="19"/>
      <c r="H5025" s="82"/>
    </row>
    <row r="5026" spans="1:8" s="28" customFormat="1" x14ac:dyDescent="0.25">
      <c r="A5026" s="29"/>
      <c r="B5026" s="15"/>
      <c r="C5026" s="19"/>
      <c r="D5026" s="19"/>
      <c r="E5026" s="19"/>
      <c r="F5026" s="19"/>
      <c r="G5026" s="19"/>
      <c r="H5026" s="82"/>
    </row>
    <row r="5027" spans="1:8" s="28" customFormat="1" x14ac:dyDescent="0.25">
      <c r="A5027" s="29"/>
      <c r="B5027" s="15"/>
      <c r="C5027" s="19"/>
      <c r="D5027" s="19"/>
      <c r="E5027" s="19"/>
      <c r="F5027" s="19"/>
      <c r="G5027" s="19"/>
      <c r="H5027" s="82"/>
    </row>
    <row r="5028" spans="1:8" s="28" customFormat="1" x14ac:dyDescent="0.25">
      <c r="A5028" s="29"/>
      <c r="B5028" s="15"/>
      <c r="C5028" s="19"/>
      <c r="D5028" s="19"/>
      <c r="E5028" s="19"/>
      <c r="F5028" s="19"/>
      <c r="G5028" s="19"/>
      <c r="H5028" s="82"/>
    </row>
    <row r="5029" spans="1:8" s="28" customFormat="1" x14ac:dyDescent="0.25">
      <c r="A5029" s="29"/>
      <c r="B5029" s="15"/>
      <c r="C5029" s="19"/>
      <c r="D5029" s="19"/>
      <c r="E5029" s="19"/>
      <c r="F5029" s="19"/>
      <c r="G5029" s="19"/>
      <c r="H5029" s="82"/>
    </row>
    <row r="5030" spans="1:8" s="28" customFormat="1" x14ac:dyDescent="0.25">
      <c r="A5030" s="29"/>
      <c r="B5030" s="15"/>
      <c r="C5030" s="19"/>
      <c r="D5030" s="19"/>
      <c r="E5030" s="19"/>
      <c r="F5030" s="19"/>
      <c r="G5030" s="19"/>
      <c r="H5030" s="82"/>
    </row>
    <row r="5031" spans="1:8" s="28" customFormat="1" x14ac:dyDescent="0.25">
      <c r="A5031" s="29"/>
      <c r="B5031" s="15"/>
      <c r="C5031" s="19"/>
      <c r="D5031" s="19"/>
      <c r="E5031" s="19"/>
      <c r="F5031" s="19"/>
      <c r="G5031" s="19"/>
      <c r="H5031" s="82"/>
    </row>
    <row r="5032" spans="1:8" s="28" customFormat="1" x14ac:dyDescent="0.25">
      <c r="A5032" s="29"/>
      <c r="B5032" s="15"/>
      <c r="C5032" s="19"/>
      <c r="D5032" s="19"/>
      <c r="E5032" s="19"/>
      <c r="F5032" s="19"/>
      <c r="G5032" s="19"/>
      <c r="H5032" s="82"/>
    </row>
    <row r="5033" spans="1:8" s="28" customFormat="1" x14ac:dyDescent="0.25">
      <c r="A5033" s="29"/>
      <c r="B5033" s="15"/>
      <c r="C5033" s="19"/>
      <c r="D5033" s="19"/>
      <c r="E5033" s="19"/>
      <c r="F5033" s="19"/>
      <c r="G5033" s="19"/>
      <c r="H5033" s="82"/>
    </row>
    <row r="5034" spans="1:8" s="28" customFormat="1" x14ac:dyDescent="0.25">
      <c r="A5034" s="29"/>
      <c r="B5034" s="15"/>
      <c r="C5034" s="19"/>
      <c r="D5034" s="19"/>
      <c r="E5034" s="19"/>
      <c r="F5034" s="19"/>
      <c r="G5034" s="19"/>
      <c r="H5034" s="82"/>
    </row>
    <row r="5035" spans="1:8" s="28" customFormat="1" x14ac:dyDescent="0.25">
      <c r="A5035" s="29"/>
      <c r="B5035" s="15"/>
      <c r="C5035" s="19"/>
      <c r="D5035" s="19"/>
      <c r="E5035" s="19"/>
      <c r="F5035" s="19"/>
      <c r="G5035" s="19"/>
      <c r="H5035" s="82"/>
    </row>
    <row r="5036" spans="1:8" s="28" customFormat="1" x14ac:dyDescent="0.25">
      <c r="A5036" s="29"/>
      <c r="B5036" s="15"/>
      <c r="C5036" s="19"/>
      <c r="D5036" s="19"/>
      <c r="E5036" s="19"/>
      <c r="F5036" s="19"/>
      <c r="G5036" s="19"/>
      <c r="H5036" s="82"/>
    </row>
    <row r="5037" spans="1:8" s="28" customFormat="1" x14ac:dyDescent="0.25">
      <c r="A5037" s="29"/>
      <c r="B5037" s="15"/>
      <c r="C5037" s="19"/>
      <c r="D5037" s="19"/>
      <c r="E5037" s="19"/>
      <c r="F5037" s="19"/>
      <c r="G5037" s="19"/>
      <c r="H5037" s="82"/>
    </row>
    <row r="5038" spans="1:8" s="28" customFormat="1" x14ac:dyDescent="0.25">
      <c r="A5038" s="29"/>
      <c r="B5038" s="15"/>
      <c r="C5038" s="19"/>
      <c r="D5038" s="19"/>
      <c r="E5038" s="19"/>
      <c r="F5038" s="19"/>
      <c r="G5038" s="19"/>
      <c r="H5038" s="82"/>
    </row>
    <row r="5039" spans="1:8" s="28" customFormat="1" x14ac:dyDescent="0.25">
      <c r="A5039" s="29"/>
      <c r="B5039" s="15"/>
      <c r="C5039" s="19"/>
      <c r="D5039" s="19"/>
      <c r="E5039" s="19"/>
      <c r="F5039" s="19"/>
      <c r="G5039" s="19"/>
      <c r="H5039" s="82"/>
    </row>
    <row r="5040" spans="1:8" s="28" customFormat="1" x14ac:dyDescent="0.25">
      <c r="A5040" s="29"/>
      <c r="B5040" s="15"/>
      <c r="C5040" s="19"/>
      <c r="D5040" s="19"/>
      <c r="E5040" s="19"/>
      <c r="F5040" s="19"/>
      <c r="G5040" s="19"/>
      <c r="H5040" s="82"/>
    </row>
    <row r="5041" spans="1:8" s="28" customFormat="1" x14ac:dyDescent="0.25">
      <c r="A5041" s="29"/>
      <c r="B5041" s="15"/>
      <c r="C5041" s="19"/>
      <c r="D5041" s="19"/>
      <c r="E5041" s="19"/>
      <c r="F5041" s="19"/>
      <c r="G5041" s="19"/>
      <c r="H5041" s="82"/>
    </row>
    <row r="5042" spans="1:8" s="28" customFormat="1" x14ac:dyDescent="0.25">
      <c r="A5042" s="29"/>
      <c r="B5042" s="15"/>
      <c r="C5042" s="19"/>
      <c r="D5042" s="19"/>
      <c r="E5042" s="19"/>
      <c r="F5042" s="19"/>
      <c r="G5042" s="19"/>
      <c r="H5042" s="82"/>
    </row>
    <row r="5043" spans="1:8" s="28" customFormat="1" x14ac:dyDescent="0.25">
      <c r="A5043" s="29"/>
      <c r="B5043" s="15"/>
      <c r="C5043" s="19"/>
      <c r="D5043" s="19"/>
      <c r="E5043" s="19"/>
      <c r="F5043" s="19"/>
      <c r="G5043" s="19"/>
      <c r="H5043" s="82"/>
    </row>
    <row r="5044" spans="1:8" s="28" customFormat="1" x14ac:dyDescent="0.25">
      <c r="A5044" s="29"/>
      <c r="B5044" s="15"/>
      <c r="C5044" s="19"/>
      <c r="D5044" s="19"/>
      <c r="E5044" s="19"/>
      <c r="F5044" s="19"/>
      <c r="G5044" s="19"/>
      <c r="H5044" s="82"/>
    </row>
    <row r="5045" spans="1:8" s="28" customFormat="1" x14ac:dyDescent="0.25">
      <c r="A5045" s="29"/>
      <c r="B5045" s="15"/>
      <c r="C5045" s="19"/>
      <c r="D5045" s="19"/>
      <c r="E5045" s="19"/>
      <c r="F5045" s="19"/>
      <c r="G5045" s="19"/>
      <c r="H5045" s="82"/>
    </row>
    <row r="5046" spans="1:8" s="28" customFormat="1" x14ac:dyDescent="0.25">
      <c r="A5046" s="29"/>
      <c r="B5046" s="15"/>
      <c r="C5046" s="19"/>
      <c r="D5046" s="19"/>
      <c r="E5046" s="19"/>
      <c r="F5046" s="19"/>
      <c r="G5046" s="19"/>
      <c r="H5046" s="82"/>
    </row>
    <row r="5047" spans="1:8" s="28" customFormat="1" x14ac:dyDescent="0.25">
      <c r="A5047" s="29"/>
      <c r="B5047" s="15"/>
      <c r="C5047" s="19"/>
      <c r="D5047" s="19"/>
      <c r="E5047" s="19"/>
      <c r="F5047" s="19"/>
      <c r="G5047" s="19"/>
      <c r="H5047" s="82"/>
    </row>
    <row r="5048" spans="1:8" s="28" customFormat="1" x14ac:dyDescent="0.25">
      <c r="A5048" s="29"/>
      <c r="B5048" s="15"/>
      <c r="C5048" s="19"/>
      <c r="D5048" s="19"/>
      <c r="E5048" s="19"/>
      <c r="F5048" s="19"/>
      <c r="G5048" s="19"/>
      <c r="H5048" s="82"/>
    </row>
    <row r="5049" spans="1:8" s="28" customFormat="1" x14ac:dyDescent="0.25">
      <c r="A5049" s="29"/>
      <c r="B5049" s="15"/>
      <c r="C5049" s="19"/>
      <c r="D5049" s="19"/>
      <c r="E5049" s="19"/>
      <c r="F5049" s="19"/>
      <c r="G5049" s="19"/>
      <c r="H5049" s="82"/>
    </row>
    <row r="5050" spans="1:8" s="28" customFormat="1" x14ac:dyDescent="0.25">
      <c r="A5050" s="29"/>
      <c r="B5050" s="15"/>
      <c r="C5050" s="19"/>
      <c r="D5050" s="19"/>
      <c r="E5050" s="19"/>
      <c r="F5050" s="19"/>
      <c r="G5050" s="19"/>
      <c r="H5050" s="82"/>
    </row>
    <row r="5051" spans="1:8" s="28" customFormat="1" x14ac:dyDescent="0.25">
      <c r="A5051" s="29"/>
      <c r="B5051" s="15"/>
      <c r="C5051" s="19"/>
      <c r="D5051" s="19"/>
      <c r="E5051" s="19"/>
      <c r="F5051" s="19"/>
      <c r="G5051" s="19"/>
      <c r="H5051" s="82"/>
    </row>
    <row r="5052" spans="1:8" s="28" customFormat="1" x14ac:dyDescent="0.25">
      <c r="A5052" s="29"/>
      <c r="B5052" s="15"/>
      <c r="C5052" s="19"/>
      <c r="D5052" s="19"/>
      <c r="E5052" s="19"/>
      <c r="F5052" s="19"/>
      <c r="G5052" s="19"/>
      <c r="H5052" s="82"/>
    </row>
    <row r="5053" spans="1:8" s="28" customFormat="1" x14ac:dyDescent="0.25">
      <c r="A5053" s="29"/>
      <c r="B5053" s="15"/>
      <c r="C5053" s="19"/>
      <c r="D5053" s="19"/>
      <c r="E5053" s="19"/>
      <c r="F5053" s="19"/>
      <c r="G5053" s="19"/>
      <c r="H5053" s="82"/>
    </row>
    <row r="5054" spans="1:8" s="28" customFormat="1" x14ac:dyDescent="0.25">
      <c r="A5054" s="29"/>
      <c r="B5054" s="15"/>
      <c r="C5054" s="19"/>
      <c r="D5054" s="19"/>
      <c r="E5054" s="19"/>
      <c r="F5054" s="19"/>
      <c r="G5054" s="19"/>
      <c r="H5054" s="82"/>
    </row>
    <row r="5055" spans="1:8" s="28" customFormat="1" x14ac:dyDescent="0.25">
      <c r="A5055" s="29"/>
      <c r="B5055" s="15"/>
      <c r="C5055" s="19"/>
      <c r="D5055" s="19"/>
      <c r="E5055" s="19"/>
      <c r="F5055" s="19"/>
      <c r="G5055" s="19"/>
      <c r="H5055" s="82"/>
    </row>
    <row r="5056" spans="1:8" s="28" customFormat="1" x14ac:dyDescent="0.25">
      <c r="A5056" s="29"/>
      <c r="B5056" s="15"/>
      <c r="C5056" s="19"/>
      <c r="D5056" s="19"/>
      <c r="E5056" s="19"/>
      <c r="F5056" s="19"/>
      <c r="G5056" s="19"/>
      <c r="H5056" s="82"/>
    </row>
    <row r="5057" spans="1:8" s="28" customFormat="1" x14ac:dyDescent="0.25">
      <c r="A5057" s="29"/>
      <c r="B5057" s="15"/>
      <c r="C5057" s="19"/>
      <c r="D5057" s="19"/>
      <c r="E5057" s="19"/>
      <c r="F5057" s="19"/>
      <c r="G5057" s="19"/>
      <c r="H5057" s="82"/>
    </row>
    <row r="5058" spans="1:8" s="28" customFormat="1" x14ac:dyDescent="0.25">
      <c r="A5058" s="29"/>
      <c r="B5058" s="15"/>
      <c r="C5058" s="19"/>
      <c r="D5058" s="19"/>
      <c r="E5058" s="19"/>
      <c r="F5058" s="19"/>
      <c r="G5058" s="19"/>
      <c r="H5058" s="82"/>
    </row>
    <row r="5059" spans="1:8" s="28" customFormat="1" x14ac:dyDescent="0.25">
      <c r="A5059" s="29"/>
      <c r="B5059" s="15"/>
      <c r="C5059" s="19"/>
      <c r="D5059" s="19"/>
      <c r="E5059" s="19"/>
      <c r="F5059" s="19"/>
      <c r="G5059" s="19"/>
      <c r="H5059" s="82"/>
    </row>
    <row r="5060" spans="1:8" s="28" customFormat="1" x14ac:dyDescent="0.25">
      <c r="A5060" s="29"/>
      <c r="B5060" s="15"/>
      <c r="C5060" s="19"/>
      <c r="D5060" s="19"/>
      <c r="E5060" s="19"/>
      <c r="F5060" s="19"/>
      <c r="G5060" s="19"/>
      <c r="H5060" s="82"/>
    </row>
    <row r="5061" spans="1:8" s="28" customFormat="1" x14ac:dyDescent="0.25">
      <c r="A5061" s="29"/>
      <c r="B5061" s="15"/>
      <c r="C5061" s="19"/>
      <c r="D5061" s="19"/>
      <c r="E5061" s="19"/>
      <c r="F5061" s="19"/>
      <c r="G5061" s="19"/>
      <c r="H5061" s="82"/>
    </row>
    <row r="5062" spans="1:8" s="28" customFormat="1" x14ac:dyDescent="0.25">
      <c r="A5062" s="29"/>
      <c r="B5062" s="15"/>
      <c r="C5062" s="19"/>
      <c r="D5062" s="19"/>
      <c r="E5062" s="19"/>
      <c r="F5062" s="19"/>
      <c r="G5062" s="19"/>
      <c r="H5062" s="82"/>
    </row>
    <row r="5063" spans="1:8" s="28" customFormat="1" x14ac:dyDescent="0.25">
      <c r="A5063" s="29"/>
      <c r="B5063" s="15"/>
      <c r="C5063" s="19"/>
      <c r="D5063" s="19"/>
      <c r="E5063" s="19"/>
      <c r="F5063" s="19"/>
      <c r="G5063" s="19"/>
      <c r="H5063" s="82"/>
    </row>
    <row r="5064" spans="1:8" s="28" customFormat="1" x14ac:dyDescent="0.25">
      <c r="A5064" s="29"/>
      <c r="B5064" s="15"/>
      <c r="C5064" s="19"/>
      <c r="D5064" s="19"/>
      <c r="E5064" s="19"/>
      <c r="F5064" s="19"/>
      <c r="G5064" s="19"/>
      <c r="H5064" s="82"/>
    </row>
    <row r="5065" spans="1:8" s="28" customFormat="1" x14ac:dyDescent="0.25">
      <c r="A5065" s="29"/>
      <c r="B5065" s="15"/>
      <c r="C5065" s="19"/>
      <c r="D5065" s="19"/>
      <c r="E5065" s="19"/>
      <c r="F5065" s="19"/>
      <c r="G5065" s="19"/>
      <c r="H5065" s="82"/>
    </row>
    <row r="5066" spans="1:8" s="28" customFormat="1" x14ac:dyDescent="0.25">
      <c r="A5066" s="29"/>
      <c r="B5066" s="15"/>
      <c r="C5066" s="19"/>
      <c r="D5066" s="19"/>
      <c r="E5066" s="19"/>
      <c r="F5066" s="19"/>
      <c r="G5066" s="19"/>
      <c r="H5066" s="82"/>
    </row>
    <row r="5067" spans="1:8" s="28" customFormat="1" x14ac:dyDescent="0.25">
      <c r="A5067" s="29"/>
      <c r="B5067" s="15"/>
      <c r="C5067" s="19"/>
      <c r="D5067" s="19"/>
      <c r="E5067" s="19"/>
      <c r="F5067" s="19"/>
      <c r="G5067" s="19"/>
      <c r="H5067" s="82"/>
    </row>
    <row r="5068" spans="1:8" s="28" customFormat="1" x14ac:dyDescent="0.25">
      <c r="A5068" s="29"/>
      <c r="B5068" s="15"/>
      <c r="C5068" s="19"/>
      <c r="D5068" s="19"/>
      <c r="E5068" s="19"/>
      <c r="F5068" s="19"/>
      <c r="G5068" s="19"/>
      <c r="H5068" s="82"/>
    </row>
    <row r="5069" spans="1:8" s="28" customFormat="1" x14ac:dyDescent="0.25">
      <c r="A5069" s="29"/>
      <c r="B5069" s="15"/>
      <c r="C5069" s="19"/>
      <c r="D5069" s="19"/>
      <c r="E5069" s="19"/>
      <c r="F5069" s="19"/>
      <c r="G5069" s="19"/>
      <c r="H5069" s="82"/>
    </row>
    <row r="5070" spans="1:8" s="28" customFormat="1" x14ac:dyDescent="0.25">
      <c r="A5070" s="29"/>
      <c r="B5070" s="15"/>
      <c r="C5070" s="19"/>
      <c r="D5070" s="19"/>
      <c r="E5070" s="19"/>
      <c r="F5070" s="19"/>
      <c r="G5070" s="19"/>
      <c r="H5070" s="82"/>
    </row>
    <row r="5071" spans="1:8" s="28" customFormat="1" x14ac:dyDescent="0.25">
      <c r="A5071" s="29"/>
      <c r="B5071" s="15"/>
      <c r="C5071" s="19"/>
      <c r="D5071" s="19"/>
      <c r="E5071" s="19"/>
      <c r="F5071" s="19"/>
      <c r="G5071" s="19"/>
      <c r="H5071" s="82"/>
    </row>
    <row r="5072" spans="1:8" s="28" customFormat="1" x14ac:dyDescent="0.25">
      <c r="A5072" s="29"/>
      <c r="B5072" s="15"/>
      <c r="C5072" s="19"/>
      <c r="D5072" s="19"/>
      <c r="E5072" s="19"/>
      <c r="F5072" s="19"/>
      <c r="G5072" s="19"/>
      <c r="H5072" s="82"/>
    </row>
    <row r="5073" spans="1:8" s="28" customFormat="1" x14ac:dyDescent="0.25">
      <c r="A5073" s="29"/>
      <c r="B5073" s="15"/>
      <c r="C5073" s="19"/>
      <c r="D5073" s="19"/>
      <c r="E5073" s="19"/>
      <c r="F5073" s="19"/>
      <c r="G5073" s="19"/>
      <c r="H5073" s="82"/>
    </row>
    <row r="5074" spans="1:8" s="28" customFormat="1" x14ac:dyDescent="0.25">
      <c r="A5074" s="29"/>
      <c r="B5074" s="15"/>
      <c r="C5074" s="19"/>
      <c r="D5074" s="19"/>
      <c r="E5074" s="19"/>
      <c r="F5074" s="19"/>
      <c r="G5074" s="19"/>
      <c r="H5074" s="82"/>
    </row>
    <row r="5075" spans="1:8" s="28" customFormat="1" x14ac:dyDescent="0.25">
      <c r="A5075" s="29"/>
      <c r="B5075" s="15"/>
      <c r="C5075" s="19"/>
      <c r="D5075" s="19"/>
      <c r="E5075" s="19"/>
      <c r="F5075" s="19"/>
      <c r="G5075" s="19"/>
      <c r="H5075" s="82"/>
    </row>
    <row r="5076" spans="1:8" s="28" customFormat="1" x14ac:dyDescent="0.25">
      <c r="A5076" s="29"/>
      <c r="B5076" s="15"/>
      <c r="C5076" s="19"/>
      <c r="D5076" s="19"/>
      <c r="E5076" s="19"/>
      <c r="F5076" s="19"/>
      <c r="G5076" s="19"/>
      <c r="H5076" s="82"/>
    </row>
    <row r="5077" spans="1:8" s="28" customFormat="1" x14ac:dyDescent="0.25">
      <c r="A5077" s="29"/>
      <c r="B5077" s="15"/>
      <c r="C5077" s="19"/>
      <c r="D5077" s="19"/>
      <c r="E5077" s="19"/>
      <c r="F5077" s="19"/>
      <c r="G5077" s="19"/>
      <c r="H5077" s="82"/>
    </row>
    <row r="5078" spans="1:8" s="28" customFormat="1" x14ac:dyDescent="0.25">
      <c r="A5078" s="29"/>
      <c r="B5078" s="15"/>
      <c r="C5078" s="19"/>
      <c r="D5078" s="19"/>
      <c r="E5078" s="19"/>
      <c r="F5078" s="19"/>
      <c r="G5078" s="19"/>
      <c r="H5078" s="82"/>
    </row>
    <row r="5079" spans="1:8" s="28" customFormat="1" x14ac:dyDescent="0.25">
      <c r="A5079" s="29"/>
      <c r="B5079" s="15"/>
      <c r="C5079" s="19"/>
      <c r="D5079" s="19"/>
      <c r="E5079" s="19"/>
      <c r="F5079" s="19"/>
      <c r="G5079" s="19"/>
      <c r="H5079" s="82"/>
    </row>
    <row r="5080" spans="1:8" s="28" customFormat="1" x14ac:dyDescent="0.25">
      <c r="A5080" s="29"/>
      <c r="B5080" s="15"/>
      <c r="C5080" s="19"/>
      <c r="D5080" s="19"/>
      <c r="E5080" s="19"/>
      <c r="F5080" s="19"/>
      <c r="G5080" s="19"/>
      <c r="H5080" s="82"/>
    </row>
    <row r="5081" spans="1:8" s="28" customFormat="1" x14ac:dyDescent="0.25">
      <c r="A5081" s="29"/>
      <c r="B5081" s="15"/>
      <c r="C5081" s="19"/>
      <c r="D5081" s="19"/>
      <c r="E5081" s="19"/>
      <c r="F5081" s="19"/>
      <c r="G5081" s="19"/>
      <c r="H5081" s="82"/>
    </row>
    <row r="5082" spans="1:8" s="28" customFormat="1" x14ac:dyDescent="0.25">
      <c r="A5082" s="29"/>
      <c r="B5082" s="15"/>
      <c r="C5082" s="19"/>
      <c r="D5082" s="19"/>
      <c r="E5082" s="19"/>
      <c r="F5082" s="19"/>
      <c r="G5082" s="19"/>
      <c r="H5082" s="82"/>
    </row>
    <row r="5083" spans="1:8" s="28" customFormat="1" x14ac:dyDescent="0.25">
      <c r="A5083" s="29"/>
      <c r="B5083" s="15"/>
      <c r="C5083" s="19"/>
      <c r="D5083" s="19"/>
      <c r="E5083" s="19"/>
      <c r="F5083" s="19"/>
      <c r="G5083" s="19"/>
      <c r="H5083" s="82"/>
    </row>
    <row r="5084" spans="1:8" s="28" customFormat="1" x14ac:dyDescent="0.25">
      <c r="A5084" s="29"/>
      <c r="B5084" s="15"/>
      <c r="C5084" s="19"/>
      <c r="D5084" s="19"/>
      <c r="E5084" s="19"/>
      <c r="F5084" s="19"/>
      <c r="G5084" s="19"/>
      <c r="H5084" s="82"/>
    </row>
    <row r="5085" spans="1:8" s="28" customFormat="1" x14ac:dyDescent="0.25">
      <c r="A5085" s="29"/>
      <c r="B5085" s="15"/>
      <c r="C5085" s="19"/>
      <c r="D5085" s="19"/>
      <c r="E5085" s="19"/>
      <c r="F5085" s="19"/>
      <c r="G5085" s="19"/>
      <c r="H5085" s="82"/>
    </row>
    <row r="5086" spans="1:8" s="28" customFormat="1" x14ac:dyDescent="0.25">
      <c r="A5086" s="29"/>
      <c r="B5086" s="15"/>
      <c r="C5086" s="19"/>
      <c r="D5086" s="19"/>
      <c r="E5086" s="19"/>
      <c r="F5086" s="19"/>
      <c r="G5086" s="19"/>
      <c r="H5086" s="82"/>
    </row>
    <row r="5087" spans="1:8" s="28" customFormat="1" x14ac:dyDescent="0.25">
      <c r="A5087" s="29"/>
      <c r="B5087" s="15"/>
      <c r="C5087" s="19"/>
      <c r="D5087" s="19"/>
      <c r="E5087" s="19"/>
      <c r="F5087" s="19"/>
      <c r="G5087" s="19"/>
      <c r="H5087" s="82"/>
    </row>
    <row r="5088" spans="1:8" s="28" customFormat="1" x14ac:dyDescent="0.25">
      <c r="A5088" s="29"/>
      <c r="B5088" s="15"/>
      <c r="C5088" s="19"/>
      <c r="D5088" s="19"/>
      <c r="E5088" s="19"/>
      <c r="F5088" s="19"/>
      <c r="G5088" s="19"/>
      <c r="H5088" s="82"/>
    </row>
    <row r="5089" spans="1:8" s="28" customFormat="1" x14ac:dyDescent="0.25">
      <c r="A5089" s="29"/>
      <c r="B5089" s="15"/>
      <c r="C5089" s="19"/>
      <c r="D5089" s="19"/>
      <c r="E5089" s="19"/>
      <c r="F5089" s="19"/>
      <c r="G5089" s="19"/>
      <c r="H5089" s="82"/>
    </row>
    <row r="5090" spans="1:8" s="28" customFormat="1" x14ac:dyDescent="0.25">
      <c r="A5090" s="29"/>
      <c r="B5090" s="15"/>
      <c r="C5090" s="19"/>
      <c r="D5090" s="19"/>
      <c r="E5090" s="19"/>
      <c r="F5090" s="19"/>
      <c r="G5090" s="19"/>
      <c r="H5090" s="82"/>
    </row>
    <row r="5091" spans="1:8" s="28" customFormat="1" x14ac:dyDescent="0.25">
      <c r="A5091" s="29"/>
      <c r="B5091" s="15"/>
      <c r="C5091" s="19"/>
      <c r="D5091" s="19"/>
      <c r="E5091" s="19"/>
      <c r="F5091" s="19"/>
      <c r="G5091" s="19"/>
      <c r="H5091" s="82"/>
    </row>
    <row r="5092" spans="1:8" s="28" customFormat="1" x14ac:dyDescent="0.25">
      <c r="A5092" s="29"/>
      <c r="B5092" s="15"/>
      <c r="C5092" s="19"/>
      <c r="D5092" s="19"/>
      <c r="E5092" s="19"/>
      <c r="F5092" s="19"/>
      <c r="G5092" s="19"/>
      <c r="H5092" s="82"/>
    </row>
    <row r="5093" spans="1:8" s="28" customFormat="1" x14ac:dyDescent="0.25">
      <c r="A5093" s="29"/>
      <c r="B5093" s="15"/>
      <c r="C5093" s="19"/>
      <c r="D5093" s="19"/>
      <c r="E5093" s="19"/>
      <c r="F5093" s="19"/>
      <c r="G5093" s="19"/>
      <c r="H5093" s="82"/>
    </row>
    <row r="5094" spans="1:8" s="28" customFormat="1" x14ac:dyDescent="0.25">
      <c r="A5094" s="29"/>
      <c r="B5094" s="15"/>
      <c r="C5094" s="19"/>
      <c r="D5094" s="19"/>
      <c r="E5094" s="19"/>
      <c r="F5094" s="19"/>
      <c r="G5094" s="19"/>
      <c r="H5094" s="82"/>
    </row>
    <row r="5095" spans="1:8" s="28" customFormat="1" x14ac:dyDescent="0.25">
      <c r="A5095" s="29"/>
      <c r="B5095" s="15"/>
      <c r="C5095" s="19"/>
      <c r="D5095" s="19"/>
      <c r="E5095" s="19"/>
      <c r="F5095" s="19"/>
      <c r="G5095" s="19"/>
      <c r="H5095" s="82"/>
    </row>
    <row r="5096" spans="1:8" s="28" customFormat="1" x14ac:dyDescent="0.25">
      <c r="A5096" s="29"/>
      <c r="B5096" s="15"/>
      <c r="C5096" s="19"/>
      <c r="D5096" s="19"/>
      <c r="E5096" s="19"/>
      <c r="F5096" s="19"/>
      <c r="G5096" s="19"/>
      <c r="H5096" s="82"/>
    </row>
    <row r="5097" spans="1:8" s="28" customFormat="1" x14ac:dyDescent="0.25">
      <c r="A5097" s="29"/>
      <c r="B5097" s="15"/>
      <c r="C5097" s="19"/>
      <c r="D5097" s="19"/>
      <c r="E5097" s="19"/>
      <c r="F5097" s="19"/>
      <c r="G5097" s="19"/>
      <c r="H5097" s="82"/>
    </row>
    <row r="5098" spans="1:8" s="28" customFormat="1" x14ac:dyDescent="0.25">
      <c r="A5098" s="29"/>
      <c r="B5098" s="15"/>
      <c r="C5098" s="19"/>
      <c r="D5098" s="19"/>
      <c r="E5098" s="19"/>
      <c r="F5098" s="19"/>
      <c r="G5098" s="19"/>
      <c r="H5098" s="82"/>
    </row>
    <row r="5099" spans="1:8" s="28" customFormat="1" x14ac:dyDescent="0.25">
      <c r="A5099" s="29"/>
      <c r="B5099" s="15"/>
      <c r="C5099" s="19"/>
      <c r="D5099" s="19"/>
      <c r="E5099" s="19"/>
      <c r="F5099" s="19"/>
      <c r="G5099" s="19"/>
      <c r="H5099" s="82"/>
    </row>
    <row r="5100" spans="1:8" s="28" customFormat="1" x14ac:dyDescent="0.25">
      <c r="A5100" s="29"/>
      <c r="B5100" s="15"/>
      <c r="C5100" s="19"/>
      <c r="D5100" s="19"/>
      <c r="E5100" s="19"/>
      <c r="F5100" s="19"/>
      <c r="G5100" s="19"/>
      <c r="H5100" s="82"/>
    </row>
    <row r="5101" spans="1:8" s="28" customFormat="1" x14ac:dyDescent="0.25">
      <c r="A5101" s="29"/>
      <c r="B5101" s="15"/>
      <c r="C5101" s="19"/>
      <c r="D5101" s="19"/>
      <c r="E5101" s="19"/>
      <c r="F5101" s="19"/>
      <c r="G5101" s="19"/>
      <c r="H5101" s="82"/>
    </row>
    <row r="5102" spans="1:8" s="28" customFormat="1" x14ac:dyDescent="0.25">
      <c r="A5102" s="29"/>
      <c r="B5102" s="15"/>
      <c r="C5102" s="19"/>
      <c r="D5102" s="19"/>
      <c r="E5102" s="19"/>
      <c r="F5102" s="19"/>
      <c r="G5102" s="19"/>
      <c r="H5102" s="82"/>
    </row>
    <row r="5103" spans="1:8" s="28" customFormat="1" x14ac:dyDescent="0.25">
      <c r="A5103" s="29"/>
      <c r="B5103" s="15"/>
      <c r="C5103" s="19"/>
      <c r="D5103" s="19"/>
      <c r="E5103" s="19"/>
      <c r="F5103" s="19"/>
      <c r="G5103" s="19"/>
      <c r="H5103" s="82"/>
    </row>
    <row r="5104" spans="1:8" s="28" customFormat="1" x14ac:dyDescent="0.25">
      <c r="A5104" s="29"/>
      <c r="B5104" s="15"/>
      <c r="C5104" s="19"/>
      <c r="D5104" s="19"/>
      <c r="E5104" s="19"/>
      <c r="F5104" s="19"/>
      <c r="G5104" s="19"/>
      <c r="H5104" s="82"/>
    </row>
    <row r="5105" spans="1:8" s="28" customFormat="1" x14ac:dyDescent="0.25">
      <c r="A5105" s="29"/>
      <c r="B5105" s="15"/>
      <c r="C5105" s="19"/>
      <c r="D5105" s="19"/>
      <c r="E5105" s="19"/>
      <c r="F5105" s="19"/>
      <c r="G5105" s="19"/>
      <c r="H5105" s="82"/>
    </row>
    <row r="5106" spans="1:8" s="28" customFormat="1" x14ac:dyDescent="0.25">
      <c r="A5106" s="29"/>
      <c r="B5106" s="15"/>
      <c r="C5106" s="19"/>
      <c r="D5106" s="19"/>
      <c r="E5106" s="19"/>
      <c r="F5106" s="19"/>
      <c r="G5106" s="19"/>
      <c r="H5106" s="82"/>
    </row>
    <row r="5107" spans="1:8" s="28" customFormat="1" x14ac:dyDescent="0.25">
      <c r="A5107" s="29"/>
      <c r="B5107" s="15"/>
      <c r="C5107" s="19"/>
      <c r="D5107" s="19"/>
      <c r="E5107" s="19"/>
      <c r="F5107" s="19"/>
      <c r="G5107" s="19"/>
      <c r="H5107" s="82"/>
    </row>
    <row r="5108" spans="1:8" s="28" customFormat="1" x14ac:dyDescent="0.25">
      <c r="A5108" s="29"/>
      <c r="B5108" s="15"/>
      <c r="C5108" s="19"/>
      <c r="D5108" s="19"/>
      <c r="E5108" s="19"/>
      <c r="F5108" s="19"/>
      <c r="G5108" s="19"/>
      <c r="H5108" s="82"/>
    </row>
    <row r="5109" spans="1:8" s="28" customFormat="1" x14ac:dyDescent="0.25">
      <c r="A5109" s="29"/>
      <c r="B5109" s="15"/>
      <c r="C5109" s="19"/>
      <c r="D5109" s="19"/>
      <c r="E5109" s="19"/>
      <c r="F5109" s="19"/>
      <c r="G5109" s="19"/>
      <c r="H5109" s="82"/>
    </row>
    <row r="5110" spans="1:8" s="28" customFormat="1" x14ac:dyDescent="0.25">
      <c r="A5110" s="29"/>
      <c r="B5110" s="15"/>
      <c r="C5110" s="19"/>
      <c r="D5110" s="19"/>
      <c r="E5110" s="19"/>
      <c r="F5110" s="19"/>
      <c r="G5110" s="19"/>
      <c r="H5110" s="82"/>
    </row>
    <row r="5111" spans="1:8" s="28" customFormat="1" x14ac:dyDescent="0.25">
      <c r="A5111" s="29"/>
      <c r="B5111" s="15"/>
      <c r="C5111" s="19"/>
      <c r="D5111" s="19"/>
      <c r="E5111" s="19"/>
      <c r="F5111" s="19"/>
      <c r="G5111" s="19"/>
      <c r="H5111" s="82"/>
    </row>
    <row r="5112" spans="1:8" s="28" customFormat="1" x14ac:dyDescent="0.25">
      <c r="A5112" s="29"/>
      <c r="B5112" s="15"/>
      <c r="C5112" s="19"/>
      <c r="D5112" s="19"/>
      <c r="E5112" s="19"/>
      <c r="F5112" s="19"/>
      <c r="G5112" s="19"/>
      <c r="H5112" s="82"/>
    </row>
    <row r="5113" spans="1:8" s="28" customFormat="1" x14ac:dyDescent="0.25">
      <c r="A5113" s="29"/>
      <c r="B5113" s="15"/>
      <c r="C5113" s="19"/>
      <c r="D5113" s="19"/>
      <c r="E5113" s="19"/>
      <c r="F5113" s="19"/>
      <c r="G5113" s="19"/>
      <c r="H5113" s="82"/>
    </row>
    <row r="5114" spans="1:8" s="28" customFormat="1" x14ac:dyDescent="0.25">
      <c r="A5114" s="29"/>
      <c r="B5114" s="15"/>
      <c r="C5114" s="19"/>
      <c r="D5114" s="19"/>
      <c r="E5114" s="19"/>
      <c r="F5114" s="19"/>
      <c r="G5114" s="19"/>
      <c r="H5114" s="82"/>
    </row>
    <row r="5115" spans="1:8" s="28" customFormat="1" x14ac:dyDescent="0.25">
      <c r="A5115" s="29"/>
      <c r="B5115" s="15"/>
      <c r="C5115" s="19"/>
      <c r="D5115" s="19"/>
      <c r="E5115" s="19"/>
      <c r="F5115" s="19"/>
      <c r="G5115" s="19"/>
      <c r="H5115" s="82"/>
    </row>
    <row r="5116" spans="1:8" s="28" customFormat="1" x14ac:dyDescent="0.25">
      <c r="A5116" s="29"/>
      <c r="B5116" s="15"/>
      <c r="C5116" s="19"/>
      <c r="D5116" s="19"/>
      <c r="E5116" s="19"/>
      <c r="F5116" s="19"/>
      <c r="G5116" s="19"/>
      <c r="H5116" s="82"/>
    </row>
    <row r="5117" spans="1:8" s="28" customFormat="1" x14ac:dyDescent="0.25">
      <c r="A5117" s="29"/>
      <c r="B5117" s="15"/>
      <c r="C5117" s="19"/>
      <c r="D5117" s="19"/>
      <c r="E5117" s="19"/>
      <c r="F5117" s="19"/>
      <c r="G5117" s="19"/>
      <c r="H5117" s="82"/>
    </row>
    <row r="5118" spans="1:8" s="28" customFormat="1" x14ac:dyDescent="0.25">
      <c r="A5118" s="29"/>
      <c r="B5118" s="15"/>
      <c r="C5118" s="19"/>
      <c r="D5118" s="19"/>
      <c r="E5118" s="19"/>
      <c r="F5118" s="19"/>
      <c r="G5118" s="19"/>
      <c r="H5118" s="82"/>
    </row>
    <row r="5119" spans="1:8" s="28" customFormat="1" x14ac:dyDescent="0.25">
      <c r="A5119" s="29"/>
      <c r="B5119" s="15"/>
      <c r="C5119" s="19"/>
      <c r="D5119" s="19"/>
      <c r="E5119" s="19"/>
      <c r="F5119" s="19"/>
      <c r="G5119" s="19"/>
      <c r="H5119" s="82"/>
    </row>
    <row r="5120" spans="1:8" s="28" customFormat="1" x14ac:dyDescent="0.25">
      <c r="A5120" s="29"/>
      <c r="B5120" s="15"/>
      <c r="C5120" s="19"/>
      <c r="D5120" s="19"/>
      <c r="E5120" s="19"/>
      <c r="F5120" s="19"/>
      <c r="G5120" s="19"/>
      <c r="H5120" s="82"/>
    </row>
    <row r="5121" spans="1:8" s="28" customFormat="1" x14ac:dyDescent="0.25">
      <c r="A5121" s="29"/>
      <c r="B5121" s="15"/>
      <c r="C5121" s="19"/>
      <c r="D5121" s="19"/>
      <c r="E5121" s="19"/>
      <c r="F5121" s="19"/>
      <c r="G5121" s="19"/>
      <c r="H5121" s="82"/>
    </row>
    <row r="5122" spans="1:8" s="28" customFormat="1" x14ac:dyDescent="0.25">
      <c r="A5122" s="29"/>
      <c r="B5122" s="15"/>
      <c r="C5122" s="19"/>
      <c r="D5122" s="19"/>
      <c r="E5122" s="19"/>
      <c r="F5122" s="19"/>
      <c r="G5122" s="19"/>
      <c r="H5122" s="82"/>
    </row>
    <row r="5123" spans="1:8" s="28" customFormat="1" x14ac:dyDescent="0.25">
      <c r="A5123" s="29"/>
      <c r="B5123" s="15"/>
      <c r="C5123" s="19"/>
      <c r="D5123" s="19"/>
      <c r="E5123" s="19"/>
      <c r="F5123" s="19"/>
      <c r="G5123" s="19"/>
      <c r="H5123" s="82"/>
    </row>
    <row r="5124" spans="1:8" s="28" customFormat="1" x14ac:dyDescent="0.25">
      <c r="A5124" s="29"/>
      <c r="B5124" s="15"/>
      <c r="C5124" s="19"/>
      <c r="D5124" s="19"/>
      <c r="E5124" s="19"/>
      <c r="F5124" s="19"/>
      <c r="G5124" s="19"/>
      <c r="H5124" s="82"/>
    </row>
    <row r="5125" spans="1:8" s="28" customFormat="1" x14ac:dyDescent="0.25">
      <c r="A5125" s="29"/>
      <c r="B5125" s="15"/>
      <c r="C5125" s="19"/>
      <c r="D5125" s="19"/>
      <c r="E5125" s="19"/>
      <c r="F5125" s="19"/>
      <c r="G5125" s="19"/>
      <c r="H5125" s="82"/>
    </row>
    <row r="5126" spans="1:8" s="28" customFormat="1" x14ac:dyDescent="0.25">
      <c r="A5126" s="29"/>
      <c r="B5126" s="15"/>
      <c r="C5126" s="19"/>
      <c r="D5126" s="19"/>
      <c r="E5126" s="19"/>
      <c r="F5126" s="19"/>
      <c r="G5126" s="19"/>
      <c r="H5126" s="82"/>
    </row>
    <row r="5127" spans="1:8" s="28" customFormat="1" x14ac:dyDescent="0.25">
      <c r="A5127" s="29"/>
      <c r="B5127" s="15"/>
      <c r="C5127" s="19"/>
      <c r="D5127" s="19"/>
      <c r="E5127" s="19"/>
      <c r="F5127" s="19"/>
      <c r="G5127" s="19"/>
      <c r="H5127" s="82"/>
    </row>
    <row r="5128" spans="1:8" s="28" customFormat="1" x14ac:dyDescent="0.25">
      <c r="A5128" s="29"/>
      <c r="B5128" s="15"/>
      <c r="C5128" s="19"/>
      <c r="D5128" s="19"/>
      <c r="E5128" s="19"/>
      <c r="F5128" s="19"/>
      <c r="G5128" s="19"/>
      <c r="H5128" s="82"/>
    </row>
    <row r="5129" spans="1:8" s="28" customFormat="1" x14ac:dyDescent="0.25">
      <c r="A5129" s="29"/>
      <c r="B5129" s="15"/>
      <c r="C5129" s="19"/>
      <c r="D5129" s="19"/>
      <c r="E5129" s="19"/>
      <c r="F5129" s="19"/>
      <c r="G5129" s="19"/>
      <c r="H5129" s="82"/>
    </row>
    <row r="5130" spans="1:8" s="28" customFormat="1" x14ac:dyDescent="0.25">
      <c r="A5130" s="29"/>
      <c r="B5130" s="15"/>
      <c r="C5130" s="19"/>
      <c r="D5130" s="19"/>
      <c r="E5130" s="19"/>
      <c r="F5130" s="19"/>
      <c r="G5130" s="19"/>
      <c r="H5130" s="82"/>
    </row>
    <row r="5131" spans="1:8" s="28" customFormat="1" x14ac:dyDescent="0.25">
      <c r="A5131" s="29"/>
      <c r="B5131" s="15"/>
      <c r="C5131" s="19"/>
      <c r="D5131" s="19"/>
      <c r="E5131" s="19"/>
      <c r="F5131" s="19"/>
      <c r="G5131" s="19"/>
      <c r="H5131" s="82"/>
    </row>
    <row r="5132" spans="1:8" s="28" customFormat="1" x14ac:dyDescent="0.25">
      <c r="A5132" s="29"/>
      <c r="B5132" s="15"/>
      <c r="C5132" s="19"/>
      <c r="D5132" s="19"/>
      <c r="E5132" s="19"/>
      <c r="F5132" s="19"/>
      <c r="G5132" s="19"/>
      <c r="H5132" s="82"/>
    </row>
    <row r="5133" spans="1:8" s="28" customFormat="1" x14ac:dyDescent="0.25">
      <c r="A5133" s="29"/>
      <c r="B5133" s="15"/>
      <c r="C5133" s="19"/>
      <c r="D5133" s="19"/>
      <c r="E5133" s="19"/>
      <c r="F5133" s="19"/>
      <c r="G5133" s="19"/>
      <c r="H5133" s="82"/>
    </row>
    <row r="5134" spans="1:8" s="28" customFormat="1" x14ac:dyDescent="0.25">
      <c r="A5134" s="29"/>
      <c r="B5134" s="15"/>
      <c r="C5134" s="19"/>
      <c r="D5134" s="19"/>
      <c r="E5134" s="19"/>
      <c r="F5134" s="19"/>
      <c r="G5134" s="19"/>
      <c r="H5134" s="82"/>
    </row>
    <row r="5135" spans="1:8" s="28" customFormat="1" x14ac:dyDescent="0.25">
      <c r="A5135" s="29"/>
      <c r="B5135" s="15"/>
      <c r="C5135" s="19"/>
      <c r="D5135" s="19"/>
      <c r="E5135" s="19"/>
      <c r="F5135" s="19"/>
      <c r="G5135" s="19"/>
      <c r="H5135" s="82"/>
    </row>
    <row r="5136" spans="1:8" s="28" customFormat="1" x14ac:dyDescent="0.25">
      <c r="A5136" s="29"/>
      <c r="B5136" s="15"/>
      <c r="C5136" s="19"/>
      <c r="D5136" s="19"/>
      <c r="E5136" s="19"/>
      <c r="F5136" s="19"/>
      <c r="G5136" s="19"/>
      <c r="H5136" s="82"/>
    </row>
    <row r="5137" spans="1:8" s="28" customFormat="1" x14ac:dyDescent="0.25">
      <c r="A5137" s="29"/>
      <c r="B5137" s="15"/>
      <c r="C5137" s="19"/>
      <c r="D5137" s="19"/>
      <c r="E5137" s="19"/>
      <c r="F5137" s="19"/>
      <c r="G5137" s="19"/>
      <c r="H5137" s="82"/>
    </row>
    <row r="5138" spans="1:8" s="28" customFormat="1" x14ac:dyDescent="0.25">
      <c r="A5138" s="29"/>
      <c r="B5138" s="15"/>
      <c r="C5138" s="19"/>
      <c r="D5138" s="19"/>
      <c r="E5138" s="19"/>
      <c r="F5138" s="19"/>
      <c r="G5138" s="19"/>
      <c r="H5138" s="82"/>
    </row>
    <row r="5139" spans="1:8" s="28" customFormat="1" x14ac:dyDescent="0.25">
      <c r="A5139" s="29"/>
      <c r="B5139" s="15"/>
      <c r="C5139" s="19"/>
      <c r="D5139" s="19"/>
      <c r="E5139" s="19"/>
      <c r="F5139" s="19"/>
      <c r="G5139" s="19"/>
      <c r="H5139" s="82"/>
    </row>
    <row r="5140" spans="1:8" s="28" customFormat="1" x14ac:dyDescent="0.25">
      <c r="A5140" s="29"/>
      <c r="B5140" s="15"/>
      <c r="C5140" s="19"/>
      <c r="D5140" s="19"/>
      <c r="E5140" s="19"/>
      <c r="F5140" s="19"/>
      <c r="G5140" s="19"/>
      <c r="H5140" s="82"/>
    </row>
    <row r="5141" spans="1:8" s="28" customFormat="1" x14ac:dyDescent="0.25">
      <c r="A5141" s="29"/>
      <c r="B5141" s="15"/>
      <c r="C5141" s="19"/>
      <c r="D5141" s="19"/>
      <c r="E5141" s="19"/>
      <c r="F5141" s="19"/>
      <c r="G5141" s="19"/>
      <c r="H5141" s="82"/>
    </row>
    <row r="5142" spans="1:8" s="28" customFormat="1" x14ac:dyDescent="0.25">
      <c r="A5142" s="29"/>
      <c r="B5142" s="15"/>
      <c r="C5142" s="19"/>
      <c r="D5142" s="19"/>
      <c r="E5142" s="19"/>
      <c r="F5142" s="19"/>
      <c r="G5142" s="19"/>
      <c r="H5142" s="82"/>
    </row>
    <row r="5143" spans="1:8" s="28" customFormat="1" x14ac:dyDescent="0.25">
      <c r="A5143" s="29"/>
      <c r="B5143" s="15"/>
      <c r="C5143" s="19"/>
      <c r="D5143" s="19"/>
      <c r="E5143" s="19"/>
      <c r="F5143" s="19"/>
      <c r="G5143" s="19"/>
      <c r="H5143" s="82"/>
    </row>
    <row r="5144" spans="1:8" s="28" customFormat="1" x14ac:dyDescent="0.25">
      <c r="A5144" s="29"/>
      <c r="B5144" s="15"/>
      <c r="C5144" s="19"/>
      <c r="D5144" s="19"/>
      <c r="E5144" s="19"/>
      <c r="F5144" s="19"/>
      <c r="G5144" s="19"/>
      <c r="H5144" s="82"/>
    </row>
    <row r="5145" spans="1:8" s="28" customFormat="1" x14ac:dyDescent="0.25">
      <c r="A5145" s="29"/>
      <c r="B5145" s="15"/>
      <c r="C5145" s="19"/>
      <c r="D5145" s="19"/>
      <c r="E5145" s="19"/>
      <c r="F5145" s="19"/>
      <c r="G5145" s="19"/>
      <c r="H5145" s="82"/>
    </row>
    <row r="5146" spans="1:8" s="28" customFormat="1" x14ac:dyDescent="0.25">
      <c r="A5146" s="29"/>
      <c r="B5146" s="15"/>
      <c r="C5146" s="19"/>
      <c r="D5146" s="19"/>
      <c r="E5146" s="19"/>
      <c r="F5146" s="19"/>
      <c r="G5146" s="19"/>
      <c r="H5146" s="82"/>
    </row>
    <row r="5147" spans="1:8" s="28" customFormat="1" x14ac:dyDescent="0.25">
      <c r="A5147" s="29"/>
      <c r="B5147" s="15"/>
      <c r="C5147" s="19"/>
      <c r="D5147" s="19"/>
      <c r="E5147" s="19"/>
      <c r="F5147" s="19"/>
      <c r="G5147" s="19"/>
      <c r="H5147" s="82"/>
    </row>
    <row r="5148" spans="1:8" s="28" customFormat="1" x14ac:dyDescent="0.25">
      <c r="A5148" s="29"/>
      <c r="B5148" s="15"/>
      <c r="C5148" s="19"/>
      <c r="D5148" s="19"/>
      <c r="E5148" s="19"/>
      <c r="F5148" s="19"/>
      <c r="G5148" s="19"/>
      <c r="H5148" s="82"/>
    </row>
    <row r="5149" spans="1:8" s="28" customFormat="1" x14ac:dyDescent="0.25">
      <c r="A5149" s="29"/>
      <c r="B5149" s="15"/>
      <c r="C5149" s="19"/>
      <c r="D5149" s="19"/>
      <c r="E5149" s="19"/>
      <c r="F5149" s="19"/>
      <c r="G5149" s="19"/>
      <c r="H5149" s="82"/>
    </row>
    <row r="5150" spans="1:8" s="28" customFormat="1" x14ac:dyDescent="0.25">
      <c r="A5150" s="29"/>
      <c r="B5150" s="15"/>
      <c r="C5150" s="19"/>
      <c r="D5150" s="19"/>
      <c r="E5150" s="19"/>
      <c r="F5150" s="19"/>
      <c r="G5150" s="19"/>
      <c r="H5150" s="82"/>
    </row>
    <row r="5151" spans="1:8" s="28" customFormat="1" x14ac:dyDescent="0.25">
      <c r="A5151" s="29"/>
      <c r="B5151" s="15"/>
      <c r="C5151" s="19"/>
      <c r="D5151" s="19"/>
      <c r="E5151" s="19"/>
      <c r="F5151" s="19"/>
      <c r="G5151" s="19"/>
      <c r="H5151" s="82"/>
    </row>
    <row r="5152" spans="1:8" s="28" customFormat="1" x14ac:dyDescent="0.25">
      <c r="A5152" s="29"/>
      <c r="B5152" s="15"/>
      <c r="C5152" s="19"/>
      <c r="D5152" s="19"/>
      <c r="E5152" s="19"/>
      <c r="F5152" s="19"/>
      <c r="G5152" s="19"/>
      <c r="H5152" s="82"/>
    </row>
    <row r="5153" spans="1:8" s="28" customFormat="1" x14ac:dyDescent="0.25">
      <c r="A5153" s="29"/>
      <c r="B5153" s="15"/>
      <c r="C5153" s="19"/>
      <c r="D5153" s="19"/>
      <c r="E5153" s="19"/>
      <c r="F5153" s="19"/>
      <c r="G5153" s="19"/>
      <c r="H5153" s="82"/>
    </row>
    <row r="5154" spans="1:8" s="28" customFormat="1" x14ac:dyDescent="0.25">
      <c r="A5154" s="29"/>
      <c r="B5154" s="15"/>
      <c r="C5154" s="19"/>
      <c r="D5154" s="19"/>
      <c r="E5154" s="19"/>
      <c r="F5154" s="19"/>
      <c r="G5154" s="19"/>
      <c r="H5154" s="82"/>
    </row>
    <row r="5155" spans="1:8" s="28" customFormat="1" x14ac:dyDescent="0.25">
      <c r="A5155" s="29"/>
      <c r="B5155" s="15"/>
      <c r="C5155" s="19"/>
      <c r="D5155" s="19"/>
      <c r="E5155" s="19"/>
      <c r="F5155" s="19"/>
      <c r="G5155" s="19"/>
      <c r="H5155" s="82"/>
    </row>
    <row r="5156" spans="1:8" s="28" customFormat="1" x14ac:dyDescent="0.25">
      <c r="A5156" s="29"/>
      <c r="B5156" s="15"/>
      <c r="C5156" s="19"/>
      <c r="D5156" s="19"/>
      <c r="E5156" s="19"/>
      <c r="F5156" s="19"/>
      <c r="G5156" s="19"/>
      <c r="H5156" s="82"/>
    </row>
    <row r="5157" spans="1:8" s="28" customFormat="1" x14ac:dyDescent="0.25">
      <c r="A5157" s="29"/>
      <c r="B5157" s="15"/>
      <c r="C5157" s="19"/>
      <c r="D5157" s="19"/>
      <c r="E5157" s="19"/>
      <c r="F5157" s="19"/>
      <c r="G5157" s="19"/>
      <c r="H5157" s="82"/>
    </row>
    <row r="5158" spans="1:8" s="28" customFormat="1" x14ac:dyDescent="0.25">
      <c r="A5158" s="29"/>
      <c r="B5158" s="15"/>
      <c r="C5158" s="19"/>
      <c r="D5158" s="19"/>
      <c r="E5158" s="19"/>
      <c r="F5158" s="19"/>
      <c r="G5158" s="19"/>
      <c r="H5158" s="82"/>
    </row>
    <row r="5159" spans="1:8" s="28" customFormat="1" x14ac:dyDescent="0.25">
      <c r="A5159" s="29"/>
      <c r="B5159" s="15"/>
      <c r="C5159" s="19"/>
      <c r="D5159" s="19"/>
      <c r="E5159" s="19"/>
      <c r="F5159" s="19"/>
      <c r="G5159" s="19"/>
      <c r="H5159" s="82"/>
    </row>
    <row r="5160" spans="1:8" s="28" customFormat="1" x14ac:dyDescent="0.25">
      <c r="A5160" s="29"/>
      <c r="B5160" s="15"/>
      <c r="C5160" s="19"/>
      <c r="D5160" s="19"/>
      <c r="E5160" s="19"/>
      <c r="F5160" s="19"/>
      <c r="G5160" s="19"/>
      <c r="H5160" s="82"/>
    </row>
    <row r="5161" spans="1:8" s="28" customFormat="1" x14ac:dyDescent="0.25">
      <c r="A5161" s="29"/>
      <c r="B5161" s="15"/>
      <c r="C5161" s="19"/>
      <c r="D5161" s="19"/>
      <c r="E5161" s="19"/>
      <c r="F5161" s="19"/>
      <c r="G5161" s="19"/>
      <c r="H5161" s="82"/>
    </row>
    <row r="5162" spans="1:8" s="28" customFormat="1" x14ac:dyDescent="0.25">
      <c r="A5162" s="29"/>
      <c r="B5162" s="15"/>
      <c r="C5162" s="19"/>
      <c r="D5162" s="19"/>
      <c r="E5162" s="19"/>
      <c r="F5162" s="19"/>
      <c r="G5162" s="19"/>
      <c r="H5162" s="82"/>
    </row>
    <row r="5163" spans="1:8" s="28" customFormat="1" x14ac:dyDescent="0.25">
      <c r="A5163" s="29"/>
      <c r="B5163" s="15"/>
      <c r="C5163" s="19"/>
      <c r="D5163" s="19"/>
      <c r="E5163" s="19"/>
      <c r="F5163" s="19"/>
      <c r="G5163" s="19"/>
      <c r="H5163" s="82"/>
    </row>
    <row r="5164" spans="1:8" s="28" customFormat="1" x14ac:dyDescent="0.25">
      <c r="A5164" s="29"/>
      <c r="B5164" s="15"/>
      <c r="C5164" s="19"/>
      <c r="D5164" s="19"/>
      <c r="E5164" s="19"/>
      <c r="F5164" s="19"/>
      <c r="G5164" s="19"/>
      <c r="H5164" s="82"/>
    </row>
    <row r="5165" spans="1:8" s="28" customFormat="1" x14ac:dyDescent="0.25">
      <c r="A5165" s="29"/>
      <c r="B5165" s="15"/>
      <c r="C5165" s="19"/>
      <c r="D5165" s="19"/>
      <c r="E5165" s="19"/>
      <c r="F5165" s="19"/>
      <c r="G5165" s="19"/>
      <c r="H5165" s="82"/>
    </row>
    <row r="5166" spans="1:8" s="28" customFormat="1" x14ac:dyDescent="0.25">
      <c r="A5166" s="29"/>
      <c r="B5166" s="15"/>
      <c r="C5166" s="19"/>
      <c r="D5166" s="19"/>
      <c r="E5166" s="19"/>
      <c r="F5166" s="19"/>
      <c r="G5166" s="19"/>
      <c r="H5166" s="82"/>
    </row>
    <row r="5167" spans="1:8" s="28" customFormat="1" x14ac:dyDescent="0.25">
      <c r="A5167" s="29"/>
      <c r="B5167" s="15"/>
      <c r="C5167" s="19"/>
      <c r="D5167" s="19"/>
      <c r="E5167" s="19"/>
      <c r="F5167" s="19"/>
      <c r="G5167" s="19"/>
      <c r="H5167" s="82"/>
    </row>
    <row r="5168" spans="1:8" s="28" customFormat="1" x14ac:dyDescent="0.25">
      <c r="A5168" s="29"/>
      <c r="B5168" s="15"/>
      <c r="C5168" s="19"/>
      <c r="D5168" s="19"/>
      <c r="E5168" s="19"/>
      <c r="F5168" s="19"/>
      <c r="G5168" s="19"/>
      <c r="H5168" s="82"/>
    </row>
    <row r="5169" spans="1:8" s="28" customFormat="1" x14ac:dyDescent="0.25">
      <c r="A5169" s="29"/>
      <c r="B5169" s="15"/>
      <c r="C5169" s="19"/>
      <c r="D5169" s="19"/>
      <c r="E5169" s="19"/>
      <c r="F5169" s="19"/>
      <c r="G5169" s="19"/>
      <c r="H5169" s="82"/>
    </row>
    <row r="5170" spans="1:8" s="28" customFormat="1" x14ac:dyDescent="0.25">
      <c r="A5170" s="29"/>
      <c r="B5170" s="15"/>
      <c r="C5170" s="19"/>
      <c r="D5170" s="19"/>
      <c r="E5170" s="19"/>
      <c r="F5170" s="19"/>
      <c r="G5170" s="19"/>
      <c r="H5170" s="82"/>
    </row>
    <row r="5171" spans="1:8" s="28" customFormat="1" x14ac:dyDescent="0.25">
      <c r="A5171" s="29"/>
      <c r="B5171" s="15"/>
      <c r="C5171" s="19"/>
      <c r="D5171" s="19"/>
      <c r="E5171" s="19"/>
      <c r="F5171" s="19"/>
      <c r="G5171" s="19"/>
      <c r="H5171" s="82"/>
    </row>
    <row r="5172" spans="1:8" s="28" customFormat="1" x14ac:dyDescent="0.25">
      <c r="A5172" s="29"/>
      <c r="B5172" s="15"/>
      <c r="C5172" s="19"/>
      <c r="D5172" s="19"/>
      <c r="E5172" s="19"/>
      <c r="F5172" s="19"/>
      <c r="G5172" s="19"/>
      <c r="H5172" s="82"/>
    </row>
    <row r="5173" spans="1:8" s="28" customFormat="1" x14ac:dyDescent="0.25">
      <c r="A5173" s="29"/>
      <c r="B5173" s="15"/>
      <c r="C5173" s="19"/>
      <c r="D5173" s="19"/>
      <c r="E5173" s="19"/>
      <c r="F5173" s="19"/>
      <c r="G5173" s="19"/>
      <c r="H5173" s="82"/>
    </row>
    <row r="5174" spans="1:8" s="28" customFormat="1" x14ac:dyDescent="0.25">
      <c r="A5174" s="29"/>
      <c r="B5174" s="15"/>
      <c r="C5174" s="19"/>
      <c r="D5174" s="19"/>
      <c r="E5174" s="19"/>
      <c r="F5174" s="19"/>
      <c r="G5174" s="19"/>
      <c r="H5174" s="82"/>
    </row>
    <row r="5175" spans="1:8" s="28" customFormat="1" x14ac:dyDescent="0.25">
      <c r="A5175" s="29"/>
      <c r="B5175" s="15"/>
      <c r="C5175" s="19"/>
      <c r="D5175" s="19"/>
      <c r="E5175" s="19"/>
      <c r="F5175" s="19"/>
      <c r="G5175" s="19"/>
      <c r="H5175" s="82"/>
    </row>
    <row r="5176" spans="1:8" s="28" customFormat="1" x14ac:dyDescent="0.25">
      <c r="A5176" s="29"/>
      <c r="B5176" s="15"/>
      <c r="C5176" s="19"/>
      <c r="D5176" s="19"/>
      <c r="E5176" s="19"/>
      <c r="F5176" s="19"/>
      <c r="G5176" s="19"/>
      <c r="H5176" s="82"/>
    </row>
    <row r="5177" spans="1:8" s="28" customFormat="1" x14ac:dyDescent="0.25">
      <c r="A5177" s="29"/>
      <c r="B5177" s="15"/>
      <c r="C5177" s="19"/>
      <c r="D5177" s="19"/>
      <c r="E5177" s="19"/>
      <c r="F5177" s="19"/>
      <c r="G5177" s="19"/>
      <c r="H5177" s="82"/>
    </row>
    <row r="5178" spans="1:8" s="28" customFormat="1" x14ac:dyDescent="0.25">
      <c r="A5178" s="29"/>
      <c r="B5178" s="15"/>
      <c r="C5178" s="19"/>
      <c r="D5178" s="19"/>
      <c r="E5178" s="19"/>
      <c r="F5178" s="19"/>
      <c r="G5178" s="19"/>
      <c r="H5178" s="82"/>
    </row>
    <row r="5179" spans="1:8" s="28" customFormat="1" x14ac:dyDescent="0.25">
      <c r="A5179" s="29"/>
      <c r="B5179" s="15"/>
      <c r="C5179" s="19"/>
      <c r="D5179" s="19"/>
      <c r="E5179" s="19"/>
      <c r="F5179" s="19"/>
      <c r="G5179" s="19"/>
      <c r="H5179" s="82"/>
    </row>
    <row r="5180" spans="1:8" s="28" customFormat="1" x14ac:dyDescent="0.25">
      <c r="A5180" s="29"/>
      <c r="B5180" s="15"/>
      <c r="C5180" s="19"/>
      <c r="D5180" s="19"/>
      <c r="E5180" s="19"/>
      <c r="F5180" s="19"/>
      <c r="G5180" s="19"/>
      <c r="H5180" s="82"/>
    </row>
    <row r="5181" spans="1:8" s="28" customFormat="1" x14ac:dyDescent="0.25">
      <c r="A5181" s="29"/>
      <c r="B5181" s="15"/>
      <c r="C5181" s="19"/>
      <c r="D5181" s="19"/>
      <c r="E5181" s="19"/>
      <c r="F5181" s="19"/>
      <c r="G5181" s="19"/>
      <c r="H5181" s="82"/>
    </row>
    <row r="5182" spans="1:8" s="28" customFormat="1" x14ac:dyDescent="0.25">
      <c r="A5182" s="29"/>
      <c r="B5182" s="15"/>
      <c r="C5182" s="19"/>
      <c r="D5182" s="19"/>
      <c r="E5182" s="19"/>
      <c r="F5182" s="19"/>
      <c r="G5182" s="19"/>
      <c r="H5182" s="82"/>
    </row>
    <row r="5183" spans="1:8" s="28" customFormat="1" x14ac:dyDescent="0.25">
      <c r="A5183" s="29"/>
      <c r="B5183" s="15"/>
      <c r="C5183" s="19"/>
      <c r="D5183" s="19"/>
      <c r="E5183" s="19"/>
      <c r="F5183" s="19"/>
      <c r="G5183" s="19"/>
      <c r="H5183" s="82"/>
    </row>
    <row r="5184" spans="1:8" s="28" customFormat="1" x14ac:dyDescent="0.25">
      <c r="A5184" s="29"/>
      <c r="B5184" s="15"/>
      <c r="C5184" s="19"/>
      <c r="D5184" s="19"/>
      <c r="E5184" s="19"/>
      <c r="F5184" s="19"/>
      <c r="G5184" s="19"/>
      <c r="H5184" s="82"/>
    </row>
    <row r="5185" spans="1:8" s="28" customFormat="1" x14ac:dyDescent="0.25">
      <c r="A5185" s="29"/>
      <c r="B5185" s="15"/>
      <c r="C5185" s="19"/>
      <c r="D5185" s="19"/>
      <c r="E5185" s="19"/>
      <c r="F5185" s="19"/>
      <c r="G5185" s="19"/>
      <c r="H5185" s="82"/>
    </row>
    <row r="5186" spans="1:8" s="28" customFormat="1" x14ac:dyDescent="0.25">
      <c r="A5186" s="29"/>
      <c r="B5186" s="15"/>
      <c r="C5186" s="19"/>
      <c r="D5186" s="19"/>
      <c r="E5186" s="19"/>
      <c r="F5186" s="19"/>
      <c r="G5186" s="19"/>
      <c r="H5186" s="82"/>
    </row>
    <row r="5187" spans="1:8" s="28" customFormat="1" x14ac:dyDescent="0.25">
      <c r="A5187" s="29"/>
      <c r="B5187" s="15"/>
      <c r="C5187" s="19"/>
      <c r="D5187" s="19"/>
      <c r="E5187" s="19"/>
      <c r="F5187" s="19"/>
      <c r="G5187" s="19"/>
      <c r="H5187" s="82"/>
    </row>
    <row r="5188" spans="1:8" s="28" customFormat="1" x14ac:dyDescent="0.25">
      <c r="A5188" s="29"/>
      <c r="B5188" s="15"/>
      <c r="C5188" s="19"/>
      <c r="D5188" s="19"/>
      <c r="E5188" s="19"/>
      <c r="F5188" s="19"/>
      <c r="G5188" s="19"/>
      <c r="H5188" s="82"/>
    </row>
    <row r="5189" spans="1:8" s="28" customFormat="1" x14ac:dyDescent="0.25">
      <c r="A5189" s="29"/>
      <c r="B5189" s="15"/>
      <c r="C5189" s="19"/>
      <c r="D5189" s="19"/>
      <c r="E5189" s="19"/>
      <c r="F5189" s="19"/>
      <c r="G5189" s="19"/>
      <c r="H5189" s="82"/>
    </row>
    <row r="5190" spans="1:8" s="28" customFormat="1" x14ac:dyDescent="0.25">
      <c r="A5190" s="29"/>
      <c r="B5190" s="15"/>
      <c r="C5190" s="19"/>
      <c r="D5190" s="19"/>
      <c r="E5190" s="19"/>
      <c r="F5190" s="19"/>
      <c r="G5190" s="19"/>
      <c r="H5190" s="82"/>
    </row>
    <row r="5191" spans="1:8" s="28" customFormat="1" x14ac:dyDescent="0.25">
      <c r="A5191" s="29"/>
      <c r="B5191" s="15"/>
      <c r="C5191" s="19"/>
      <c r="D5191" s="19"/>
      <c r="E5191" s="19"/>
      <c r="F5191" s="19"/>
      <c r="G5191" s="19"/>
      <c r="H5191" s="82"/>
    </row>
    <row r="5192" spans="1:8" s="28" customFormat="1" x14ac:dyDescent="0.25">
      <c r="A5192" s="29"/>
      <c r="B5192" s="15"/>
      <c r="C5192" s="19"/>
      <c r="D5192" s="19"/>
      <c r="E5192" s="19"/>
      <c r="F5192" s="19"/>
      <c r="G5192" s="19"/>
      <c r="H5192" s="82"/>
    </row>
    <row r="5193" spans="1:8" s="28" customFormat="1" x14ac:dyDescent="0.25">
      <c r="A5193" s="29"/>
      <c r="B5193" s="15"/>
      <c r="C5193" s="19"/>
      <c r="D5193" s="19"/>
      <c r="E5193" s="19"/>
      <c r="F5193" s="19"/>
      <c r="G5193" s="19"/>
      <c r="H5193" s="82"/>
    </row>
    <row r="5194" spans="1:8" s="28" customFormat="1" x14ac:dyDescent="0.25">
      <c r="A5194" s="29"/>
      <c r="B5194" s="15"/>
      <c r="C5194" s="19"/>
      <c r="D5194" s="19"/>
      <c r="E5194" s="19"/>
      <c r="F5194" s="19"/>
      <c r="G5194" s="19"/>
      <c r="H5194" s="82"/>
    </row>
    <row r="5195" spans="1:8" s="28" customFormat="1" x14ac:dyDescent="0.25">
      <c r="A5195" s="29"/>
      <c r="B5195" s="15"/>
      <c r="C5195" s="19"/>
      <c r="D5195" s="19"/>
      <c r="E5195" s="19"/>
      <c r="F5195" s="19"/>
      <c r="G5195" s="19"/>
      <c r="H5195" s="82"/>
    </row>
    <row r="5196" spans="1:8" s="28" customFormat="1" x14ac:dyDescent="0.25">
      <c r="A5196" s="29"/>
      <c r="B5196" s="15"/>
      <c r="C5196" s="19"/>
      <c r="D5196" s="19"/>
      <c r="E5196" s="19"/>
      <c r="F5196" s="19"/>
      <c r="G5196" s="19"/>
      <c r="H5196" s="82"/>
    </row>
    <row r="5197" spans="1:8" s="28" customFormat="1" x14ac:dyDescent="0.25">
      <c r="A5197" s="29"/>
      <c r="B5197" s="15"/>
      <c r="C5197" s="19"/>
      <c r="D5197" s="19"/>
      <c r="E5197" s="19"/>
      <c r="F5197" s="19"/>
      <c r="G5197" s="19"/>
      <c r="H5197" s="82"/>
    </row>
    <row r="5198" spans="1:8" s="28" customFormat="1" x14ac:dyDescent="0.25">
      <c r="A5198" s="29"/>
      <c r="B5198" s="15"/>
      <c r="C5198" s="19"/>
      <c r="D5198" s="19"/>
      <c r="E5198" s="19"/>
      <c r="F5198" s="19"/>
      <c r="G5198" s="19"/>
      <c r="H5198" s="82"/>
    </row>
    <row r="5199" spans="1:8" s="28" customFormat="1" x14ac:dyDescent="0.25">
      <c r="A5199" s="29"/>
      <c r="B5199" s="15"/>
      <c r="C5199" s="19"/>
      <c r="D5199" s="19"/>
      <c r="E5199" s="19"/>
      <c r="F5199" s="19"/>
      <c r="G5199" s="19"/>
      <c r="H5199" s="82"/>
    </row>
    <row r="5200" spans="1:8" s="28" customFormat="1" x14ac:dyDescent="0.25">
      <c r="A5200" s="29"/>
      <c r="B5200" s="15"/>
      <c r="C5200" s="19"/>
      <c r="D5200" s="19"/>
      <c r="E5200" s="19"/>
      <c r="F5200" s="19"/>
      <c r="G5200" s="19"/>
      <c r="H5200" s="82"/>
    </row>
    <row r="5201" spans="1:8" s="28" customFormat="1" x14ac:dyDescent="0.25">
      <c r="A5201" s="29"/>
      <c r="B5201" s="15"/>
      <c r="C5201" s="19"/>
      <c r="D5201" s="19"/>
      <c r="E5201" s="19"/>
      <c r="F5201" s="19"/>
      <c r="G5201" s="19"/>
      <c r="H5201" s="82"/>
    </row>
    <row r="5202" spans="1:8" s="28" customFormat="1" x14ac:dyDescent="0.25">
      <c r="A5202" s="29"/>
      <c r="B5202" s="15"/>
      <c r="C5202" s="19"/>
      <c r="D5202" s="19"/>
      <c r="E5202" s="19"/>
      <c r="F5202" s="19"/>
      <c r="G5202" s="19"/>
      <c r="H5202" s="82"/>
    </row>
    <row r="5203" spans="1:8" s="28" customFormat="1" x14ac:dyDescent="0.25">
      <c r="A5203" s="29"/>
      <c r="B5203" s="15"/>
      <c r="C5203" s="19"/>
      <c r="D5203" s="19"/>
      <c r="E5203" s="19"/>
      <c r="F5203" s="19"/>
      <c r="G5203" s="19"/>
      <c r="H5203" s="82"/>
    </row>
    <row r="5204" spans="1:8" s="28" customFormat="1" x14ac:dyDescent="0.25">
      <c r="A5204" s="29"/>
      <c r="B5204" s="15"/>
      <c r="C5204" s="19"/>
      <c r="D5204" s="19"/>
      <c r="E5204" s="19"/>
      <c r="F5204" s="19"/>
      <c r="G5204" s="19"/>
      <c r="H5204" s="82"/>
    </row>
    <row r="5205" spans="1:8" s="28" customFormat="1" x14ac:dyDescent="0.25">
      <c r="A5205" s="29"/>
      <c r="B5205" s="15"/>
      <c r="C5205" s="19"/>
      <c r="D5205" s="19"/>
      <c r="E5205" s="19"/>
      <c r="F5205" s="19"/>
      <c r="G5205" s="19"/>
      <c r="H5205" s="82"/>
    </row>
    <row r="5206" spans="1:8" s="28" customFormat="1" x14ac:dyDescent="0.25">
      <c r="A5206" s="29"/>
      <c r="B5206" s="15"/>
      <c r="C5206" s="19"/>
      <c r="D5206" s="19"/>
      <c r="E5206" s="19"/>
      <c r="F5206" s="19"/>
      <c r="G5206" s="19"/>
      <c r="H5206" s="82"/>
    </row>
    <row r="5207" spans="1:8" s="28" customFormat="1" x14ac:dyDescent="0.25">
      <c r="A5207" s="29"/>
      <c r="B5207" s="15"/>
      <c r="C5207" s="19"/>
      <c r="D5207" s="19"/>
      <c r="E5207" s="19"/>
      <c r="F5207" s="19"/>
      <c r="G5207" s="19"/>
      <c r="H5207" s="82"/>
    </row>
    <row r="5208" spans="1:8" s="28" customFormat="1" x14ac:dyDescent="0.25">
      <c r="A5208" s="29"/>
      <c r="B5208" s="15"/>
      <c r="C5208" s="19"/>
      <c r="D5208" s="19"/>
      <c r="E5208" s="19"/>
      <c r="F5208" s="19"/>
      <c r="G5208" s="19"/>
      <c r="H5208" s="82"/>
    </row>
    <row r="5209" spans="1:8" s="28" customFormat="1" x14ac:dyDescent="0.25">
      <c r="A5209" s="29"/>
      <c r="B5209" s="15"/>
      <c r="C5209" s="19"/>
      <c r="D5209" s="19"/>
      <c r="E5209" s="19"/>
      <c r="F5209" s="19"/>
      <c r="G5209" s="19"/>
      <c r="H5209" s="82"/>
    </row>
    <row r="5210" spans="1:8" s="28" customFormat="1" x14ac:dyDescent="0.25">
      <c r="A5210" s="29"/>
      <c r="B5210" s="15"/>
      <c r="C5210" s="19"/>
      <c r="D5210" s="19"/>
      <c r="E5210" s="19"/>
      <c r="F5210" s="19"/>
      <c r="G5210" s="19"/>
      <c r="H5210" s="82"/>
    </row>
    <row r="5211" spans="1:8" s="28" customFormat="1" x14ac:dyDescent="0.25">
      <c r="A5211" s="29"/>
      <c r="B5211" s="15"/>
      <c r="C5211" s="19"/>
      <c r="D5211" s="19"/>
      <c r="E5211" s="19"/>
      <c r="F5211" s="19"/>
      <c r="G5211" s="19"/>
      <c r="H5211" s="82"/>
    </row>
    <row r="5212" spans="1:8" s="28" customFormat="1" x14ac:dyDescent="0.25">
      <c r="A5212" s="29"/>
      <c r="B5212" s="15"/>
      <c r="C5212" s="19"/>
      <c r="D5212" s="19"/>
      <c r="E5212" s="19"/>
      <c r="F5212" s="19"/>
      <c r="G5212" s="19"/>
      <c r="H5212" s="82"/>
    </row>
    <row r="5213" spans="1:8" s="28" customFormat="1" x14ac:dyDescent="0.25">
      <c r="A5213" s="29"/>
      <c r="B5213" s="15"/>
      <c r="C5213" s="19"/>
      <c r="D5213" s="19"/>
      <c r="E5213" s="19"/>
      <c r="F5213" s="19"/>
      <c r="G5213" s="19"/>
      <c r="H5213" s="82"/>
    </row>
    <row r="5214" spans="1:8" s="28" customFormat="1" x14ac:dyDescent="0.25">
      <c r="A5214" s="29"/>
      <c r="B5214" s="15"/>
      <c r="C5214" s="19"/>
      <c r="D5214" s="19"/>
      <c r="E5214" s="19"/>
      <c r="F5214" s="19"/>
      <c r="G5214" s="19"/>
      <c r="H5214" s="82"/>
    </row>
    <row r="5215" spans="1:8" s="28" customFormat="1" x14ac:dyDescent="0.25">
      <c r="A5215" s="29"/>
      <c r="B5215" s="15"/>
      <c r="C5215" s="19"/>
      <c r="D5215" s="19"/>
      <c r="E5215" s="19"/>
      <c r="F5215" s="19"/>
      <c r="G5215" s="19"/>
      <c r="H5215" s="82"/>
    </row>
    <row r="5216" spans="1:8" s="28" customFormat="1" x14ac:dyDescent="0.25">
      <c r="A5216" s="29"/>
      <c r="B5216" s="15"/>
      <c r="C5216" s="19"/>
      <c r="D5216" s="19"/>
      <c r="E5216" s="19"/>
      <c r="F5216" s="19"/>
      <c r="G5216" s="19"/>
      <c r="H5216" s="82"/>
    </row>
    <row r="5217" spans="1:8" s="28" customFormat="1" x14ac:dyDescent="0.25">
      <c r="A5217" s="29"/>
      <c r="B5217" s="15"/>
      <c r="C5217" s="19"/>
      <c r="D5217" s="19"/>
      <c r="E5217" s="19"/>
      <c r="F5217" s="19"/>
      <c r="G5217" s="19"/>
      <c r="H5217" s="82"/>
    </row>
    <row r="5218" spans="1:8" s="28" customFormat="1" x14ac:dyDescent="0.25">
      <c r="A5218" s="29"/>
      <c r="B5218" s="15"/>
      <c r="C5218" s="19"/>
      <c r="D5218" s="19"/>
      <c r="E5218" s="19"/>
      <c r="F5218" s="19"/>
      <c r="G5218" s="19"/>
      <c r="H5218" s="82"/>
    </row>
    <row r="5219" spans="1:8" s="28" customFormat="1" x14ac:dyDescent="0.25">
      <c r="A5219" s="29"/>
      <c r="B5219" s="15"/>
      <c r="C5219" s="19"/>
      <c r="D5219" s="19"/>
      <c r="E5219" s="19"/>
      <c r="F5219" s="19"/>
      <c r="G5219" s="19"/>
      <c r="H5219" s="82"/>
    </row>
    <row r="5220" spans="1:8" s="28" customFormat="1" x14ac:dyDescent="0.25">
      <c r="A5220" s="29"/>
      <c r="B5220" s="15"/>
      <c r="C5220" s="19"/>
      <c r="D5220" s="19"/>
      <c r="E5220" s="19"/>
      <c r="F5220" s="19"/>
      <c r="G5220" s="19"/>
      <c r="H5220" s="82"/>
    </row>
    <row r="5221" spans="1:8" s="28" customFormat="1" x14ac:dyDescent="0.25">
      <c r="A5221" s="29"/>
      <c r="B5221" s="15"/>
      <c r="C5221" s="19"/>
      <c r="D5221" s="19"/>
      <c r="E5221" s="19"/>
      <c r="F5221" s="19"/>
      <c r="G5221" s="19"/>
      <c r="H5221" s="82"/>
    </row>
    <row r="5222" spans="1:8" s="28" customFormat="1" x14ac:dyDescent="0.25">
      <c r="A5222" s="29"/>
      <c r="B5222" s="15"/>
      <c r="C5222" s="19"/>
      <c r="D5222" s="19"/>
      <c r="E5222" s="19"/>
      <c r="F5222" s="19"/>
      <c r="G5222" s="19"/>
      <c r="H5222" s="82"/>
    </row>
    <row r="5223" spans="1:8" s="28" customFormat="1" x14ac:dyDescent="0.25">
      <c r="A5223" s="29"/>
      <c r="B5223" s="15"/>
      <c r="C5223" s="19"/>
      <c r="D5223" s="19"/>
      <c r="E5223" s="19"/>
      <c r="F5223" s="19"/>
      <c r="G5223" s="19"/>
      <c r="H5223" s="82"/>
    </row>
    <row r="5224" spans="1:8" s="28" customFormat="1" x14ac:dyDescent="0.25">
      <c r="A5224" s="29"/>
      <c r="B5224" s="15"/>
      <c r="C5224" s="19"/>
      <c r="D5224" s="19"/>
      <c r="E5224" s="19"/>
      <c r="F5224" s="19"/>
      <c r="G5224" s="19"/>
      <c r="H5224" s="82"/>
    </row>
    <row r="5225" spans="1:8" s="28" customFormat="1" x14ac:dyDescent="0.25">
      <c r="A5225" s="29"/>
      <c r="B5225" s="15"/>
      <c r="C5225" s="19"/>
      <c r="D5225" s="19"/>
      <c r="E5225" s="19"/>
      <c r="F5225" s="19"/>
      <c r="G5225" s="19"/>
      <c r="H5225" s="82"/>
    </row>
    <row r="5226" spans="1:8" s="28" customFormat="1" x14ac:dyDescent="0.25">
      <c r="A5226" s="29"/>
      <c r="B5226" s="15"/>
      <c r="C5226" s="19"/>
      <c r="D5226" s="19"/>
      <c r="E5226" s="19"/>
      <c r="F5226" s="19"/>
      <c r="G5226" s="19"/>
      <c r="H5226" s="82"/>
    </row>
    <row r="5227" spans="1:8" s="28" customFormat="1" x14ac:dyDescent="0.25">
      <c r="A5227" s="29"/>
      <c r="B5227" s="15"/>
      <c r="C5227" s="19"/>
      <c r="D5227" s="19"/>
      <c r="E5227" s="19"/>
      <c r="F5227" s="19"/>
      <c r="G5227" s="19"/>
      <c r="H5227" s="82"/>
    </row>
    <row r="5228" spans="1:8" s="28" customFormat="1" x14ac:dyDescent="0.25">
      <c r="A5228" s="29"/>
      <c r="B5228" s="15"/>
      <c r="C5228" s="19"/>
      <c r="D5228" s="19"/>
      <c r="E5228" s="19"/>
      <c r="F5228" s="19"/>
      <c r="G5228" s="19"/>
      <c r="H5228" s="82"/>
    </row>
    <row r="5229" spans="1:8" s="28" customFormat="1" x14ac:dyDescent="0.25">
      <c r="A5229" s="29"/>
      <c r="B5229" s="15"/>
      <c r="C5229" s="19"/>
      <c r="D5229" s="19"/>
      <c r="E5229" s="19"/>
      <c r="F5229" s="19"/>
      <c r="G5229" s="19"/>
      <c r="H5229" s="82"/>
    </row>
    <row r="5230" spans="1:8" s="28" customFormat="1" x14ac:dyDescent="0.25">
      <c r="A5230" s="29"/>
      <c r="B5230" s="15"/>
      <c r="C5230" s="19"/>
      <c r="D5230" s="19"/>
      <c r="E5230" s="19"/>
      <c r="F5230" s="19"/>
      <c r="G5230" s="19"/>
      <c r="H5230" s="82"/>
    </row>
    <row r="5231" spans="1:8" s="28" customFormat="1" x14ac:dyDescent="0.25">
      <c r="A5231" s="29"/>
      <c r="B5231" s="15"/>
      <c r="C5231" s="19"/>
      <c r="D5231" s="19"/>
      <c r="E5231" s="19"/>
      <c r="F5231" s="19"/>
      <c r="G5231" s="19"/>
      <c r="H5231" s="82"/>
    </row>
    <row r="5232" spans="1:8" s="28" customFormat="1" x14ac:dyDescent="0.25">
      <c r="A5232" s="29"/>
      <c r="B5232" s="15"/>
      <c r="C5232" s="19"/>
      <c r="D5232" s="19"/>
      <c r="E5232" s="19"/>
      <c r="F5232" s="19"/>
      <c r="G5232" s="19"/>
      <c r="H5232" s="82"/>
    </row>
    <row r="5233" spans="1:8" s="28" customFormat="1" x14ac:dyDescent="0.25">
      <c r="A5233" s="29"/>
      <c r="B5233" s="15"/>
      <c r="C5233" s="19"/>
      <c r="D5233" s="19"/>
      <c r="E5233" s="19"/>
      <c r="F5233" s="19"/>
      <c r="G5233" s="19"/>
      <c r="H5233" s="82"/>
    </row>
    <row r="5234" spans="1:8" s="28" customFormat="1" x14ac:dyDescent="0.25">
      <c r="A5234" s="29"/>
      <c r="B5234" s="15"/>
      <c r="C5234" s="19"/>
      <c r="D5234" s="19"/>
      <c r="E5234" s="19"/>
      <c r="F5234" s="19"/>
      <c r="G5234" s="19"/>
      <c r="H5234" s="82"/>
    </row>
    <row r="5235" spans="1:8" s="28" customFormat="1" x14ac:dyDescent="0.25">
      <c r="A5235" s="29"/>
      <c r="B5235" s="15"/>
      <c r="C5235" s="19"/>
      <c r="D5235" s="19"/>
      <c r="E5235" s="19"/>
      <c r="F5235" s="19"/>
      <c r="G5235" s="19"/>
      <c r="H5235" s="82"/>
    </row>
    <row r="5236" spans="1:8" s="28" customFormat="1" x14ac:dyDescent="0.25">
      <c r="A5236" s="29"/>
      <c r="B5236" s="15"/>
      <c r="C5236" s="19"/>
      <c r="D5236" s="19"/>
      <c r="E5236" s="19"/>
      <c r="F5236" s="19"/>
      <c r="G5236" s="19"/>
      <c r="H5236" s="82"/>
    </row>
    <row r="5237" spans="1:8" s="28" customFormat="1" x14ac:dyDescent="0.25">
      <c r="A5237" s="29"/>
      <c r="B5237" s="15"/>
      <c r="C5237" s="19"/>
      <c r="D5237" s="19"/>
      <c r="E5237" s="19"/>
      <c r="F5237" s="19"/>
      <c r="G5237" s="19"/>
      <c r="H5237" s="82"/>
    </row>
    <row r="5238" spans="1:8" s="28" customFormat="1" x14ac:dyDescent="0.25">
      <c r="A5238" s="29"/>
      <c r="B5238" s="15"/>
      <c r="C5238" s="19"/>
      <c r="D5238" s="19"/>
      <c r="E5238" s="19"/>
      <c r="F5238" s="19"/>
      <c r="G5238" s="19"/>
      <c r="H5238" s="82"/>
    </row>
    <row r="5239" spans="1:8" s="28" customFormat="1" x14ac:dyDescent="0.25">
      <c r="A5239" s="29"/>
      <c r="B5239" s="15"/>
      <c r="C5239" s="19"/>
      <c r="D5239" s="19"/>
      <c r="E5239" s="19"/>
      <c r="F5239" s="19"/>
      <c r="G5239" s="19"/>
      <c r="H5239" s="82"/>
    </row>
    <row r="5240" spans="1:8" s="28" customFormat="1" x14ac:dyDescent="0.25">
      <c r="A5240" s="29"/>
      <c r="B5240" s="15"/>
      <c r="C5240" s="19"/>
      <c r="D5240" s="19"/>
      <c r="E5240" s="19"/>
      <c r="F5240" s="19"/>
      <c r="G5240" s="19"/>
      <c r="H5240" s="82"/>
    </row>
    <row r="5241" spans="1:8" s="28" customFormat="1" x14ac:dyDescent="0.25">
      <c r="A5241" s="29"/>
      <c r="B5241" s="15"/>
      <c r="C5241" s="19"/>
      <c r="D5241" s="19"/>
      <c r="E5241" s="19"/>
      <c r="F5241" s="19"/>
      <c r="G5241" s="19"/>
      <c r="H5241" s="82"/>
    </row>
    <row r="5242" spans="1:8" s="28" customFormat="1" x14ac:dyDescent="0.25">
      <c r="A5242" s="29"/>
      <c r="B5242" s="15"/>
      <c r="C5242" s="19"/>
      <c r="D5242" s="19"/>
      <c r="E5242" s="19"/>
      <c r="F5242" s="19"/>
      <c r="G5242" s="19"/>
      <c r="H5242" s="82"/>
    </row>
    <row r="5243" spans="1:8" s="28" customFormat="1" x14ac:dyDescent="0.25">
      <c r="A5243" s="29"/>
      <c r="B5243" s="15"/>
      <c r="C5243" s="19"/>
      <c r="D5243" s="19"/>
      <c r="E5243" s="19"/>
      <c r="F5243" s="19"/>
      <c r="G5243" s="19"/>
      <c r="H5243" s="82"/>
    </row>
    <row r="5244" spans="1:8" s="28" customFormat="1" x14ac:dyDescent="0.25">
      <c r="A5244" s="29"/>
      <c r="B5244" s="15"/>
      <c r="C5244" s="19"/>
      <c r="D5244" s="19"/>
      <c r="E5244" s="19"/>
      <c r="F5244" s="19"/>
      <c r="G5244" s="19"/>
      <c r="H5244" s="82"/>
    </row>
    <row r="5245" spans="1:8" s="28" customFormat="1" x14ac:dyDescent="0.25">
      <c r="A5245" s="29"/>
      <c r="B5245" s="15"/>
      <c r="C5245" s="19"/>
      <c r="D5245" s="19"/>
      <c r="E5245" s="19"/>
      <c r="F5245" s="19"/>
      <c r="G5245" s="19"/>
      <c r="H5245" s="82"/>
    </row>
    <row r="5246" spans="1:8" s="28" customFormat="1" x14ac:dyDescent="0.25">
      <c r="A5246" s="29"/>
      <c r="B5246" s="15"/>
      <c r="C5246" s="19"/>
      <c r="D5246" s="19"/>
      <c r="E5246" s="19"/>
      <c r="F5246" s="19"/>
      <c r="G5246" s="19"/>
      <c r="H5246" s="82"/>
    </row>
    <row r="5247" spans="1:8" s="28" customFormat="1" x14ac:dyDescent="0.25">
      <c r="A5247" s="29"/>
      <c r="B5247" s="15"/>
      <c r="C5247" s="19"/>
      <c r="D5247" s="19"/>
      <c r="E5247" s="19"/>
      <c r="F5247" s="19"/>
      <c r="G5247" s="19"/>
      <c r="H5247" s="82"/>
    </row>
    <row r="5248" spans="1:8" s="28" customFormat="1" x14ac:dyDescent="0.25">
      <c r="A5248" s="29"/>
      <c r="B5248" s="15"/>
      <c r="C5248" s="19"/>
      <c r="D5248" s="19"/>
      <c r="E5248" s="19"/>
      <c r="F5248" s="19"/>
      <c r="G5248" s="19"/>
      <c r="H5248" s="82"/>
    </row>
    <row r="5249" spans="1:8" s="28" customFormat="1" x14ac:dyDescent="0.25">
      <c r="A5249" s="29"/>
      <c r="B5249" s="15"/>
      <c r="C5249" s="19"/>
      <c r="D5249" s="19"/>
      <c r="E5249" s="19"/>
      <c r="F5249" s="19"/>
      <c r="G5249" s="19"/>
      <c r="H5249" s="82"/>
    </row>
    <row r="5250" spans="1:8" s="28" customFormat="1" x14ac:dyDescent="0.25">
      <c r="A5250" s="29"/>
      <c r="B5250" s="15"/>
      <c r="C5250" s="19"/>
      <c r="D5250" s="19"/>
      <c r="E5250" s="19"/>
      <c r="F5250" s="19"/>
      <c r="G5250" s="19"/>
      <c r="H5250" s="82"/>
    </row>
    <row r="5251" spans="1:8" s="28" customFormat="1" x14ac:dyDescent="0.25">
      <c r="A5251" s="29"/>
      <c r="B5251" s="15"/>
      <c r="C5251" s="19"/>
      <c r="D5251" s="19"/>
      <c r="E5251" s="19"/>
      <c r="F5251" s="19"/>
      <c r="G5251" s="19"/>
      <c r="H5251" s="82"/>
    </row>
    <row r="5252" spans="1:8" s="28" customFormat="1" x14ac:dyDescent="0.25">
      <c r="A5252" s="29"/>
      <c r="B5252" s="15"/>
      <c r="C5252" s="19"/>
      <c r="D5252" s="19"/>
      <c r="E5252" s="19"/>
      <c r="F5252" s="19"/>
      <c r="G5252" s="19"/>
      <c r="H5252" s="82"/>
    </row>
    <row r="5253" spans="1:8" s="28" customFormat="1" x14ac:dyDescent="0.25">
      <c r="A5253" s="29"/>
      <c r="B5253" s="15"/>
      <c r="C5253" s="19"/>
      <c r="D5253" s="19"/>
      <c r="E5253" s="19"/>
      <c r="F5253" s="19"/>
      <c r="G5253" s="19"/>
      <c r="H5253" s="82"/>
    </row>
    <row r="5254" spans="1:8" s="28" customFormat="1" x14ac:dyDescent="0.25">
      <c r="A5254" s="29"/>
      <c r="B5254" s="15"/>
      <c r="C5254" s="19"/>
      <c r="D5254" s="19"/>
      <c r="E5254" s="19"/>
      <c r="F5254" s="19"/>
      <c r="G5254" s="19"/>
      <c r="H5254" s="82"/>
    </row>
    <row r="5255" spans="1:8" s="28" customFormat="1" x14ac:dyDescent="0.25">
      <c r="A5255" s="29"/>
      <c r="B5255" s="15"/>
      <c r="C5255" s="19"/>
      <c r="D5255" s="19"/>
      <c r="E5255" s="19"/>
      <c r="F5255" s="19"/>
      <c r="G5255" s="19"/>
      <c r="H5255" s="82"/>
    </row>
    <row r="5256" spans="1:8" s="28" customFormat="1" x14ac:dyDescent="0.25">
      <c r="A5256" s="29"/>
      <c r="B5256" s="15"/>
      <c r="C5256" s="19"/>
      <c r="D5256" s="19"/>
      <c r="E5256" s="19"/>
      <c r="F5256" s="19"/>
      <c r="G5256" s="19"/>
      <c r="H5256" s="82"/>
    </row>
    <row r="5257" spans="1:8" s="28" customFormat="1" x14ac:dyDescent="0.25">
      <c r="A5257" s="29"/>
      <c r="B5257" s="15"/>
      <c r="C5257" s="19"/>
      <c r="D5257" s="19"/>
      <c r="E5257" s="19"/>
      <c r="F5257" s="19"/>
      <c r="G5257" s="19"/>
      <c r="H5257" s="82"/>
    </row>
    <row r="5258" spans="1:8" s="28" customFormat="1" x14ac:dyDescent="0.25">
      <c r="A5258" s="29"/>
      <c r="B5258" s="15"/>
      <c r="C5258" s="19"/>
      <c r="D5258" s="19"/>
      <c r="E5258" s="19"/>
      <c r="F5258" s="19"/>
      <c r="G5258" s="19"/>
      <c r="H5258" s="82"/>
    </row>
    <row r="5259" spans="1:8" s="28" customFormat="1" x14ac:dyDescent="0.25">
      <c r="A5259" s="29"/>
      <c r="B5259" s="15"/>
      <c r="C5259" s="19"/>
      <c r="D5259" s="19"/>
      <c r="E5259" s="19"/>
      <c r="F5259" s="19"/>
      <c r="G5259" s="19"/>
      <c r="H5259" s="82"/>
    </row>
    <row r="5260" spans="1:8" s="28" customFormat="1" x14ac:dyDescent="0.25">
      <c r="A5260" s="29"/>
      <c r="B5260" s="15"/>
      <c r="C5260" s="19"/>
      <c r="D5260" s="19"/>
      <c r="E5260" s="19"/>
      <c r="F5260" s="19"/>
      <c r="G5260" s="19"/>
      <c r="H5260" s="82"/>
    </row>
    <row r="5261" spans="1:8" s="28" customFormat="1" x14ac:dyDescent="0.25">
      <c r="A5261" s="29"/>
      <c r="B5261" s="15"/>
      <c r="C5261" s="19"/>
      <c r="D5261" s="19"/>
      <c r="E5261" s="19"/>
      <c r="F5261" s="19"/>
      <c r="G5261" s="19"/>
      <c r="H5261" s="82"/>
    </row>
    <row r="5262" spans="1:8" s="28" customFormat="1" x14ac:dyDescent="0.25">
      <c r="A5262" s="29"/>
      <c r="B5262" s="15"/>
      <c r="C5262" s="19"/>
      <c r="D5262" s="19"/>
      <c r="E5262" s="19"/>
      <c r="F5262" s="19"/>
      <c r="G5262" s="19"/>
      <c r="H5262" s="82"/>
    </row>
    <row r="5263" spans="1:8" s="28" customFormat="1" x14ac:dyDescent="0.25">
      <c r="A5263" s="29"/>
      <c r="B5263" s="15"/>
      <c r="C5263" s="19"/>
      <c r="D5263" s="19"/>
      <c r="E5263" s="19"/>
      <c r="F5263" s="19"/>
      <c r="G5263" s="19"/>
      <c r="H5263" s="82"/>
    </row>
    <row r="5264" spans="1:8" s="28" customFormat="1" x14ac:dyDescent="0.25">
      <c r="A5264" s="29"/>
      <c r="B5264" s="15"/>
      <c r="C5264" s="19"/>
      <c r="D5264" s="19"/>
      <c r="E5264" s="19"/>
      <c r="F5264" s="19"/>
      <c r="G5264" s="19"/>
      <c r="H5264" s="82"/>
    </row>
    <row r="5265" spans="1:8" s="28" customFormat="1" x14ac:dyDescent="0.25">
      <c r="A5265" s="29"/>
      <c r="B5265" s="15"/>
      <c r="C5265" s="19"/>
      <c r="D5265" s="19"/>
      <c r="E5265" s="19"/>
      <c r="F5265" s="19"/>
      <c r="G5265" s="19"/>
      <c r="H5265" s="82"/>
    </row>
    <row r="5266" spans="1:8" s="28" customFormat="1" x14ac:dyDescent="0.25">
      <c r="A5266" s="29"/>
      <c r="B5266" s="15"/>
      <c r="C5266" s="19"/>
      <c r="D5266" s="19"/>
      <c r="E5266" s="19"/>
      <c r="F5266" s="19"/>
      <c r="G5266" s="19"/>
      <c r="H5266" s="82"/>
    </row>
    <row r="5267" spans="1:8" s="28" customFormat="1" x14ac:dyDescent="0.25">
      <c r="A5267" s="29"/>
      <c r="B5267" s="15"/>
      <c r="C5267" s="19"/>
      <c r="D5267" s="19"/>
      <c r="E5267" s="19"/>
      <c r="F5267" s="19"/>
      <c r="G5267" s="19"/>
      <c r="H5267" s="82"/>
    </row>
    <row r="5268" spans="1:8" s="28" customFormat="1" x14ac:dyDescent="0.25">
      <c r="A5268" s="29"/>
      <c r="B5268" s="15"/>
      <c r="C5268" s="19"/>
      <c r="D5268" s="19"/>
      <c r="E5268" s="19"/>
      <c r="F5268" s="19"/>
      <c r="G5268" s="19"/>
      <c r="H5268" s="82"/>
    </row>
    <row r="5269" spans="1:8" s="28" customFormat="1" x14ac:dyDescent="0.25">
      <c r="A5269" s="29"/>
      <c r="B5269" s="15"/>
      <c r="C5269" s="19"/>
      <c r="D5269" s="19"/>
      <c r="E5269" s="19"/>
      <c r="F5269" s="19"/>
      <c r="G5269" s="19"/>
      <c r="H5269" s="82"/>
    </row>
    <row r="5270" spans="1:8" s="28" customFormat="1" x14ac:dyDescent="0.25">
      <c r="A5270" s="29"/>
      <c r="B5270" s="15"/>
      <c r="C5270" s="19"/>
      <c r="D5270" s="19"/>
      <c r="E5270" s="19"/>
      <c r="F5270" s="19"/>
      <c r="G5270" s="19"/>
      <c r="H5270" s="82"/>
    </row>
    <row r="5271" spans="1:8" s="28" customFormat="1" x14ac:dyDescent="0.25">
      <c r="A5271" s="29"/>
      <c r="B5271" s="15"/>
      <c r="C5271" s="19"/>
      <c r="D5271" s="19"/>
      <c r="E5271" s="19"/>
      <c r="F5271" s="19"/>
      <c r="G5271" s="19"/>
      <c r="H5271" s="82"/>
    </row>
    <row r="5272" spans="1:8" s="28" customFormat="1" x14ac:dyDescent="0.25">
      <c r="A5272" s="29"/>
      <c r="B5272" s="15"/>
      <c r="C5272" s="19"/>
      <c r="D5272" s="19"/>
      <c r="E5272" s="19"/>
      <c r="F5272" s="19"/>
      <c r="G5272" s="19"/>
      <c r="H5272" s="82"/>
    </row>
    <row r="5273" spans="1:8" s="28" customFormat="1" x14ac:dyDescent="0.25">
      <c r="A5273" s="29"/>
      <c r="B5273" s="15"/>
      <c r="C5273" s="19"/>
      <c r="D5273" s="19"/>
      <c r="E5273" s="19"/>
      <c r="F5273" s="19"/>
      <c r="G5273" s="19"/>
      <c r="H5273" s="82"/>
    </row>
    <row r="5274" spans="1:8" s="28" customFormat="1" x14ac:dyDescent="0.25">
      <c r="A5274" s="29"/>
      <c r="B5274" s="15"/>
      <c r="C5274" s="19"/>
      <c r="D5274" s="19"/>
      <c r="E5274" s="19"/>
      <c r="F5274" s="19"/>
      <c r="G5274" s="19"/>
      <c r="H5274" s="82"/>
    </row>
    <row r="5275" spans="1:8" s="28" customFormat="1" x14ac:dyDescent="0.25">
      <c r="A5275" s="29"/>
      <c r="B5275" s="15"/>
      <c r="C5275" s="19"/>
      <c r="D5275" s="19"/>
      <c r="E5275" s="19"/>
      <c r="F5275" s="19"/>
      <c r="G5275" s="19"/>
      <c r="H5275" s="82"/>
    </row>
    <row r="5276" spans="1:8" s="28" customFormat="1" x14ac:dyDescent="0.25">
      <c r="A5276" s="29"/>
      <c r="B5276" s="15"/>
      <c r="C5276" s="19"/>
      <c r="D5276" s="19"/>
      <c r="E5276" s="19"/>
      <c r="F5276" s="19"/>
      <c r="G5276" s="19"/>
      <c r="H5276" s="82"/>
    </row>
    <row r="5277" spans="1:8" s="28" customFormat="1" x14ac:dyDescent="0.25">
      <c r="A5277" s="29"/>
      <c r="B5277" s="15"/>
      <c r="C5277" s="19"/>
      <c r="D5277" s="19"/>
      <c r="E5277" s="19"/>
      <c r="F5277" s="19"/>
      <c r="G5277" s="19"/>
      <c r="H5277" s="82"/>
    </row>
    <row r="5278" spans="1:8" s="28" customFormat="1" x14ac:dyDescent="0.25">
      <c r="A5278" s="29"/>
      <c r="B5278" s="15"/>
      <c r="C5278" s="19"/>
      <c r="D5278" s="19"/>
      <c r="E5278" s="19"/>
      <c r="F5278" s="19"/>
      <c r="G5278" s="19"/>
      <c r="H5278" s="82"/>
    </row>
    <row r="5279" spans="1:8" s="28" customFormat="1" x14ac:dyDescent="0.25">
      <c r="A5279" s="29"/>
      <c r="B5279" s="15"/>
      <c r="C5279" s="19"/>
      <c r="D5279" s="19"/>
      <c r="E5279" s="19"/>
      <c r="F5279" s="19"/>
      <c r="G5279" s="19"/>
      <c r="H5279" s="82"/>
    </row>
    <row r="5280" spans="1:8" s="28" customFormat="1" x14ac:dyDescent="0.25">
      <c r="A5280" s="29"/>
      <c r="B5280" s="15"/>
      <c r="C5280" s="19"/>
      <c r="D5280" s="19"/>
      <c r="E5280" s="19"/>
      <c r="F5280" s="19"/>
      <c r="G5280" s="19"/>
      <c r="H5280" s="82"/>
    </row>
    <row r="5281" spans="1:8" s="28" customFormat="1" x14ac:dyDescent="0.25">
      <c r="A5281" s="29"/>
      <c r="B5281" s="15"/>
      <c r="C5281" s="19"/>
      <c r="D5281" s="19"/>
      <c r="E5281" s="19"/>
      <c r="F5281" s="19"/>
      <c r="G5281" s="19"/>
      <c r="H5281" s="82"/>
    </row>
    <row r="5282" spans="1:8" s="28" customFormat="1" x14ac:dyDescent="0.25">
      <c r="A5282" s="29"/>
      <c r="B5282" s="15"/>
      <c r="C5282" s="19"/>
      <c r="D5282" s="19"/>
      <c r="E5282" s="19"/>
      <c r="F5282" s="19"/>
      <c r="G5282" s="19"/>
      <c r="H5282" s="82"/>
    </row>
    <row r="5283" spans="1:8" s="28" customFormat="1" x14ac:dyDescent="0.25">
      <c r="A5283" s="29"/>
      <c r="B5283" s="15"/>
      <c r="C5283" s="19"/>
      <c r="D5283" s="19"/>
      <c r="E5283" s="19"/>
      <c r="F5283" s="19"/>
      <c r="G5283" s="19"/>
      <c r="H5283" s="82"/>
    </row>
    <row r="5284" spans="1:8" s="28" customFormat="1" x14ac:dyDescent="0.25">
      <c r="A5284" s="29"/>
      <c r="B5284" s="15"/>
      <c r="C5284" s="19"/>
      <c r="D5284" s="19"/>
      <c r="E5284" s="19"/>
      <c r="F5284" s="19"/>
      <c r="G5284" s="19"/>
      <c r="H5284" s="82"/>
    </row>
    <row r="5285" spans="1:8" s="28" customFormat="1" x14ac:dyDescent="0.25">
      <c r="A5285" s="29"/>
      <c r="B5285" s="15"/>
      <c r="C5285" s="19"/>
      <c r="D5285" s="19"/>
      <c r="E5285" s="19"/>
      <c r="F5285" s="19"/>
      <c r="G5285" s="19"/>
      <c r="H5285" s="82"/>
    </row>
    <row r="5286" spans="1:8" s="28" customFormat="1" x14ac:dyDescent="0.25">
      <c r="A5286" s="29"/>
      <c r="B5286" s="15"/>
      <c r="C5286" s="19"/>
      <c r="D5286" s="19"/>
      <c r="E5286" s="19"/>
      <c r="F5286" s="19"/>
      <c r="G5286" s="19"/>
      <c r="H5286" s="82"/>
    </row>
    <row r="5287" spans="1:8" s="28" customFormat="1" x14ac:dyDescent="0.25">
      <c r="A5287" s="29"/>
      <c r="B5287" s="15"/>
      <c r="C5287" s="19"/>
      <c r="D5287" s="19"/>
      <c r="E5287" s="19"/>
      <c r="F5287" s="19"/>
      <c r="G5287" s="19"/>
      <c r="H5287" s="82"/>
    </row>
    <row r="5288" spans="1:8" s="28" customFormat="1" x14ac:dyDescent="0.25">
      <c r="A5288" s="29"/>
      <c r="B5288" s="15"/>
      <c r="C5288" s="19"/>
      <c r="D5288" s="19"/>
      <c r="E5288" s="19"/>
      <c r="F5288" s="19"/>
      <c r="G5288" s="19"/>
      <c r="H5288" s="82"/>
    </row>
    <row r="5289" spans="1:8" s="28" customFormat="1" x14ac:dyDescent="0.25">
      <c r="A5289" s="29"/>
      <c r="B5289" s="15"/>
      <c r="C5289" s="19"/>
      <c r="D5289" s="19"/>
      <c r="E5289" s="19"/>
      <c r="F5289" s="19"/>
      <c r="G5289" s="19"/>
      <c r="H5289" s="82"/>
    </row>
    <row r="5290" spans="1:8" s="28" customFormat="1" x14ac:dyDescent="0.25">
      <c r="A5290" s="29"/>
      <c r="B5290" s="15"/>
      <c r="C5290" s="19"/>
      <c r="D5290" s="19"/>
      <c r="E5290" s="19"/>
      <c r="F5290" s="19"/>
      <c r="G5290" s="19"/>
      <c r="H5290" s="82"/>
    </row>
    <row r="5291" spans="1:8" s="28" customFormat="1" x14ac:dyDescent="0.25">
      <c r="A5291" s="29"/>
      <c r="B5291" s="15"/>
      <c r="C5291" s="19"/>
      <c r="D5291" s="19"/>
      <c r="E5291" s="19"/>
      <c r="F5291" s="19"/>
      <c r="G5291" s="19"/>
      <c r="H5291" s="82"/>
    </row>
    <row r="5292" spans="1:8" s="28" customFormat="1" x14ac:dyDescent="0.25">
      <c r="A5292" s="29"/>
      <c r="B5292" s="15"/>
      <c r="C5292" s="19"/>
      <c r="D5292" s="19"/>
      <c r="E5292" s="19"/>
      <c r="F5292" s="19"/>
      <c r="G5292" s="19"/>
      <c r="H5292" s="82"/>
    </row>
    <row r="5293" spans="1:8" s="28" customFormat="1" x14ac:dyDescent="0.25">
      <c r="A5293" s="29"/>
      <c r="B5293" s="15"/>
      <c r="C5293" s="19"/>
      <c r="D5293" s="19"/>
      <c r="E5293" s="19"/>
      <c r="F5293" s="19"/>
      <c r="G5293" s="19"/>
      <c r="H5293" s="82"/>
    </row>
    <row r="5294" spans="1:8" s="28" customFormat="1" x14ac:dyDescent="0.25">
      <c r="A5294" s="29"/>
      <c r="B5294" s="15"/>
      <c r="C5294" s="19"/>
      <c r="D5294" s="19"/>
      <c r="E5294" s="19"/>
      <c r="F5294" s="19"/>
      <c r="G5294" s="19"/>
      <c r="H5294" s="82"/>
    </row>
    <row r="5295" spans="1:8" s="28" customFormat="1" x14ac:dyDescent="0.25">
      <c r="A5295" s="29"/>
      <c r="B5295" s="15"/>
      <c r="C5295" s="19"/>
      <c r="D5295" s="19"/>
      <c r="E5295" s="19"/>
      <c r="F5295" s="19"/>
      <c r="G5295" s="19"/>
      <c r="H5295" s="82"/>
    </row>
    <row r="5296" spans="1:8" s="28" customFormat="1" x14ac:dyDescent="0.25">
      <c r="A5296" s="29"/>
      <c r="B5296" s="15"/>
      <c r="C5296" s="19"/>
      <c r="D5296" s="19"/>
      <c r="E5296" s="19"/>
      <c r="F5296" s="19"/>
      <c r="G5296" s="19"/>
      <c r="H5296" s="82"/>
    </row>
    <row r="5297" spans="1:8" s="28" customFormat="1" x14ac:dyDescent="0.25">
      <c r="A5297" s="29"/>
      <c r="B5297" s="15"/>
      <c r="C5297" s="19"/>
      <c r="D5297" s="19"/>
      <c r="E5297" s="19"/>
      <c r="F5297" s="19"/>
      <c r="G5297" s="19"/>
      <c r="H5297" s="82"/>
    </row>
    <row r="5298" spans="1:8" s="28" customFormat="1" x14ac:dyDescent="0.25">
      <c r="A5298" s="29"/>
      <c r="B5298" s="15"/>
      <c r="C5298" s="19"/>
      <c r="D5298" s="19"/>
      <c r="E5298" s="19"/>
      <c r="F5298" s="19"/>
      <c r="G5298" s="19"/>
      <c r="H5298" s="82"/>
    </row>
    <row r="5299" spans="1:8" s="28" customFormat="1" x14ac:dyDescent="0.25">
      <c r="A5299" s="29"/>
      <c r="B5299" s="15"/>
      <c r="C5299" s="19"/>
      <c r="D5299" s="19"/>
      <c r="E5299" s="19"/>
      <c r="F5299" s="19"/>
      <c r="G5299" s="19"/>
      <c r="H5299" s="82"/>
    </row>
    <row r="5300" spans="1:8" s="28" customFormat="1" x14ac:dyDescent="0.25">
      <c r="A5300" s="29"/>
      <c r="B5300" s="15"/>
      <c r="C5300" s="19"/>
      <c r="D5300" s="19"/>
      <c r="E5300" s="19"/>
      <c r="F5300" s="19"/>
      <c r="G5300" s="19"/>
      <c r="H5300" s="82"/>
    </row>
    <row r="5301" spans="1:8" s="28" customFormat="1" x14ac:dyDescent="0.25">
      <c r="A5301" s="29"/>
      <c r="B5301" s="15"/>
      <c r="C5301" s="19"/>
      <c r="D5301" s="19"/>
      <c r="E5301" s="19"/>
      <c r="F5301" s="19"/>
      <c r="G5301" s="19"/>
      <c r="H5301" s="82"/>
    </row>
    <row r="5302" spans="1:8" s="28" customFormat="1" x14ac:dyDescent="0.25">
      <c r="A5302" s="29"/>
      <c r="B5302" s="15"/>
      <c r="C5302" s="19"/>
      <c r="D5302" s="19"/>
      <c r="E5302" s="19"/>
      <c r="F5302" s="19"/>
      <c r="G5302" s="19"/>
      <c r="H5302" s="82"/>
    </row>
    <row r="5303" spans="1:8" s="28" customFormat="1" x14ac:dyDescent="0.25">
      <c r="A5303" s="29"/>
      <c r="B5303" s="15"/>
      <c r="C5303" s="19"/>
      <c r="D5303" s="19"/>
      <c r="E5303" s="19"/>
      <c r="F5303" s="19"/>
      <c r="G5303" s="19"/>
      <c r="H5303" s="82"/>
    </row>
    <row r="5304" spans="1:8" s="28" customFormat="1" x14ac:dyDescent="0.25">
      <c r="A5304" s="29"/>
      <c r="B5304" s="15"/>
      <c r="C5304" s="19"/>
      <c r="D5304" s="19"/>
      <c r="E5304" s="19"/>
      <c r="F5304" s="19"/>
      <c r="G5304" s="19"/>
      <c r="H5304" s="82"/>
    </row>
    <row r="5305" spans="1:8" s="28" customFormat="1" x14ac:dyDescent="0.25">
      <c r="A5305" s="29"/>
      <c r="B5305" s="15"/>
      <c r="C5305" s="19"/>
      <c r="D5305" s="19"/>
      <c r="E5305" s="19"/>
      <c r="F5305" s="19"/>
      <c r="G5305" s="19"/>
      <c r="H5305" s="82"/>
    </row>
    <row r="5306" spans="1:8" s="28" customFormat="1" x14ac:dyDescent="0.25">
      <c r="A5306" s="29"/>
      <c r="B5306" s="15"/>
      <c r="C5306" s="19"/>
      <c r="D5306" s="19"/>
      <c r="E5306" s="19"/>
      <c r="F5306" s="19"/>
      <c r="G5306" s="19"/>
      <c r="H5306" s="82"/>
    </row>
    <row r="5307" spans="1:8" s="28" customFormat="1" x14ac:dyDescent="0.25">
      <c r="A5307" s="29"/>
      <c r="B5307" s="15"/>
      <c r="C5307" s="19"/>
      <c r="D5307" s="19"/>
      <c r="E5307" s="19"/>
      <c r="F5307" s="19"/>
      <c r="G5307" s="19"/>
      <c r="H5307" s="82"/>
    </row>
    <row r="5308" spans="1:8" s="28" customFormat="1" x14ac:dyDescent="0.25">
      <c r="A5308" s="29"/>
      <c r="B5308" s="15"/>
      <c r="C5308" s="19"/>
      <c r="D5308" s="19"/>
      <c r="E5308" s="19"/>
      <c r="F5308" s="19"/>
      <c r="G5308" s="19"/>
      <c r="H5308" s="82"/>
    </row>
    <row r="5309" spans="1:8" s="28" customFormat="1" x14ac:dyDescent="0.25">
      <c r="A5309" s="29"/>
      <c r="B5309" s="15"/>
      <c r="C5309" s="19"/>
      <c r="D5309" s="19"/>
      <c r="E5309" s="19"/>
      <c r="F5309" s="19"/>
      <c r="G5309" s="19"/>
      <c r="H5309" s="82"/>
    </row>
    <row r="5310" spans="1:8" s="28" customFormat="1" x14ac:dyDescent="0.25">
      <c r="A5310" s="29"/>
      <c r="B5310" s="15"/>
      <c r="C5310" s="19"/>
      <c r="D5310" s="19"/>
      <c r="E5310" s="19"/>
      <c r="F5310" s="19"/>
      <c r="G5310" s="19"/>
      <c r="H5310" s="82"/>
    </row>
    <row r="5311" spans="1:8" s="28" customFormat="1" x14ac:dyDescent="0.25">
      <c r="A5311" s="29"/>
      <c r="B5311" s="15"/>
      <c r="C5311" s="19"/>
      <c r="D5311" s="19"/>
      <c r="E5311" s="19"/>
      <c r="F5311" s="19"/>
      <c r="G5311" s="19"/>
      <c r="H5311" s="82"/>
    </row>
    <row r="5312" spans="1:8" s="28" customFormat="1" x14ac:dyDescent="0.25">
      <c r="A5312" s="29"/>
      <c r="B5312" s="15"/>
      <c r="C5312" s="19"/>
      <c r="D5312" s="19"/>
      <c r="E5312" s="19"/>
      <c r="F5312" s="19"/>
      <c r="G5312" s="19"/>
      <c r="H5312" s="82"/>
    </row>
    <row r="5313" spans="1:8" s="28" customFormat="1" x14ac:dyDescent="0.25">
      <c r="A5313" s="29"/>
      <c r="B5313" s="15"/>
      <c r="C5313" s="19"/>
      <c r="D5313" s="19"/>
      <c r="E5313" s="19"/>
      <c r="F5313" s="19"/>
      <c r="G5313" s="19"/>
      <c r="H5313" s="82"/>
    </row>
    <row r="5314" spans="1:8" s="28" customFormat="1" x14ac:dyDescent="0.25">
      <c r="A5314" s="29"/>
      <c r="B5314" s="15"/>
      <c r="C5314" s="19"/>
      <c r="D5314" s="19"/>
      <c r="E5314" s="19"/>
      <c r="F5314" s="19"/>
      <c r="G5314" s="19"/>
      <c r="H5314" s="82"/>
    </row>
    <row r="5315" spans="1:8" s="28" customFormat="1" x14ac:dyDescent="0.25">
      <c r="A5315" s="29"/>
      <c r="B5315" s="15"/>
      <c r="C5315" s="19"/>
      <c r="D5315" s="19"/>
      <c r="E5315" s="19"/>
      <c r="F5315" s="19"/>
      <c r="G5315" s="19"/>
      <c r="H5315" s="82"/>
    </row>
    <row r="5316" spans="1:8" s="28" customFormat="1" x14ac:dyDescent="0.25">
      <c r="A5316" s="29"/>
      <c r="B5316" s="15"/>
      <c r="C5316" s="19"/>
      <c r="D5316" s="19"/>
      <c r="E5316" s="19"/>
      <c r="F5316" s="19"/>
      <c r="G5316" s="19"/>
      <c r="H5316" s="82"/>
    </row>
    <row r="5317" spans="1:8" s="28" customFormat="1" x14ac:dyDescent="0.25">
      <c r="A5317" s="29"/>
      <c r="B5317" s="15"/>
      <c r="C5317" s="19"/>
      <c r="D5317" s="19"/>
      <c r="E5317" s="19"/>
      <c r="F5317" s="19"/>
      <c r="G5317" s="19"/>
      <c r="H5317" s="82"/>
    </row>
    <row r="5318" spans="1:8" s="28" customFormat="1" x14ac:dyDescent="0.25">
      <c r="A5318" s="29"/>
      <c r="B5318" s="15"/>
      <c r="C5318" s="19"/>
      <c r="D5318" s="19"/>
      <c r="E5318" s="19"/>
      <c r="F5318" s="19"/>
      <c r="G5318" s="19"/>
      <c r="H5318" s="82"/>
    </row>
    <row r="5319" spans="1:8" s="28" customFormat="1" x14ac:dyDescent="0.25">
      <c r="A5319" s="29"/>
      <c r="B5319" s="15"/>
      <c r="C5319" s="19"/>
      <c r="D5319" s="19"/>
      <c r="E5319" s="19"/>
      <c r="F5319" s="19"/>
      <c r="G5319" s="19"/>
      <c r="H5319" s="82"/>
    </row>
    <row r="5320" spans="1:8" s="28" customFormat="1" x14ac:dyDescent="0.25">
      <c r="A5320" s="29"/>
      <c r="B5320" s="15"/>
      <c r="C5320" s="19"/>
      <c r="D5320" s="19"/>
      <c r="E5320" s="19"/>
      <c r="F5320" s="19"/>
      <c r="G5320" s="19"/>
      <c r="H5320" s="82"/>
    </row>
    <row r="5321" spans="1:8" s="28" customFormat="1" x14ac:dyDescent="0.25">
      <c r="A5321" s="29"/>
      <c r="B5321" s="15"/>
      <c r="C5321" s="19"/>
      <c r="D5321" s="19"/>
      <c r="E5321" s="19"/>
      <c r="F5321" s="19"/>
      <c r="G5321" s="19"/>
      <c r="H5321" s="82"/>
    </row>
    <row r="5322" spans="1:8" s="28" customFormat="1" x14ac:dyDescent="0.25">
      <c r="A5322" s="29"/>
      <c r="B5322" s="15"/>
      <c r="C5322" s="19"/>
      <c r="D5322" s="19"/>
      <c r="E5322" s="19"/>
      <c r="F5322" s="19"/>
      <c r="G5322" s="19"/>
      <c r="H5322" s="82"/>
    </row>
    <row r="5323" spans="1:8" s="28" customFormat="1" x14ac:dyDescent="0.25">
      <c r="A5323" s="29"/>
      <c r="B5323" s="15"/>
      <c r="C5323" s="19"/>
      <c r="D5323" s="19"/>
      <c r="E5323" s="19"/>
      <c r="F5323" s="19"/>
      <c r="G5323" s="19"/>
      <c r="H5323" s="82"/>
    </row>
    <row r="5324" spans="1:8" s="28" customFormat="1" x14ac:dyDescent="0.25">
      <c r="A5324" s="29"/>
      <c r="B5324" s="15"/>
      <c r="C5324" s="19"/>
      <c r="D5324" s="19"/>
      <c r="E5324" s="19"/>
      <c r="F5324" s="19"/>
      <c r="G5324" s="19"/>
      <c r="H5324" s="82"/>
    </row>
    <row r="5325" spans="1:8" s="28" customFormat="1" x14ac:dyDescent="0.25">
      <c r="A5325" s="29"/>
      <c r="B5325" s="15"/>
      <c r="C5325" s="19"/>
      <c r="D5325" s="19"/>
      <c r="E5325" s="19"/>
      <c r="F5325" s="19"/>
      <c r="G5325" s="19"/>
      <c r="H5325" s="82"/>
    </row>
    <row r="5326" spans="1:8" s="28" customFormat="1" x14ac:dyDescent="0.25">
      <c r="A5326" s="29"/>
      <c r="B5326" s="15"/>
      <c r="C5326" s="19"/>
      <c r="D5326" s="19"/>
      <c r="E5326" s="19"/>
      <c r="F5326" s="19"/>
      <c r="G5326" s="19"/>
      <c r="H5326" s="82"/>
    </row>
    <row r="5327" spans="1:8" s="28" customFormat="1" x14ac:dyDescent="0.25">
      <c r="A5327" s="29"/>
      <c r="B5327" s="15"/>
      <c r="C5327" s="19"/>
      <c r="D5327" s="19"/>
      <c r="E5327" s="19"/>
      <c r="F5327" s="19"/>
      <c r="G5327" s="19"/>
      <c r="H5327" s="82"/>
    </row>
    <row r="5328" spans="1:8" s="28" customFormat="1" x14ac:dyDescent="0.25">
      <c r="A5328" s="29"/>
      <c r="B5328" s="15"/>
      <c r="C5328" s="19"/>
      <c r="D5328" s="19"/>
      <c r="E5328" s="19"/>
      <c r="F5328" s="19"/>
      <c r="G5328" s="19"/>
      <c r="H5328" s="82"/>
    </row>
    <row r="5329" spans="1:8" s="28" customFormat="1" x14ac:dyDescent="0.25">
      <c r="A5329" s="29"/>
      <c r="B5329" s="15"/>
      <c r="C5329" s="19"/>
      <c r="D5329" s="19"/>
      <c r="E5329" s="19"/>
      <c r="F5329" s="19"/>
      <c r="G5329" s="19"/>
      <c r="H5329" s="82"/>
    </row>
    <row r="5330" spans="1:8" s="28" customFormat="1" x14ac:dyDescent="0.25">
      <c r="A5330" s="29"/>
      <c r="B5330" s="15"/>
      <c r="C5330" s="19"/>
      <c r="D5330" s="19"/>
      <c r="E5330" s="19"/>
      <c r="F5330" s="19"/>
      <c r="G5330" s="19"/>
      <c r="H5330" s="82"/>
    </row>
    <row r="5331" spans="1:8" s="28" customFormat="1" x14ac:dyDescent="0.25">
      <c r="A5331" s="29"/>
      <c r="B5331" s="15"/>
      <c r="C5331" s="19"/>
      <c r="D5331" s="19"/>
      <c r="E5331" s="19"/>
      <c r="F5331" s="19"/>
      <c r="G5331" s="19"/>
      <c r="H5331" s="82"/>
    </row>
    <row r="5332" spans="1:8" s="28" customFormat="1" x14ac:dyDescent="0.25">
      <c r="A5332" s="29"/>
      <c r="B5332" s="15"/>
      <c r="C5332" s="19"/>
      <c r="D5332" s="19"/>
      <c r="E5332" s="19"/>
      <c r="F5332" s="19"/>
      <c r="G5332" s="19"/>
      <c r="H5332" s="82"/>
    </row>
    <row r="5333" spans="1:8" s="28" customFormat="1" x14ac:dyDescent="0.25">
      <c r="A5333" s="29"/>
      <c r="B5333" s="15"/>
      <c r="C5333" s="19"/>
      <c r="D5333" s="19"/>
      <c r="E5333" s="19"/>
      <c r="F5333" s="19"/>
      <c r="G5333" s="19"/>
      <c r="H5333" s="82"/>
    </row>
    <row r="5334" spans="1:8" s="28" customFormat="1" x14ac:dyDescent="0.25">
      <c r="A5334" s="29"/>
      <c r="B5334" s="15"/>
      <c r="C5334" s="19"/>
      <c r="D5334" s="19"/>
      <c r="E5334" s="19"/>
      <c r="F5334" s="19"/>
      <c r="G5334" s="19"/>
      <c r="H5334" s="82"/>
    </row>
    <row r="5335" spans="1:8" s="28" customFormat="1" x14ac:dyDescent="0.25">
      <c r="A5335" s="29"/>
      <c r="B5335" s="15"/>
      <c r="C5335" s="19"/>
      <c r="D5335" s="19"/>
      <c r="E5335" s="19"/>
      <c r="F5335" s="19"/>
      <c r="G5335" s="19"/>
      <c r="H5335" s="82"/>
    </row>
    <row r="5336" spans="1:8" s="28" customFormat="1" x14ac:dyDescent="0.25">
      <c r="A5336" s="29"/>
      <c r="B5336" s="15"/>
      <c r="C5336" s="19"/>
      <c r="D5336" s="19"/>
      <c r="E5336" s="19"/>
      <c r="F5336" s="19"/>
      <c r="G5336" s="19"/>
      <c r="H5336" s="82"/>
    </row>
    <row r="5337" spans="1:8" s="28" customFormat="1" x14ac:dyDescent="0.25">
      <c r="A5337" s="29"/>
      <c r="B5337" s="15"/>
      <c r="C5337" s="19"/>
      <c r="D5337" s="19"/>
      <c r="E5337" s="19"/>
      <c r="F5337" s="19"/>
      <c r="G5337" s="19"/>
      <c r="H5337" s="82"/>
    </row>
    <row r="5338" spans="1:8" s="28" customFormat="1" x14ac:dyDescent="0.25">
      <c r="A5338" s="29"/>
      <c r="B5338" s="15"/>
      <c r="C5338" s="19"/>
      <c r="D5338" s="19"/>
      <c r="E5338" s="19"/>
      <c r="F5338" s="19"/>
      <c r="G5338" s="19"/>
      <c r="H5338" s="82"/>
    </row>
    <row r="5339" spans="1:8" s="28" customFormat="1" x14ac:dyDescent="0.25">
      <c r="A5339" s="29"/>
      <c r="B5339" s="15"/>
      <c r="C5339" s="19"/>
      <c r="D5339" s="19"/>
      <c r="E5339" s="19"/>
      <c r="F5339" s="19"/>
      <c r="G5339" s="19"/>
      <c r="H5339" s="82"/>
    </row>
    <row r="5340" spans="1:8" s="28" customFormat="1" x14ac:dyDescent="0.25">
      <c r="A5340" s="29"/>
      <c r="B5340" s="15"/>
      <c r="C5340" s="19"/>
      <c r="D5340" s="19"/>
      <c r="E5340" s="19"/>
      <c r="F5340" s="19"/>
      <c r="G5340" s="19"/>
      <c r="H5340" s="82"/>
    </row>
    <row r="5341" spans="1:8" s="28" customFormat="1" x14ac:dyDescent="0.25">
      <c r="A5341" s="29"/>
      <c r="B5341" s="15"/>
      <c r="C5341" s="19"/>
      <c r="D5341" s="19"/>
      <c r="E5341" s="19"/>
      <c r="F5341" s="19"/>
      <c r="G5341" s="19"/>
      <c r="H5341" s="82"/>
    </row>
    <row r="5342" spans="1:8" s="28" customFormat="1" x14ac:dyDescent="0.25">
      <c r="A5342" s="29"/>
      <c r="B5342" s="15"/>
      <c r="C5342" s="19"/>
      <c r="D5342" s="19"/>
      <c r="E5342" s="19"/>
      <c r="F5342" s="19"/>
      <c r="G5342" s="19"/>
      <c r="H5342" s="82"/>
    </row>
    <row r="5343" spans="1:8" s="28" customFormat="1" x14ac:dyDescent="0.25">
      <c r="A5343" s="29"/>
      <c r="B5343" s="15"/>
      <c r="C5343" s="19"/>
      <c r="D5343" s="19"/>
      <c r="E5343" s="19"/>
      <c r="F5343" s="19"/>
      <c r="G5343" s="19"/>
      <c r="H5343" s="82"/>
    </row>
    <row r="5344" spans="1:8" s="28" customFormat="1" x14ac:dyDescent="0.25">
      <c r="A5344" s="29"/>
      <c r="B5344" s="15"/>
      <c r="C5344" s="19"/>
      <c r="D5344" s="19"/>
      <c r="E5344" s="19"/>
      <c r="F5344" s="19"/>
      <c r="G5344" s="19"/>
      <c r="H5344" s="82"/>
    </row>
    <row r="5345" spans="1:8" s="28" customFormat="1" x14ac:dyDescent="0.25">
      <c r="A5345" s="29"/>
      <c r="B5345" s="15"/>
      <c r="C5345" s="19"/>
      <c r="D5345" s="19"/>
      <c r="E5345" s="19"/>
      <c r="F5345" s="19"/>
      <c r="G5345" s="19"/>
      <c r="H5345" s="82"/>
    </row>
    <row r="5346" spans="1:8" s="28" customFormat="1" x14ac:dyDescent="0.25">
      <c r="A5346" s="29"/>
      <c r="B5346" s="15"/>
      <c r="C5346" s="19"/>
      <c r="D5346" s="19"/>
      <c r="E5346" s="19"/>
      <c r="F5346" s="19"/>
      <c r="G5346" s="19"/>
      <c r="H5346" s="82"/>
    </row>
    <row r="5347" spans="1:8" s="28" customFormat="1" x14ac:dyDescent="0.25">
      <c r="A5347" s="29"/>
      <c r="B5347" s="15"/>
      <c r="C5347" s="19"/>
      <c r="D5347" s="19"/>
      <c r="E5347" s="19"/>
      <c r="F5347" s="19"/>
      <c r="G5347" s="19"/>
      <c r="H5347" s="82"/>
    </row>
    <row r="5348" spans="1:8" s="28" customFormat="1" x14ac:dyDescent="0.25">
      <c r="A5348" s="29"/>
      <c r="B5348" s="15"/>
      <c r="C5348" s="19"/>
      <c r="D5348" s="19"/>
      <c r="E5348" s="19"/>
      <c r="F5348" s="19"/>
      <c r="G5348" s="19"/>
      <c r="H5348" s="82"/>
    </row>
    <row r="5349" spans="1:8" s="28" customFormat="1" x14ac:dyDescent="0.25">
      <c r="A5349" s="29"/>
      <c r="B5349" s="15"/>
      <c r="C5349" s="19"/>
      <c r="D5349" s="19"/>
      <c r="E5349" s="19"/>
      <c r="F5349" s="19"/>
      <c r="G5349" s="19"/>
      <c r="H5349" s="82"/>
    </row>
    <row r="5350" spans="1:8" s="28" customFormat="1" x14ac:dyDescent="0.25">
      <c r="A5350" s="29"/>
      <c r="B5350" s="15"/>
      <c r="C5350" s="19"/>
      <c r="D5350" s="19"/>
      <c r="E5350" s="19"/>
      <c r="F5350" s="19"/>
      <c r="G5350" s="19"/>
      <c r="H5350" s="82"/>
    </row>
    <row r="5351" spans="1:8" s="28" customFormat="1" x14ac:dyDescent="0.25">
      <c r="A5351" s="29"/>
      <c r="B5351" s="15"/>
      <c r="C5351" s="19"/>
      <c r="D5351" s="19"/>
      <c r="E5351" s="19"/>
      <c r="F5351" s="19"/>
      <c r="G5351" s="19"/>
      <c r="H5351" s="82"/>
    </row>
    <row r="5352" spans="1:8" s="28" customFormat="1" x14ac:dyDescent="0.25">
      <c r="A5352" s="29"/>
      <c r="B5352" s="15"/>
      <c r="C5352" s="19"/>
      <c r="D5352" s="19"/>
      <c r="E5352" s="19"/>
      <c r="F5352" s="19"/>
      <c r="G5352" s="19"/>
      <c r="H5352" s="82"/>
    </row>
    <row r="5353" spans="1:8" s="28" customFormat="1" x14ac:dyDescent="0.25">
      <c r="A5353" s="29"/>
      <c r="B5353" s="15"/>
      <c r="C5353" s="19"/>
      <c r="D5353" s="19"/>
      <c r="E5353" s="19"/>
      <c r="F5353" s="19"/>
      <c r="G5353" s="19"/>
      <c r="H5353" s="82"/>
    </row>
    <row r="5354" spans="1:8" s="28" customFormat="1" x14ac:dyDescent="0.25">
      <c r="A5354" s="29"/>
      <c r="B5354" s="15"/>
      <c r="C5354" s="19"/>
      <c r="D5354" s="19"/>
      <c r="E5354" s="19"/>
      <c r="F5354" s="19"/>
      <c r="G5354" s="19"/>
      <c r="H5354" s="82"/>
    </row>
    <row r="5355" spans="1:8" s="28" customFormat="1" x14ac:dyDescent="0.25">
      <c r="A5355" s="29"/>
      <c r="B5355" s="15"/>
      <c r="C5355" s="19"/>
      <c r="D5355" s="19"/>
      <c r="E5355" s="19"/>
      <c r="F5355" s="19"/>
      <c r="G5355" s="19"/>
      <c r="H5355" s="82"/>
    </row>
    <row r="5356" spans="1:8" s="28" customFormat="1" x14ac:dyDescent="0.25">
      <c r="A5356" s="29"/>
      <c r="B5356" s="15"/>
      <c r="C5356" s="19"/>
      <c r="D5356" s="19"/>
      <c r="E5356" s="19"/>
      <c r="F5356" s="19"/>
      <c r="G5356" s="19"/>
      <c r="H5356" s="82"/>
    </row>
    <row r="5357" spans="1:8" s="28" customFormat="1" x14ac:dyDescent="0.25">
      <c r="A5357" s="29"/>
      <c r="B5357" s="15"/>
      <c r="C5357" s="19"/>
      <c r="D5357" s="19"/>
      <c r="E5357" s="19"/>
      <c r="F5357" s="19"/>
      <c r="G5357" s="19"/>
      <c r="H5357" s="82"/>
    </row>
    <row r="5358" spans="1:8" s="28" customFormat="1" x14ac:dyDescent="0.25">
      <c r="A5358" s="29"/>
      <c r="B5358" s="15"/>
      <c r="C5358" s="19"/>
      <c r="D5358" s="19"/>
      <c r="E5358" s="19"/>
      <c r="F5358" s="19"/>
      <c r="G5358" s="19"/>
      <c r="H5358" s="82"/>
    </row>
    <row r="5359" spans="1:8" s="28" customFormat="1" x14ac:dyDescent="0.25">
      <c r="A5359" s="29"/>
      <c r="B5359" s="15"/>
      <c r="C5359" s="19"/>
      <c r="D5359" s="19"/>
      <c r="E5359" s="19"/>
      <c r="F5359" s="19"/>
      <c r="G5359" s="19"/>
      <c r="H5359" s="82"/>
    </row>
    <row r="5360" spans="1:8" s="28" customFormat="1" x14ac:dyDescent="0.25">
      <c r="A5360" s="29"/>
      <c r="B5360" s="15"/>
      <c r="C5360" s="19"/>
      <c r="D5360" s="19"/>
      <c r="E5360" s="19"/>
      <c r="F5360" s="19"/>
      <c r="G5360" s="19"/>
      <c r="H5360" s="82"/>
    </row>
    <row r="5361" spans="1:8" s="28" customFormat="1" x14ac:dyDescent="0.25">
      <c r="A5361" s="29"/>
      <c r="B5361" s="15"/>
      <c r="C5361" s="19"/>
      <c r="D5361" s="19"/>
      <c r="E5361" s="19"/>
      <c r="F5361" s="19"/>
      <c r="G5361" s="19"/>
      <c r="H5361" s="82"/>
    </row>
    <row r="5362" spans="1:8" s="28" customFormat="1" x14ac:dyDescent="0.25">
      <c r="A5362" s="29"/>
      <c r="B5362" s="15"/>
      <c r="C5362" s="19"/>
      <c r="D5362" s="19"/>
      <c r="E5362" s="19"/>
      <c r="F5362" s="19"/>
      <c r="G5362" s="19"/>
      <c r="H5362" s="82"/>
    </row>
    <row r="5363" spans="1:8" s="28" customFormat="1" x14ac:dyDescent="0.25">
      <c r="A5363" s="29"/>
      <c r="B5363" s="15"/>
      <c r="C5363" s="19"/>
      <c r="D5363" s="19"/>
      <c r="E5363" s="19"/>
      <c r="F5363" s="19"/>
      <c r="G5363" s="19"/>
      <c r="H5363" s="82"/>
    </row>
    <row r="5364" spans="1:8" s="28" customFormat="1" x14ac:dyDescent="0.25">
      <c r="A5364" s="29"/>
      <c r="B5364" s="15"/>
      <c r="C5364" s="19"/>
      <c r="D5364" s="19"/>
      <c r="E5364" s="19"/>
      <c r="F5364" s="19"/>
      <c r="G5364" s="19"/>
      <c r="H5364" s="82"/>
    </row>
    <row r="5365" spans="1:8" s="28" customFormat="1" x14ac:dyDescent="0.25">
      <c r="A5365" s="29"/>
      <c r="B5365" s="15"/>
      <c r="C5365" s="19"/>
      <c r="D5365" s="19"/>
      <c r="E5365" s="19"/>
      <c r="F5365" s="19"/>
      <c r="G5365" s="19"/>
      <c r="H5365" s="82"/>
    </row>
    <row r="5366" spans="1:8" s="28" customFormat="1" x14ac:dyDescent="0.25">
      <c r="A5366" s="29"/>
      <c r="B5366" s="15"/>
      <c r="C5366" s="19"/>
      <c r="D5366" s="19"/>
      <c r="E5366" s="19"/>
      <c r="F5366" s="19"/>
      <c r="G5366" s="19"/>
      <c r="H5366" s="82"/>
    </row>
    <row r="5367" spans="1:8" s="28" customFormat="1" x14ac:dyDescent="0.25">
      <c r="A5367" s="29"/>
      <c r="B5367" s="15"/>
      <c r="C5367" s="19"/>
      <c r="D5367" s="19"/>
      <c r="E5367" s="19"/>
      <c r="F5367" s="19"/>
      <c r="G5367" s="19"/>
      <c r="H5367" s="82"/>
    </row>
    <row r="5368" spans="1:8" s="28" customFormat="1" x14ac:dyDescent="0.25">
      <c r="A5368" s="29"/>
      <c r="B5368" s="15"/>
      <c r="C5368" s="19"/>
      <c r="D5368" s="19"/>
      <c r="E5368" s="19"/>
      <c r="F5368" s="19"/>
      <c r="G5368" s="19"/>
      <c r="H5368" s="82"/>
    </row>
    <row r="5369" spans="1:8" s="28" customFormat="1" x14ac:dyDescent="0.25">
      <c r="A5369" s="29"/>
      <c r="B5369" s="15"/>
      <c r="C5369" s="19"/>
      <c r="D5369" s="19"/>
      <c r="E5369" s="19"/>
      <c r="F5369" s="19"/>
      <c r="G5369" s="19"/>
      <c r="H5369" s="82"/>
    </row>
    <row r="5370" spans="1:8" s="28" customFormat="1" x14ac:dyDescent="0.25">
      <c r="A5370" s="29"/>
      <c r="B5370" s="15"/>
      <c r="C5370" s="19"/>
      <c r="D5370" s="19"/>
      <c r="E5370" s="19"/>
      <c r="F5370" s="19"/>
      <c r="G5370" s="19"/>
      <c r="H5370" s="82"/>
    </row>
    <row r="5371" spans="1:8" s="28" customFormat="1" x14ac:dyDescent="0.25">
      <c r="A5371" s="29"/>
      <c r="B5371" s="15"/>
      <c r="C5371" s="19"/>
      <c r="D5371" s="19"/>
      <c r="E5371" s="19"/>
      <c r="F5371" s="19"/>
      <c r="G5371" s="19"/>
      <c r="H5371" s="82"/>
    </row>
    <row r="5372" spans="1:8" s="28" customFormat="1" x14ac:dyDescent="0.25">
      <c r="A5372" s="29"/>
      <c r="B5372" s="15"/>
      <c r="C5372" s="19"/>
      <c r="D5372" s="19"/>
      <c r="E5372" s="19"/>
      <c r="F5372" s="19"/>
      <c r="G5372" s="19"/>
      <c r="H5372" s="82"/>
    </row>
    <row r="5373" spans="1:8" s="28" customFormat="1" x14ac:dyDescent="0.25">
      <c r="A5373" s="29"/>
      <c r="B5373" s="15"/>
      <c r="C5373" s="19"/>
      <c r="D5373" s="19"/>
      <c r="E5373" s="19"/>
      <c r="F5373" s="19"/>
      <c r="G5373" s="19"/>
      <c r="H5373" s="82"/>
    </row>
    <row r="5374" spans="1:8" s="28" customFormat="1" x14ac:dyDescent="0.25">
      <c r="A5374" s="29"/>
      <c r="B5374" s="15"/>
      <c r="C5374" s="19"/>
      <c r="D5374" s="19"/>
      <c r="E5374" s="19"/>
      <c r="F5374" s="19"/>
      <c r="G5374" s="19"/>
      <c r="H5374" s="82"/>
    </row>
    <row r="5375" spans="1:8" s="28" customFormat="1" x14ac:dyDescent="0.25">
      <c r="A5375" s="29"/>
      <c r="B5375" s="15"/>
      <c r="C5375" s="19"/>
      <c r="D5375" s="19"/>
      <c r="E5375" s="19"/>
      <c r="F5375" s="19"/>
      <c r="G5375" s="19"/>
      <c r="H5375" s="82"/>
    </row>
    <row r="5376" spans="1:8" s="28" customFormat="1" x14ac:dyDescent="0.25">
      <c r="A5376" s="29"/>
      <c r="B5376" s="15"/>
      <c r="C5376" s="19"/>
      <c r="D5376" s="19"/>
      <c r="E5376" s="19"/>
      <c r="F5376" s="19"/>
      <c r="G5376" s="19"/>
      <c r="H5376" s="82"/>
    </row>
    <row r="5377" spans="1:8" s="28" customFormat="1" x14ac:dyDescent="0.25">
      <c r="A5377" s="29"/>
      <c r="B5377" s="15"/>
      <c r="C5377" s="19"/>
      <c r="D5377" s="19"/>
      <c r="E5377" s="19"/>
      <c r="F5377" s="19"/>
      <c r="G5377" s="19"/>
      <c r="H5377" s="82"/>
    </row>
    <row r="5378" spans="1:8" s="28" customFormat="1" x14ac:dyDescent="0.25">
      <c r="A5378" s="29"/>
      <c r="B5378" s="15"/>
      <c r="C5378" s="19"/>
      <c r="D5378" s="19"/>
      <c r="E5378" s="19"/>
      <c r="F5378" s="19"/>
      <c r="G5378" s="19"/>
      <c r="H5378" s="82"/>
    </row>
    <row r="5379" spans="1:8" s="28" customFormat="1" x14ac:dyDescent="0.25">
      <c r="A5379" s="29"/>
      <c r="B5379" s="15"/>
      <c r="C5379" s="19"/>
      <c r="D5379" s="19"/>
      <c r="E5379" s="19"/>
      <c r="F5379" s="19"/>
      <c r="G5379" s="19"/>
      <c r="H5379" s="82"/>
    </row>
    <row r="5380" spans="1:8" s="28" customFormat="1" x14ac:dyDescent="0.25">
      <c r="A5380" s="29"/>
      <c r="B5380" s="15"/>
      <c r="C5380" s="19"/>
      <c r="D5380" s="19"/>
      <c r="E5380" s="19"/>
      <c r="F5380" s="19"/>
      <c r="G5380" s="19"/>
      <c r="H5380" s="82"/>
    </row>
    <row r="5381" spans="1:8" s="28" customFormat="1" x14ac:dyDescent="0.25">
      <c r="A5381" s="29"/>
      <c r="B5381" s="15"/>
      <c r="C5381" s="19"/>
      <c r="D5381" s="19"/>
      <c r="E5381" s="19"/>
      <c r="F5381" s="19"/>
      <c r="G5381" s="19"/>
      <c r="H5381" s="82"/>
    </row>
    <row r="5382" spans="1:8" s="28" customFormat="1" x14ac:dyDescent="0.25">
      <c r="A5382" s="29"/>
      <c r="B5382" s="15"/>
      <c r="C5382" s="19"/>
      <c r="D5382" s="19"/>
      <c r="E5382" s="19"/>
      <c r="F5382" s="19"/>
      <c r="G5382" s="19"/>
      <c r="H5382" s="82"/>
    </row>
    <row r="5383" spans="1:8" s="28" customFormat="1" x14ac:dyDescent="0.25">
      <c r="A5383" s="29"/>
      <c r="B5383" s="15"/>
      <c r="C5383" s="19"/>
      <c r="D5383" s="19"/>
      <c r="E5383" s="19"/>
      <c r="F5383" s="19"/>
      <c r="G5383" s="19"/>
      <c r="H5383" s="82"/>
    </row>
    <row r="5384" spans="1:8" s="28" customFormat="1" x14ac:dyDescent="0.25">
      <c r="A5384" s="29"/>
      <c r="B5384" s="15"/>
      <c r="C5384" s="19"/>
      <c r="D5384" s="19"/>
      <c r="E5384" s="19"/>
      <c r="F5384" s="19"/>
      <c r="G5384" s="19"/>
      <c r="H5384" s="82"/>
    </row>
    <row r="5385" spans="1:8" s="28" customFormat="1" x14ac:dyDescent="0.25">
      <c r="A5385" s="29"/>
      <c r="B5385" s="15"/>
      <c r="C5385" s="19"/>
      <c r="D5385" s="19"/>
      <c r="E5385" s="19"/>
      <c r="F5385" s="19"/>
      <c r="G5385" s="19"/>
      <c r="H5385" s="82"/>
    </row>
    <row r="5386" spans="1:8" s="28" customFormat="1" x14ac:dyDescent="0.25">
      <c r="A5386" s="29"/>
      <c r="B5386" s="15"/>
      <c r="C5386" s="19"/>
      <c r="D5386" s="19"/>
      <c r="E5386" s="19"/>
      <c r="F5386" s="19"/>
      <c r="G5386" s="19"/>
      <c r="H5386" s="82"/>
    </row>
    <row r="5387" spans="1:8" s="28" customFormat="1" x14ac:dyDescent="0.25">
      <c r="A5387" s="29"/>
      <c r="B5387" s="15"/>
      <c r="C5387" s="19"/>
      <c r="D5387" s="19"/>
      <c r="E5387" s="19"/>
      <c r="F5387" s="19"/>
      <c r="G5387" s="19"/>
      <c r="H5387" s="82"/>
    </row>
    <row r="5388" spans="1:8" s="28" customFormat="1" x14ac:dyDescent="0.25">
      <c r="A5388" s="29"/>
      <c r="B5388" s="15"/>
      <c r="C5388" s="19"/>
      <c r="D5388" s="19"/>
      <c r="E5388" s="19"/>
      <c r="F5388" s="19"/>
      <c r="G5388" s="19"/>
      <c r="H5388" s="82"/>
    </row>
    <row r="5389" spans="1:8" s="28" customFormat="1" x14ac:dyDescent="0.25">
      <c r="A5389" s="29"/>
      <c r="B5389" s="15"/>
      <c r="C5389" s="19"/>
      <c r="D5389" s="19"/>
      <c r="E5389" s="19"/>
      <c r="F5389" s="19"/>
      <c r="G5389" s="19"/>
      <c r="H5389" s="82"/>
    </row>
    <row r="5390" spans="1:8" s="28" customFormat="1" x14ac:dyDescent="0.25">
      <c r="A5390" s="29"/>
      <c r="B5390" s="15"/>
      <c r="C5390" s="19"/>
      <c r="D5390" s="19"/>
      <c r="E5390" s="19"/>
      <c r="F5390" s="19"/>
      <c r="G5390" s="19"/>
      <c r="H5390" s="82"/>
    </row>
    <row r="5391" spans="1:8" s="28" customFormat="1" x14ac:dyDescent="0.25">
      <c r="A5391" s="29"/>
      <c r="B5391" s="15"/>
      <c r="C5391" s="19"/>
      <c r="D5391" s="19"/>
      <c r="E5391" s="19"/>
      <c r="F5391" s="19"/>
      <c r="G5391" s="19"/>
      <c r="H5391" s="82"/>
    </row>
    <row r="5392" spans="1:8" s="28" customFormat="1" x14ac:dyDescent="0.25">
      <c r="A5392" s="29"/>
      <c r="B5392" s="15"/>
      <c r="C5392" s="19"/>
      <c r="D5392" s="19"/>
      <c r="E5392" s="19"/>
      <c r="F5392" s="19"/>
      <c r="G5392" s="19"/>
      <c r="H5392" s="82"/>
    </row>
    <row r="5393" spans="1:8" s="28" customFormat="1" x14ac:dyDescent="0.25">
      <c r="A5393" s="29"/>
      <c r="B5393" s="15"/>
      <c r="C5393" s="19"/>
      <c r="D5393" s="19"/>
      <c r="E5393" s="19"/>
      <c r="F5393" s="19"/>
      <c r="G5393" s="19"/>
      <c r="H5393" s="82"/>
    </row>
    <row r="5394" spans="1:8" s="28" customFormat="1" x14ac:dyDescent="0.25">
      <c r="A5394" s="29"/>
      <c r="B5394" s="15"/>
      <c r="C5394" s="19"/>
      <c r="D5394" s="19"/>
      <c r="E5394" s="19"/>
      <c r="F5394" s="19"/>
      <c r="G5394" s="19"/>
      <c r="H5394" s="82"/>
    </row>
    <row r="5395" spans="1:8" s="28" customFormat="1" x14ac:dyDescent="0.25">
      <c r="A5395" s="29"/>
      <c r="B5395" s="15"/>
      <c r="C5395" s="19"/>
      <c r="D5395" s="19"/>
      <c r="E5395" s="19"/>
      <c r="F5395" s="19"/>
      <c r="G5395" s="19"/>
      <c r="H5395" s="82"/>
    </row>
    <row r="5396" spans="1:8" s="28" customFormat="1" x14ac:dyDescent="0.25">
      <c r="A5396" s="29"/>
      <c r="B5396" s="15"/>
      <c r="C5396" s="19"/>
      <c r="D5396" s="19"/>
      <c r="E5396" s="19"/>
      <c r="F5396" s="19"/>
      <c r="G5396" s="19"/>
      <c r="H5396" s="82"/>
    </row>
    <row r="5397" spans="1:8" s="28" customFormat="1" x14ac:dyDescent="0.25">
      <c r="A5397" s="29"/>
      <c r="B5397" s="15"/>
      <c r="C5397" s="19"/>
      <c r="D5397" s="19"/>
      <c r="E5397" s="19"/>
      <c r="F5397" s="19"/>
      <c r="G5397" s="19"/>
      <c r="H5397" s="82"/>
    </row>
    <row r="5398" spans="1:8" s="28" customFormat="1" x14ac:dyDescent="0.25">
      <c r="A5398" s="29"/>
      <c r="B5398" s="15"/>
      <c r="C5398" s="19"/>
      <c r="D5398" s="19"/>
      <c r="E5398" s="19"/>
      <c r="F5398" s="19"/>
      <c r="G5398" s="19"/>
      <c r="H5398" s="82"/>
    </row>
    <row r="5399" spans="1:8" s="28" customFormat="1" x14ac:dyDescent="0.25">
      <c r="A5399" s="29"/>
      <c r="B5399" s="15"/>
      <c r="C5399" s="19"/>
      <c r="D5399" s="19"/>
      <c r="E5399" s="19"/>
      <c r="F5399" s="19"/>
      <c r="G5399" s="19"/>
      <c r="H5399" s="82"/>
    </row>
    <row r="5400" spans="1:8" s="28" customFormat="1" x14ac:dyDescent="0.25">
      <c r="A5400" s="29"/>
      <c r="B5400" s="15"/>
      <c r="C5400" s="19"/>
      <c r="D5400" s="19"/>
      <c r="E5400" s="19"/>
      <c r="F5400" s="19"/>
      <c r="G5400" s="19"/>
      <c r="H5400" s="82"/>
    </row>
    <row r="5401" spans="1:8" s="28" customFormat="1" x14ac:dyDescent="0.25">
      <c r="A5401" s="29"/>
      <c r="B5401" s="15"/>
      <c r="C5401" s="19"/>
      <c r="D5401" s="19"/>
      <c r="E5401" s="19"/>
      <c r="F5401" s="19"/>
      <c r="G5401" s="19"/>
      <c r="H5401" s="82"/>
    </row>
    <row r="5402" spans="1:8" s="28" customFormat="1" x14ac:dyDescent="0.25">
      <c r="A5402" s="29"/>
      <c r="B5402" s="15"/>
      <c r="C5402" s="19"/>
      <c r="D5402" s="19"/>
      <c r="E5402" s="19"/>
      <c r="F5402" s="19"/>
      <c r="G5402" s="19"/>
      <c r="H5402" s="82"/>
    </row>
    <row r="5403" spans="1:8" s="28" customFormat="1" x14ac:dyDescent="0.25">
      <c r="A5403" s="29"/>
      <c r="B5403" s="15"/>
      <c r="C5403" s="19"/>
      <c r="D5403" s="19"/>
      <c r="E5403" s="19"/>
      <c r="F5403" s="19"/>
      <c r="G5403" s="19"/>
      <c r="H5403" s="82"/>
    </row>
    <row r="5404" spans="1:8" s="28" customFormat="1" x14ac:dyDescent="0.25">
      <c r="A5404" s="29"/>
      <c r="B5404" s="15"/>
      <c r="C5404" s="19"/>
      <c r="D5404" s="19"/>
      <c r="E5404" s="19"/>
      <c r="F5404" s="19"/>
      <c r="G5404" s="19"/>
      <c r="H5404" s="82"/>
    </row>
    <row r="5405" spans="1:8" s="28" customFormat="1" x14ac:dyDescent="0.25">
      <c r="A5405" s="29"/>
      <c r="B5405" s="15"/>
      <c r="C5405" s="19"/>
      <c r="D5405" s="19"/>
      <c r="E5405" s="19"/>
      <c r="F5405" s="19"/>
      <c r="G5405" s="19"/>
      <c r="H5405" s="82"/>
    </row>
    <row r="5406" spans="1:8" s="28" customFormat="1" x14ac:dyDescent="0.25">
      <c r="A5406" s="29"/>
      <c r="B5406" s="15"/>
      <c r="C5406" s="19"/>
      <c r="D5406" s="19"/>
      <c r="E5406" s="19"/>
      <c r="F5406" s="19"/>
      <c r="G5406" s="19"/>
      <c r="H5406" s="82"/>
    </row>
    <row r="5407" spans="1:8" s="28" customFormat="1" x14ac:dyDescent="0.25">
      <c r="A5407" s="29"/>
      <c r="B5407" s="15"/>
      <c r="C5407" s="19"/>
      <c r="D5407" s="19"/>
      <c r="E5407" s="19"/>
      <c r="F5407" s="19"/>
      <c r="G5407" s="19"/>
      <c r="H5407" s="82"/>
    </row>
    <row r="5408" spans="1:8" s="28" customFormat="1" x14ac:dyDescent="0.25">
      <c r="A5408" s="29"/>
      <c r="B5408" s="15"/>
      <c r="C5408" s="19"/>
      <c r="D5408" s="19"/>
      <c r="E5408" s="19"/>
      <c r="F5408" s="19"/>
      <c r="G5408" s="19"/>
      <c r="H5408" s="82"/>
    </row>
    <row r="5409" spans="1:8" s="28" customFormat="1" x14ac:dyDescent="0.25">
      <c r="A5409" s="29"/>
      <c r="B5409" s="15"/>
      <c r="C5409" s="19"/>
      <c r="D5409" s="19"/>
      <c r="E5409" s="19"/>
      <c r="F5409" s="19"/>
      <c r="G5409" s="19"/>
      <c r="H5409" s="82"/>
    </row>
    <row r="5410" spans="1:8" s="28" customFormat="1" x14ac:dyDescent="0.25">
      <c r="A5410" s="29"/>
      <c r="B5410" s="15"/>
      <c r="C5410" s="19"/>
      <c r="D5410" s="19"/>
      <c r="E5410" s="19"/>
      <c r="F5410" s="19"/>
      <c r="G5410" s="19"/>
      <c r="H5410" s="82"/>
    </row>
    <row r="5411" spans="1:8" s="28" customFormat="1" x14ac:dyDescent="0.25">
      <c r="A5411" s="29"/>
      <c r="B5411" s="15"/>
      <c r="C5411" s="19"/>
      <c r="D5411" s="19"/>
      <c r="E5411" s="19"/>
      <c r="F5411" s="19"/>
      <c r="G5411" s="19"/>
      <c r="H5411" s="82"/>
    </row>
    <row r="5412" spans="1:8" s="28" customFormat="1" x14ac:dyDescent="0.25">
      <c r="A5412" s="29"/>
      <c r="B5412" s="15"/>
      <c r="C5412" s="19"/>
      <c r="D5412" s="19"/>
      <c r="E5412" s="19"/>
      <c r="F5412" s="19"/>
      <c r="G5412" s="19"/>
      <c r="H5412" s="82"/>
    </row>
    <row r="5413" spans="1:8" s="28" customFormat="1" x14ac:dyDescent="0.25">
      <c r="A5413" s="29"/>
      <c r="B5413" s="15"/>
      <c r="C5413" s="19"/>
      <c r="D5413" s="19"/>
      <c r="E5413" s="19"/>
      <c r="F5413" s="19"/>
      <c r="G5413" s="19"/>
      <c r="H5413" s="82"/>
    </row>
    <row r="5414" spans="1:8" s="28" customFormat="1" x14ac:dyDescent="0.25">
      <c r="A5414" s="29"/>
      <c r="B5414" s="15"/>
      <c r="C5414" s="19"/>
      <c r="D5414" s="19"/>
      <c r="E5414" s="19"/>
      <c r="F5414" s="19"/>
      <c r="G5414" s="19"/>
      <c r="H5414" s="82"/>
    </row>
    <row r="5415" spans="1:8" s="28" customFormat="1" x14ac:dyDescent="0.25">
      <c r="A5415" s="29"/>
      <c r="B5415" s="15"/>
      <c r="C5415" s="19"/>
      <c r="D5415" s="19"/>
      <c r="E5415" s="19"/>
      <c r="F5415" s="19"/>
      <c r="G5415" s="19"/>
      <c r="H5415" s="82"/>
    </row>
    <row r="5416" spans="1:8" s="28" customFormat="1" x14ac:dyDescent="0.25">
      <c r="A5416" s="29"/>
      <c r="B5416" s="15"/>
      <c r="C5416" s="19"/>
      <c r="D5416" s="19"/>
      <c r="E5416" s="19"/>
      <c r="F5416" s="19"/>
      <c r="G5416" s="19"/>
      <c r="H5416" s="82"/>
    </row>
    <row r="5417" spans="1:8" s="28" customFormat="1" x14ac:dyDescent="0.25">
      <c r="A5417" s="29"/>
      <c r="B5417" s="15"/>
      <c r="C5417" s="19"/>
      <c r="D5417" s="19"/>
      <c r="E5417" s="19"/>
      <c r="F5417" s="19"/>
      <c r="G5417" s="19"/>
      <c r="H5417" s="82"/>
    </row>
    <row r="5418" spans="1:8" s="28" customFormat="1" x14ac:dyDescent="0.25">
      <c r="A5418" s="29"/>
      <c r="B5418" s="15"/>
      <c r="C5418" s="19"/>
      <c r="D5418" s="19"/>
      <c r="E5418" s="19"/>
      <c r="F5418" s="19"/>
      <c r="G5418" s="19"/>
      <c r="H5418" s="82"/>
    </row>
    <row r="5419" spans="1:8" s="28" customFormat="1" x14ac:dyDescent="0.25">
      <c r="A5419" s="29"/>
      <c r="B5419" s="15"/>
      <c r="C5419" s="19"/>
      <c r="D5419" s="19"/>
      <c r="E5419" s="19"/>
      <c r="F5419" s="19"/>
      <c r="G5419" s="19"/>
      <c r="H5419" s="82"/>
    </row>
    <row r="5420" spans="1:8" s="28" customFormat="1" x14ac:dyDescent="0.25">
      <c r="A5420" s="29"/>
      <c r="B5420" s="15"/>
      <c r="C5420" s="19"/>
      <c r="D5420" s="19"/>
      <c r="E5420" s="19"/>
      <c r="F5420" s="19"/>
      <c r="G5420" s="19"/>
      <c r="H5420" s="82"/>
    </row>
    <row r="5421" spans="1:8" s="28" customFormat="1" x14ac:dyDescent="0.25">
      <c r="A5421" s="29"/>
      <c r="B5421" s="15"/>
      <c r="C5421" s="19"/>
      <c r="D5421" s="19"/>
      <c r="E5421" s="19"/>
      <c r="F5421" s="19"/>
      <c r="G5421" s="19"/>
      <c r="H5421" s="82"/>
    </row>
    <row r="5422" spans="1:8" s="28" customFormat="1" x14ac:dyDescent="0.25">
      <c r="A5422" s="29"/>
      <c r="B5422" s="15"/>
      <c r="C5422" s="19"/>
      <c r="D5422" s="19"/>
      <c r="E5422" s="19"/>
      <c r="F5422" s="19"/>
      <c r="G5422" s="19"/>
      <c r="H5422" s="82"/>
    </row>
    <row r="5423" spans="1:8" s="28" customFormat="1" x14ac:dyDescent="0.25">
      <c r="A5423" s="29"/>
      <c r="B5423" s="15"/>
      <c r="C5423" s="19"/>
      <c r="D5423" s="19"/>
      <c r="E5423" s="19"/>
      <c r="F5423" s="19"/>
      <c r="G5423" s="19"/>
      <c r="H5423" s="82"/>
    </row>
    <row r="5424" spans="1:8" s="28" customFormat="1" x14ac:dyDescent="0.25">
      <c r="A5424" s="29"/>
      <c r="B5424" s="15"/>
      <c r="C5424" s="19"/>
      <c r="D5424" s="19"/>
      <c r="E5424" s="19"/>
      <c r="F5424" s="19"/>
      <c r="G5424" s="19"/>
      <c r="H5424" s="82"/>
    </row>
    <row r="5425" spans="1:8" s="28" customFormat="1" x14ac:dyDescent="0.25">
      <c r="A5425" s="29"/>
      <c r="B5425" s="15"/>
      <c r="C5425" s="19"/>
      <c r="D5425" s="19"/>
      <c r="E5425" s="19"/>
      <c r="F5425" s="19"/>
      <c r="G5425" s="19"/>
      <c r="H5425" s="82"/>
    </row>
    <row r="5426" spans="1:8" s="28" customFormat="1" x14ac:dyDescent="0.25">
      <c r="A5426" s="29"/>
      <c r="B5426" s="15"/>
      <c r="C5426" s="19"/>
      <c r="D5426" s="19"/>
      <c r="E5426" s="19"/>
      <c r="F5426" s="19"/>
      <c r="G5426" s="19"/>
      <c r="H5426" s="82"/>
    </row>
    <row r="5427" spans="1:8" s="28" customFormat="1" x14ac:dyDescent="0.25">
      <c r="A5427" s="29"/>
      <c r="B5427" s="15"/>
      <c r="C5427" s="19"/>
      <c r="D5427" s="19"/>
      <c r="E5427" s="19"/>
      <c r="F5427" s="19"/>
      <c r="G5427" s="19"/>
      <c r="H5427" s="82"/>
    </row>
    <row r="5428" spans="1:8" s="28" customFormat="1" x14ac:dyDescent="0.25">
      <c r="A5428" s="29"/>
      <c r="B5428" s="15"/>
      <c r="C5428" s="19"/>
      <c r="D5428" s="19"/>
      <c r="E5428" s="19"/>
      <c r="F5428" s="19"/>
      <c r="G5428" s="19"/>
      <c r="H5428" s="82"/>
    </row>
    <row r="5429" spans="1:8" s="28" customFormat="1" x14ac:dyDescent="0.25">
      <c r="A5429" s="29"/>
      <c r="B5429" s="15"/>
      <c r="C5429" s="19"/>
      <c r="D5429" s="19"/>
      <c r="E5429" s="19"/>
      <c r="F5429" s="19"/>
      <c r="G5429" s="19"/>
      <c r="H5429" s="82"/>
    </row>
    <row r="5430" spans="1:8" s="28" customFormat="1" x14ac:dyDescent="0.25">
      <c r="A5430" s="29"/>
      <c r="B5430" s="15"/>
      <c r="C5430" s="19"/>
      <c r="D5430" s="19"/>
      <c r="E5430" s="19"/>
      <c r="F5430" s="19"/>
      <c r="G5430" s="19"/>
      <c r="H5430" s="82"/>
    </row>
    <row r="5431" spans="1:8" s="28" customFormat="1" x14ac:dyDescent="0.25">
      <c r="A5431" s="29"/>
      <c r="B5431" s="15"/>
      <c r="C5431" s="19"/>
      <c r="D5431" s="19"/>
      <c r="E5431" s="19"/>
      <c r="F5431" s="19"/>
      <c r="G5431" s="19"/>
      <c r="H5431" s="82"/>
    </row>
    <row r="5432" spans="1:8" s="28" customFormat="1" x14ac:dyDescent="0.25">
      <c r="A5432" s="29"/>
      <c r="B5432" s="15"/>
      <c r="C5432" s="19"/>
      <c r="D5432" s="19"/>
      <c r="E5432" s="19"/>
      <c r="F5432" s="19"/>
      <c r="G5432" s="19"/>
      <c r="H5432" s="82"/>
    </row>
    <row r="5433" spans="1:8" s="28" customFormat="1" x14ac:dyDescent="0.25">
      <c r="A5433" s="29"/>
      <c r="B5433" s="15"/>
      <c r="C5433" s="19"/>
      <c r="D5433" s="19"/>
      <c r="E5433" s="19"/>
      <c r="F5433" s="19"/>
      <c r="G5433" s="19"/>
      <c r="H5433" s="82"/>
    </row>
    <row r="5434" spans="1:8" s="28" customFormat="1" x14ac:dyDescent="0.25">
      <c r="A5434" s="29"/>
      <c r="B5434" s="15"/>
      <c r="C5434" s="19"/>
      <c r="D5434" s="19"/>
      <c r="E5434" s="19"/>
      <c r="F5434" s="19"/>
      <c r="G5434" s="19"/>
      <c r="H5434" s="82"/>
    </row>
    <row r="5435" spans="1:8" s="28" customFormat="1" x14ac:dyDescent="0.25">
      <c r="A5435" s="29"/>
      <c r="B5435" s="15"/>
      <c r="C5435" s="19"/>
      <c r="D5435" s="19"/>
      <c r="E5435" s="19"/>
      <c r="F5435" s="19"/>
      <c r="G5435" s="19"/>
      <c r="H5435" s="82"/>
    </row>
    <row r="5436" spans="1:8" s="28" customFormat="1" x14ac:dyDescent="0.25">
      <c r="A5436" s="29"/>
      <c r="B5436" s="15"/>
      <c r="C5436" s="19"/>
      <c r="D5436" s="19"/>
      <c r="E5436" s="19"/>
      <c r="F5436" s="19"/>
      <c r="G5436" s="19"/>
      <c r="H5436" s="82"/>
    </row>
    <row r="5437" spans="1:8" s="28" customFormat="1" x14ac:dyDescent="0.25">
      <c r="A5437" s="29"/>
      <c r="B5437" s="15"/>
      <c r="C5437" s="19"/>
      <c r="D5437" s="19"/>
      <c r="E5437" s="19"/>
      <c r="F5437" s="19"/>
      <c r="G5437" s="19"/>
      <c r="H5437" s="82"/>
    </row>
    <row r="5438" spans="1:8" s="28" customFormat="1" x14ac:dyDescent="0.25">
      <c r="A5438" s="29"/>
      <c r="B5438" s="15"/>
      <c r="C5438" s="19"/>
      <c r="D5438" s="19"/>
      <c r="E5438" s="19"/>
      <c r="F5438" s="19"/>
      <c r="G5438" s="19"/>
      <c r="H5438" s="82"/>
    </row>
    <row r="5439" spans="1:8" s="28" customFormat="1" x14ac:dyDescent="0.25">
      <c r="A5439" s="29"/>
      <c r="B5439" s="15"/>
      <c r="C5439" s="19"/>
      <c r="D5439" s="19"/>
      <c r="E5439" s="19"/>
      <c r="F5439" s="19"/>
      <c r="G5439" s="19"/>
      <c r="H5439" s="82"/>
    </row>
    <row r="5440" spans="1:8" s="28" customFormat="1" x14ac:dyDescent="0.25">
      <c r="A5440" s="29"/>
      <c r="B5440" s="15"/>
      <c r="C5440" s="19"/>
      <c r="D5440" s="19"/>
      <c r="E5440" s="19"/>
      <c r="F5440" s="19"/>
      <c r="G5440" s="19"/>
      <c r="H5440" s="82"/>
    </row>
    <row r="5441" spans="1:8" s="28" customFormat="1" x14ac:dyDescent="0.25">
      <c r="A5441" s="29"/>
      <c r="B5441" s="15"/>
      <c r="C5441" s="19"/>
      <c r="D5441" s="19"/>
      <c r="E5441" s="19"/>
      <c r="F5441" s="19"/>
      <c r="G5441" s="19"/>
      <c r="H5441" s="82"/>
    </row>
    <row r="5442" spans="1:8" s="28" customFormat="1" x14ac:dyDescent="0.25">
      <c r="A5442" s="29"/>
      <c r="B5442" s="15"/>
      <c r="C5442" s="19"/>
      <c r="D5442" s="19"/>
      <c r="E5442" s="19"/>
      <c r="F5442" s="19"/>
      <c r="G5442" s="19"/>
      <c r="H5442" s="82"/>
    </row>
    <row r="5443" spans="1:8" s="28" customFormat="1" x14ac:dyDescent="0.25">
      <c r="A5443" s="29"/>
      <c r="B5443" s="15"/>
      <c r="C5443" s="19"/>
      <c r="D5443" s="19"/>
      <c r="E5443" s="19"/>
      <c r="F5443" s="19"/>
      <c r="G5443" s="19"/>
      <c r="H5443" s="82"/>
    </row>
    <row r="5444" spans="1:8" s="28" customFormat="1" x14ac:dyDescent="0.25">
      <c r="A5444" s="29"/>
      <c r="B5444" s="15"/>
      <c r="C5444" s="19"/>
      <c r="D5444" s="19"/>
      <c r="E5444" s="19"/>
      <c r="F5444" s="19"/>
      <c r="G5444" s="19"/>
      <c r="H5444" s="82"/>
    </row>
    <row r="5445" spans="1:8" s="28" customFormat="1" x14ac:dyDescent="0.25">
      <c r="A5445" s="29"/>
      <c r="B5445" s="15"/>
      <c r="C5445" s="19"/>
      <c r="D5445" s="19"/>
      <c r="E5445" s="19"/>
      <c r="F5445" s="19"/>
      <c r="G5445" s="19"/>
      <c r="H5445" s="82"/>
    </row>
    <row r="5446" spans="1:8" s="28" customFormat="1" x14ac:dyDescent="0.25">
      <c r="A5446" s="29"/>
      <c r="B5446" s="15"/>
      <c r="C5446" s="19"/>
      <c r="D5446" s="19"/>
      <c r="E5446" s="19"/>
      <c r="F5446" s="19"/>
      <c r="G5446" s="19"/>
      <c r="H5446" s="82"/>
    </row>
    <row r="5447" spans="1:8" s="28" customFormat="1" x14ac:dyDescent="0.25">
      <c r="A5447" s="29"/>
      <c r="B5447" s="15"/>
      <c r="C5447" s="19"/>
      <c r="D5447" s="19"/>
      <c r="E5447" s="19"/>
      <c r="F5447" s="19"/>
      <c r="G5447" s="19"/>
      <c r="H5447" s="82"/>
    </row>
    <row r="5448" spans="1:8" s="28" customFormat="1" x14ac:dyDescent="0.25">
      <c r="A5448" s="29"/>
      <c r="B5448" s="15"/>
      <c r="C5448" s="19"/>
      <c r="D5448" s="19"/>
      <c r="E5448" s="19"/>
      <c r="F5448" s="19"/>
      <c r="G5448" s="19"/>
      <c r="H5448" s="82"/>
    </row>
    <row r="5449" spans="1:8" s="28" customFormat="1" x14ac:dyDescent="0.25">
      <c r="A5449" s="29"/>
      <c r="B5449" s="15"/>
      <c r="C5449" s="19"/>
      <c r="D5449" s="19"/>
      <c r="E5449" s="19"/>
      <c r="F5449" s="19"/>
      <c r="G5449" s="19"/>
      <c r="H5449" s="82"/>
    </row>
    <row r="5450" spans="1:8" s="28" customFormat="1" x14ac:dyDescent="0.25">
      <c r="A5450" s="29"/>
      <c r="B5450" s="15"/>
      <c r="C5450" s="19"/>
      <c r="D5450" s="19"/>
      <c r="E5450" s="19"/>
      <c r="F5450" s="19"/>
      <c r="G5450" s="19"/>
      <c r="H5450" s="82"/>
    </row>
    <row r="5451" spans="1:8" s="28" customFormat="1" x14ac:dyDescent="0.25">
      <c r="A5451" s="29"/>
      <c r="B5451" s="15"/>
      <c r="C5451" s="19"/>
      <c r="D5451" s="19"/>
      <c r="E5451" s="19"/>
      <c r="F5451" s="19"/>
      <c r="G5451" s="19"/>
      <c r="H5451" s="82"/>
    </row>
    <row r="5452" spans="1:8" s="28" customFormat="1" x14ac:dyDescent="0.25">
      <c r="A5452" s="29"/>
      <c r="B5452" s="15"/>
      <c r="C5452" s="19"/>
      <c r="D5452" s="19"/>
      <c r="E5452" s="19"/>
      <c r="F5452" s="19"/>
      <c r="G5452" s="19"/>
      <c r="H5452" s="82"/>
    </row>
    <row r="5453" spans="1:8" s="28" customFormat="1" x14ac:dyDescent="0.25">
      <c r="A5453" s="29"/>
      <c r="B5453" s="15"/>
      <c r="C5453" s="19"/>
      <c r="D5453" s="19"/>
      <c r="E5453" s="19"/>
      <c r="F5453" s="19"/>
      <c r="G5453" s="19"/>
      <c r="H5453" s="82"/>
    </row>
    <row r="5454" spans="1:8" s="28" customFormat="1" x14ac:dyDescent="0.25">
      <c r="A5454" s="29"/>
      <c r="B5454" s="15"/>
      <c r="C5454" s="19"/>
      <c r="D5454" s="19"/>
      <c r="E5454" s="19"/>
      <c r="F5454" s="19"/>
      <c r="G5454" s="19"/>
      <c r="H5454" s="82"/>
    </row>
    <row r="5455" spans="1:8" s="28" customFormat="1" x14ac:dyDescent="0.25">
      <c r="A5455" s="29"/>
      <c r="B5455" s="15"/>
      <c r="C5455" s="19"/>
      <c r="D5455" s="19"/>
      <c r="E5455" s="19"/>
      <c r="F5455" s="19"/>
      <c r="G5455" s="19"/>
      <c r="H5455" s="82"/>
    </row>
    <row r="5456" spans="1:8" s="28" customFormat="1" x14ac:dyDescent="0.25">
      <c r="A5456" s="29"/>
      <c r="B5456" s="15"/>
      <c r="C5456" s="19"/>
      <c r="D5456" s="19"/>
      <c r="E5456" s="19"/>
      <c r="F5456" s="19"/>
      <c r="G5456" s="19"/>
      <c r="H5456" s="82"/>
    </row>
    <row r="5457" spans="1:8" s="28" customFormat="1" x14ac:dyDescent="0.25">
      <c r="A5457" s="29"/>
      <c r="B5457" s="15"/>
      <c r="C5457" s="19"/>
      <c r="D5457" s="19"/>
      <c r="E5457" s="19"/>
      <c r="F5457" s="19"/>
      <c r="G5457" s="19"/>
      <c r="H5457" s="82"/>
    </row>
    <row r="5458" spans="1:8" s="28" customFormat="1" x14ac:dyDescent="0.25">
      <c r="A5458" s="29"/>
      <c r="B5458" s="15"/>
      <c r="C5458" s="19"/>
      <c r="D5458" s="19"/>
      <c r="E5458" s="19"/>
      <c r="F5458" s="19"/>
      <c r="G5458" s="19"/>
      <c r="H5458" s="82"/>
    </row>
    <row r="5459" spans="1:8" s="28" customFormat="1" x14ac:dyDescent="0.25">
      <c r="A5459" s="29"/>
      <c r="B5459" s="15"/>
      <c r="C5459" s="19"/>
      <c r="D5459" s="19"/>
      <c r="E5459" s="19"/>
      <c r="F5459" s="19"/>
      <c r="G5459" s="19"/>
      <c r="H5459" s="82"/>
    </row>
    <row r="5460" spans="1:8" s="28" customFormat="1" x14ac:dyDescent="0.25">
      <c r="A5460" s="29"/>
      <c r="B5460" s="15"/>
      <c r="C5460" s="19"/>
      <c r="D5460" s="19"/>
      <c r="E5460" s="19"/>
      <c r="F5460" s="19"/>
      <c r="G5460" s="19"/>
      <c r="H5460" s="82"/>
    </row>
    <row r="5461" spans="1:8" s="28" customFormat="1" x14ac:dyDescent="0.25">
      <c r="A5461" s="29"/>
      <c r="B5461" s="15"/>
      <c r="C5461" s="19"/>
      <c r="D5461" s="19"/>
      <c r="E5461" s="19"/>
      <c r="F5461" s="19"/>
      <c r="G5461" s="19"/>
      <c r="H5461" s="82"/>
    </row>
    <row r="5462" spans="1:8" s="28" customFormat="1" x14ac:dyDescent="0.25">
      <c r="A5462" s="29"/>
      <c r="B5462" s="15"/>
      <c r="C5462" s="19"/>
      <c r="D5462" s="19"/>
      <c r="E5462" s="19"/>
      <c r="F5462" s="19"/>
      <c r="G5462" s="19"/>
      <c r="H5462" s="82"/>
    </row>
    <row r="5463" spans="1:8" s="28" customFormat="1" x14ac:dyDescent="0.25">
      <c r="A5463" s="29"/>
      <c r="B5463" s="15"/>
      <c r="C5463" s="19"/>
      <c r="D5463" s="19"/>
      <c r="E5463" s="19"/>
      <c r="F5463" s="19"/>
      <c r="G5463" s="19"/>
      <c r="H5463" s="82"/>
    </row>
    <row r="5464" spans="1:8" s="28" customFormat="1" x14ac:dyDescent="0.25">
      <c r="A5464" s="29"/>
      <c r="B5464" s="15"/>
      <c r="C5464" s="19"/>
      <c r="D5464" s="19"/>
      <c r="E5464" s="19"/>
      <c r="F5464" s="19"/>
      <c r="G5464" s="19"/>
      <c r="H5464" s="82"/>
    </row>
    <row r="5465" spans="1:8" s="28" customFormat="1" x14ac:dyDescent="0.25">
      <c r="A5465" s="29"/>
      <c r="B5465" s="15"/>
      <c r="C5465" s="19"/>
      <c r="D5465" s="19"/>
      <c r="E5465" s="19"/>
      <c r="F5465" s="19"/>
      <c r="G5465" s="19"/>
      <c r="H5465" s="82"/>
    </row>
    <row r="5466" spans="1:8" s="28" customFormat="1" x14ac:dyDescent="0.25">
      <c r="A5466" s="29"/>
      <c r="B5466" s="15"/>
      <c r="C5466" s="19"/>
      <c r="D5466" s="19"/>
      <c r="E5466" s="19"/>
      <c r="F5466" s="19"/>
      <c r="G5466" s="19"/>
      <c r="H5466" s="82"/>
    </row>
    <row r="5467" spans="1:8" s="28" customFormat="1" x14ac:dyDescent="0.25">
      <c r="A5467" s="29"/>
      <c r="B5467" s="15"/>
      <c r="C5467" s="19"/>
      <c r="D5467" s="19"/>
      <c r="E5467" s="19"/>
      <c r="F5467" s="19"/>
      <c r="G5467" s="19"/>
      <c r="H5467" s="82"/>
    </row>
    <row r="5468" spans="1:8" s="28" customFormat="1" x14ac:dyDescent="0.25">
      <c r="A5468" s="29"/>
      <c r="B5468" s="15"/>
      <c r="C5468" s="19"/>
      <c r="D5468" s="19"/>
      <c r="E5468" s="19"/>
      <c r="F5468" s="19"/>
      <c r="G5468" s="19"/>
      <c r="H5468" s="82"/>
    </row>
    <row r="5469" spans="1:8" s="28" customFormat="1" x14ac:dyDescent="0.25">
      <c r="A5469" s="29"/>
      <c r="B5469" s="15"/>
      <c r="C5469" s="19"/>
      <c r="D5469" s="19"/>
      <c r="E5469" s="19"/>
      <c r="F5469" s="19"/>
      <c r="G5469" s="19"/>
      <c r="H5469" s="82"/>
    </row>
    <row r="5470" spans="1:8" s="28" customFormat="1" x14ac:dyDescent="0.25">
      <c r="A5470" s="29"/>
      <c r="B5470" s="15"/>
      <c r="C5470" s="19"/>
      <c r="D5470" s="19"/>
      <c r="E5470" s="19"/>
      <c r="F5470" s="19"/>
      <c r="G5470" s="19"/>
      <c r="H5470" s="82"/>
    </row>
    <row r="5471" spans="1:8" s="28" customFormat="1" x14ac:dyDescent="0.25">
      <c r="A5471" s="29"/>
      <c r="B5471" s="15"/>
      <c r="C5471" s="19"/>
      <c r="D5471" s="19"/>
      <c r="E5471" s="19"/>
      <c r="F5471" s="19"/>
      <c r="G5471" s="19"/>
      <c r="H5471" s="82"/>
    </row>
    <row r="5472" spans="1:8" s="28" customFormat="1" x14ac:dyDescent="0.25">
      <c r="A5472" s="29"/>
      <c r="B5472" s="15"/>
      <c r="C5472" s="19"/>
      <c r="D5472" s="19"/>
      <c r="E5472" s="19"/>
      <c r="F5472" s="19"/>
      <c r="G5472" s="19"/>
      <c r="H5472" s="82"/>
    </row>
    <row r="5473" spans="1:8" s="28" customFormat="1" x14ac:dyDescent="0.25">
      <c r="A5473" s="29"/>
      <c r="B5473" s="15"/>
      <c r="C5473" s="19"/>
      <c r="D5473" s="19"/>
      <c r="E5473" s="19"/>
      <c r="F5473" s="19"/>
      <c r="G5473" s="19"/>
      <c r="H5473" s="82"/>
    </row>
    <row r="5474" spans="1:8" s="28" customFormat="1" x14ac:dyDescent="0.25">
      <c r="A5474" s="29"/>
      <c r="B5474" s="15"/>
      <c r="C5474" s="19"/>
      <c r="D5474" s="19"/>
      <c r="E5474" s="19"/>
      <c r="F5474" s="19"/>
      <c r="G5474" s="19"/>
      <c r="H5474" s="82"/>
    </row>
    <row r="5475" spans="1:8" s="28" customFormat="1" x14ac:dyDescent="0.25">
      <c r="A5475" s="29"/>
      <c r="B5475" s="15"/>
      <c r="C5475" s="19"/>
      <c r="D5475" s="19"/>
      <c r="E5475" s="19"/>
      <c r="F5475" s="19"/>
      <c r="G5475" s="19"/>
      <c r="H5475" s="82"/>
    </row>
    <row r="5476" spans="1:8" s="28" customFormat="1" x14ac:dyDescent="0.25">
      <c r="A5476" s="29"/>
      <c r="B5476" s="15"/>
      <c r="C5476" s="19"/>
      <c r="D5476" s="19"/>
      <c r="E5476" s="19"/>
      <c r="F5476" s="19"/>
      <c r="G5476" s="19"/>
      <c r="H5476" s="82"/>
    </row>
    <row r="5477" spans="1:8" s="28" customFormat="1" x14ac:dyDescent="0.25">
      <c r="A5477" s="29"/>
      <c r="B5477" s="15"/>
      <c r="C5477" s="19"/>
      <c r="D5477" s="19"/>
      <c r="E5477" s="19"/>
      <c r="F5477" s="19"/>
      <c r="G5477" s="19"/>
      <c r="H5477" s="82"/>
    </row>
    <row r="5478" spans="1:8" s="28" customFormat="1" x14ac:dyDescent="0.25">
      <c r="A5478" s="29"/>
      <c r="B5478" s="15"/>
      <c r="C5478" s="19"/>
      <c r="D5478" s="19"/>
      <c r="E5478" s="19"/>
      <c r="F5478" s="19"/>
      <c r="G5478" s="19"/>
      <c r="H5478" s="82"/>
    </row>
    <row r="5479" spans="1:8" s="28" customFormat="1" x14ac:dyDescent="0.25">
      <c r="A5479" s="29"/>
      <c r="B5479" s="15"/>
      <c r="C5479" s="19"/>
      <c r="D5479" s="19"/>
      <c r="E5479" s="19"/>
      <c r="F5479" s="19"/>
      <c r="G5479" s="19"/>
      <c r="H5479" s="82"/>
    </row>
    <row r="5480" spans="1:8" s="28" customFormat="1" x14ac:dyDescent="0.25">
      <c r="A5480" s="29"/>
      <c r="B5480" s="15"/>
      <c r="C5480" s="19"/>
      <c r="D5480" s="19"/>
      <c r="E5480" s="19"/>
      <c r="F5480" s="19"/>
      <c r="G5480" s="19"/>
      <c r="H5480" s="82"/>
    </row>
    <row r="5481" spans="1:8" s="28" customFormat="1" x14ac:dyDescent="0.25">
      <c r="A5481" s="29"/>
      <c r="B5481" s="15"/>
      <c r="C5481" s="19"/>
      <c r="D5481" s="19"/>
      <c r="E5481" s="19"/>
      <c r="F5481" s="19"/>
      <c r="G5481" s="19"/>
      <c r="H5481" s="82"/>
    </row>
    <row r="5482" spans="1:8" s="28" customFormat="1" x14ac:dyDescent="0.25">
      <c r="A5482" s="29"/>
      <c r="B5482" s="15"/>
      <c r="C5482" s="19"/>
      <c r="D5482" s="19"/>
      <c r="E5482" s="19"/>
      <c r="F5482" s="19"/>
      <c r="G5482" s="19"/>
      <c r="H5482" s="82"/>
    </row>
    <row r="5483" spans="1:8" s="28" customFormat="1" x14ac:dyDescent="0.25">
      <c r="A5483" s="29"/>
      <c r="B5483" s="15"/>
      <c r="C5483" s="19"/>
      <c r="D5483" s="19"/>
      <c r="E5483" s="19"/>
      <c r="F5483" s="19"/>
      <c r="G5483" s="19"/>
      <c r="H5483" s="82"/>
    </row>
    <row r="5484" spans="1:8" s="28" customFormat="1" x14ac:dyDescent="0.25">
      <c r="A5484" s="29"/>
      <c r="B5484" s="15"/>
      <c r="C5484" s="19"/>
      <c r="D5484" s="19"/>
      <c r="E5484" s="19"/>
      <c r="F5484" s="19"/>
      <c r="G5484" s="19"/>
      <c r="H5484" s="82"/>
    </row>
    <row r="5485" spans="1:8" s="28" customFormat="1" x14ac:dyDescent="0.25">
      <c r="A5485" s="29"/>
      <c r="B5485" s="15"/>
      <c r="C5485" s="19"/>
      <c r="D5485" s="19"/>
      <c r="E5485" s="19"/>
      <c r="F5485" s="19"/>
      <c r="G5485" s="19"/>
      <c r="H5485" s="82"/>
    </row>
    <row r="5486" spans="1:8" s="28" customFormat="1" x14ac:dyDescent="0.25">
      <c r="A5486" s="29"/>
      <c r="B5486" s="15"/>
      <c r="C5486" s="19"/>
      <c r="D5486" s="19"/>
      <c r="E5486" s="19"/>
      <c r="F5486" s="19"/>
      <c r="G5486" s="19"/>
      <c r="H5486" s="82"/>
    </row>
    <row r="5487" spans="1:8" s="28" customFormat="1" x14ac:dyDescent="0.25">
      <c r="A5487" s="29"/>
      <c r="B5487" s="15"/>
      <c r="C5487" s="19"/>
      <c r="D5487" s="19"/>
      <c r="E5487" s="19"/>
      <c r="F5487" s="19"/>
      <c r="G5487" s="19"/>
      <c r="H5487" s="82"/>
    </row>
    <row r="5488" spans="1:8" s="28" customFormat="1" x14ac:dyDescent="0.25">
      <c r="A5488" s="29"/>
      <c r="B5488" s="15"/>
      <c r="C5488" s="19"/>
      <c r="D5488" s="19"/>
      <c r="E5488" s="19"/>
      <c r="F5488" s="19"/>
      <c r="G5488" s="19"/>
      <c r="H5488" s="82"/>
    </row>
    <row r="5489" spans="1:8" s="28" customFormat="1" x14ac:dyDescent="0.25">
      <c r="A5489" s="29"/>
      <c r="B5489" s="15"/>
      <c r="C5489" s="19"/>
      <c r="D5489" s="19"/>
      <c r="E5489" s="19"/>
      <c r="F5489" s="19"/>
      <c r="G5489" s="19"/>
      <c r="H5489" s="82"/>
    </row>
    <row r="5490" spans="1:8" s="28" customFormat="1" x14ac:dyDescent="0.25">
      <c r="A5490" s="29"/>
      <c r="B5490" s="15"/>
      <c r="C5490" s="19"/>
      <c r="D5490" s="19"/>
      <c r="E5490" s="19"/>
      <c r="F5490" s="19"/>
      <c r="G5490" s="19"/>
      <c r="H5490" s="82"/>
    </row>
    <row r="5491" spans="1:8" s="28" customFormat="1" x14ac:dyDescent="0.25">
      <c r="A5491" s="29"/>
      <c r="B5491" s="15"/>
      <c r="C5491" s="19"/>
      <c r="D5491" s="19"/>
      <c r="E5491" s="19"/>
      <c r="F5491" s="19"/>
      <c r="G5491" s="19"/>
      <c r="H5491" s="82"/>
    </row>
    <row r="5492" spans="1:8" s="28" customFormat="1" x14ac:dyDescent="0.25">
      <c r="A5492" s="29"/>
      <c r="B5492" s="15"/>
      <c r="C5492" s="19"/>
      <c r="D5492" s="19"/>
      <c r="E5492" s="19"/>
      <c r="F5492" s="19"/>
      <c r="G5492" s="19"/>
      <c r="H5492" s="82"/>
    </row>
    <row r="5493" spans="1:8" s="28" customFormat="1" x14ac:dyDescent="0.25">
      <c r="A5493" s="29"/>
      <c r="B5493" s="15"/>
      <c r="C5493" s="19"/>
      <c r="D5493" s="19"/>
      <c r="E5493" s="19"/>
      <c r="F5493" s="19"/>
      <c r="G5493" s="19"/>
      <c r="H5493" s="82"/>
    </row>
    <row r="5494" spans="1:8" s="28" customFormat="1" x14ac:dyDescent="0.25">
      <c r="A5494" s="29"/>
      <c r="B5494" s="15"/>
      <c r="C5494" s="19"/>
      <c r="D5494" s="19"/>
      <c r="E5494" s="19"/>
      <c r="F5494" s="19"/>
      <c r="G5494" s="19"/>
      <c r="H5494" s="82"/>
    </row>
    <row r="5495" spans="1:8" s="28" customFormat="1" x14ac:dyDescent="0.25">
      <c r="A5495" s="29"/>
      <c r="B5495" s="15"/>
      <c r="C5495" s="19"/>
      <c r="D5495" s="19"/>
      <c r="E5495" s="19"/>
      <c r="F5495" s="19"/>
      <c r="G5495" s="19"/>
      <c r="H5495" s="82"/>
    </row>
    <row r="5496" spans="1:8" s="28" customFormat="1" x14ac:dyDescent="0.25">
      <c r="A5496" s="29"/>
      <c r="B5496" s="15"/>
      <c r="C5496" s="19"/>
      <c r="D5496" s="19"/>
      <c r="E5496" s="19"/>
      <c r="F5496" s="19"/>
      <c r="G5496" s="19"/>
      <c r="H5496" s="82"/>
    </row>
    <row r="5497" spans="1:8" s="28" customFormat="1" x14ac:dyDescent="0.25">
      <c r="A5497" s="29"/>
      <c r="B5497" s="15"/>
      <c r="C5497" s="19"/>
      <c r="D5497" s="19"/>
      <c r="E5497" s="19"/>
      <c r="F5497" s="19"/>
      <c r="G5497" s="19"/>
      <c r="H5497" s="82"/>
    </row>
    <row r="5498" spans="1:8" s="28" customFormat="1" x14ac:dyDescent="0.25">
      <c r="A5498" s="29"/>
      <c r="B5498" s="15"/>
      <c r="C5498" s="19"/>
      <c r="D5498" s="19"/>
      <c r="E5498" s="19"/>
      <c r="F5498" s="19"/>
      <c r="G5498" s="19"/>
      <c r="H5498" s="82"/>
    </row>
    <row r="5499" spans="1:8" s="28" customFormat="1" x14ac:dyDescent="0.25">
      <c r="A5499" s="29"/>
      <c r="B5499" s="15"/>
      <c r="C5499" s="19"/>
      <c r="D5499" s="19"/>
      <c r="E5499" s="19"/>
      <c r="F5499" s="19"/>
      <c r="G5499" s="19"/>
      <c r="H5499" s="82"/>
    </row>
    <row r="5500" spans="1:8" s="28" customFormat="1" x14ac:dyDescent="0.25">
      <c r="A5500" s="29"/>
      <c r="B5500" s="15"/>
      <c r="C5500" s="19"/>
      <c r="D5500" s="19"/>
      <c r="E5500" s="19"/>
      <c r="F5500" s="19"/>
      <c r="G5500" s="19"/>
      <c r="H5500" s="82"/>
    </row>
    <row r="5501" spans="1:8" s="28" customFormat="1" x14ac:dyDescent="0.25">
      <c r="A5501" s="29"/>
      <c r="B5501" s="15"/>
      <c r="C5501" s="19"/>
      <c r="D5501" s="19"/>
      <c r="E5501" s="19"/>
      <c r="F5501" s="19"/>
      <c r="G5501" s="19"/>
      <c r="H5501" s="82"/>
    </row>
    <row r="5502" spans="1:8" s="28" customFormat="1" x14ac:dyDescent="0.25">
      <c r="A5502" s="29"/>
      <c r="B5502" s="15"/>
      <c r="C5502" s="19"/>
      <c r="D5502" s="19"/>
      <c r="E5502" s="19"/>
      <c r="F5502" s="19"/>
      <c r="G5502" s="19"/>
      <c r="H5502" s="82"/>
    </row>
    <row r="5503" spans="1:8" s="28" customFormat="1" x14ac:dyDescent="0.25">
      <c r="A5503" s="29"/>
      <c r="B5503" s="15"/>
      <c r="C5503" s="19"/>
      <c r="D5503" s="19"/>
      <c r="E5503" s="19"/>
      <c r="F5503" s="19"/>
      <c r="G5503" s="19"/>
      <c r="H5503" s="82"/>
    </row>
    <row r="5504" spans="1:8" s="28" customFormat="1" x14ac:dyDescent="0.25">
      <c r="A5504" s="29"/>
      <c r="B5504" s="15"/>
      <c r="C5504" s="19"/>
      <c r="D5504" s="19"/>
      <c r="E5504" s="19"/>
      <c r="F5504" s="19"/>
      <c r="G5504" s="19"/>
      <c r="H5504" s="82"/>
    </row>
    <row r="5505" spans="1:8" s="28" customFormat="1" x14ac:dyDescent="0.25">
      <c r="A5505" s="29"/>
      <c r="B5505" s="15"/>
      <c r="C5505" s="19"/>
      <c r="D5505" s="19"/>
      <c r="E5505" s="19"/>
      <c r="F5505" s="19"/>
      <c r="G5505" s="19"/>
      <c r="H5505" s="82"/>
    </row>
    <row r="5506" spans="1:8" s="28" customFormat="1" x14ac:dyDescent="0.25">
      <c r="A5506" s="29"/>
      <c r="B5506" s="15"/>
      <c r="C5506" s="19"/>
      <c r="D5506" s="19"/>
      <c r="E5506" s="19"/>
      <c r="F5506" s="19"/>
      <c r="G5506" s="19"/>
      <c r="H5506" s="82"/>
    </row>
    <row r="5507" spans="1:8" s="28" customFormat="1" x14ac:dyDescent="0.25">
      <c r="A5507" s="29"/>
      <c r="B5507" s="15"/>
      <c r="C5507" s="19"/>
      <c r="D5507" s="19"/>
      <c r="E5507" s="19"/>
      <c r="F5507" s="19"/>
      <c r="G5507" s="19"/>
      <c r="H5507" s="82"/>
    </row>
    <row r="5508" spans="1:8" s="28" customFormat="1" x14ac:dyDescent="0.25">
      <c r="A5508" s="29"/>
      <c r="B5508" s="15"/>
      <c r="C5508" s="19"/>
      <c r="D5508" s="19"/>
      <c r="E5508" s="19"/>
      <c r="F5508" s="19"/>
      <c r="G5508" s="19"/>
      <c r="H5508" s="82"/>
    </row>
    <row r="5509" spans="1:8" s="28" customFormat="1" x14ac:dyDescent="0.25">
      <c r="A5509" s="29"/>
      <c r="B5509" s="15"/>
      <c r="C5509" s="19"/>
      <c r="D5509" s="19"/>
      <c r="E5509" s="19"/>
      <c r="F5509" s="19"/>
      <c r="G5509" s="19"/>
      <c r="H5509" s="82"/>
    </row>
    <row r="5510" spans="1:8" s="28" customFormat="1" x14ac:dyDescent="0.25">
      <c r="A5510" s="29"/>
      <c r="B5510" s="15"/>
      <c r="C5510" s="19"/>
      <c r="D5510" s="19"/>
      <c r="E5510" s="19"/>
      <c r="F5510" s="19"/>
      <c r="G5510" s="19"/>
      <c r="H5510" s="82"/>
    </row>
    <row r="5511" spans="1:8" s="28" customFormat="1" x14ac:dyDescent="0.25">
      <c r="A5511" s="29"/>
      <c r="B5511" s="15"/>
      <c r="C5511" s="19"/>
      <c r="D5511" s="19"/>
      <c r="E5511" s="19"/>
      <c r="F5511" s="19"/>
      <c r="G5511" s="19"/>
      <c r="H5511" s="82"/>
    </row>
    <row r="5512" spans="1:8" s="28" customFormat="1" x14ac:dyDescent="0.25">
      <c r="A5512" s="29"/>
      <c r="B5512" s="15"/>
      <c r="C5512" s="19"/>
      <c r="D5512" s="19"/>
      <c r="E5512" s="19"/>
      <c r="F5512" s="19"/>
      <c r="G5512" s="19"/>
      <c r="H5512" s="82"/>
    </row>
    <row r="5513" spans="1:8" s="28" customFormat="1" x14ac:dyDescent="0.25">
      <c r="A5513" s="29"/>
      <c r="B5513" s="15"/>
      <c r="C5513" s="19"/>
      <c r="D5513" s="19"/>
      <c r="E5513" s="19"/>
      <c r="F5513" s="19"/>
      <c r="G5513" s="19"/>
      <c r="H5513" s="82"/>
    </row>
    <row r="5514" spans="1:8" s="28" customFormat="1" x14ac:dyDescent="0.25">
      <c r="A5514" s="29"/>
      <c r="B5514" s="15"/>
      <c r="C5514" s="19"/>
      <c r="D5514" s="19"/>
      <c r="E5514" s="19"/>
      <c r="F5514" s="19"/>
      <c r="G5514" s="19"/>
      <c r="H5514" s="82"/>
    </row>
    <row r="5515" spans="1:8" s="28" customFormat="1" x14ac:dyDescent="0.25">
      <c r="A5515" s="29"/>
      <c r="B5515" s="15"/>
      <c r="C5515" s="19"/>
      <c r="D5515" s="19"/>
      <c r="E5515" s="19"/>
      <c r="F5515" s="19"/>
      <c r="G5515" s="19"/>
      <c r="H5515" s="82"/>
    </row>
    <row r="5516" spans="1:8" s="28" customFormat="1" x14ac:dyDescent="0.25">
      <c r="A5516" s="29"/>
      <c r="B5516" s="15"/>
      <c r="C5516" s="19"/>
      <c r="D5516" s="19"/>
      <c r="E5516" s="19"/>
      <c r="F5516" s="19"/>
      <c r="G5516" s="19"/>
      <c r="H5516" s="82"/>
    </row>
    <row r="5517" spans="1:8" s="28" customFormat="1" x14ac:dyDescent="0.25">
      <c r="A5517" s="29"/>
      <c r="B5517" s="15"/>
      <c r="C5517" s="19"/>
      <c r="D5517" s="19"/>
      <c r="E5517" s="19"/>
      <c r="F5517" s="19"/>
      <c r="G5517" s="19"/>
      <c r="H5517" s="82"/>
    </row>
    <row r="5518" spans="1:8" s="28" customFormat="1" x14ac:dyDescent="0.25">
      <c r="A5518" s="29"/>
      <c r="B5518" s="15"/>
      <c r="C5518" s="19"/>
      <c r="D5518" s="19"/>
      <c r="E5518" s="19"/>
      <c r="F5518" s="19"/>
      <c r="G5518" s="19"/>
      <c r="H5518" s="82"/>
    </row>
    <row r="5519" spans="1:8" s="28" customFormat="1" x14ac:dyDescent="0.25">
      <c r="A5519" s="29"/>
      <c r="B5519" s="15"/>
      <c r="C5519" s="19"/>
      <c r="D5519" s="19"/>
      <c r="E5519" s="19"/>
      <c r="F5519" s="19"/>
      <c r="G5519" s="19"/>
      <c r="H5519" s="82"/>
    </row>
    <row r="5520" spans="1:8" s="28" customFormat="1" x14ac:dyDescent="0.25">
      <c r="A5520" s="29"/>
      <c r="B5520" s="15"/>
      <c r="C5520" s="19"/>
      <c r="D5520" s="19"/>
      <c r="E5520" s="19"/>
      <c r="F5520" s="19"/>
      <c r="G5520" s="19"/>
      <c r="H5520" s="82"/>
    </row>
    <row r="5521" spans="1:8" s="28" customFormat="1" x14ac:dyDescent="0.25">
      <c r="A5521" s="29"/>
      <c r="B5521" s="15"/>
      <c r="C5521" s="19"/>
      <c r="D5521" s="19"/>
      <c r="E5521" s="19"/>
      <c r="F5521" s="19"/>
      <c r="G5521" s="19"/>
      <c r="H5521" s="82"/>
    </row>
    <row r="5522" spans="1:8" s="28" customFormat="1" x14ac:dyDescent="0.25">
      <c r="A5522" s="29"/>
      <c r="B5522" s="15"/>
      <c r="C5522" s="19"/>
      <c r="D5522" s="19"/>
      <c r="E5522" s="19"/>
      <c r="F5522" s="19"/>
      <c r="G5522" s="19"/>
      <c r="H5522" s="82"/>
    </row>
    <row r="5523" spans="1:8" s="28" customFormat="1" x14ac:dyDescent="0.25">
      <c r="A5523" s="29"/>
      <c r="B5523" s="15"/>
      <c r="C5523" s="19"/>
      <c r="D5523" s="19"/>
      <c r="E5523" s="19"/>
      <c r="F5523" s="19"/>
      <c r="G5523" s="19"/>
      <c r="H5523" s="82"/>
    </row>
    <row r="5524" spans="1:8" s="28" customFormat="1" x14ac:dyDescent="0.25">
      <c r="A5524" s="29"/>
      <c r="B5524" s="15"/>
      <c r="C5524" s="19"/>
      <c r="D5524" s="19"/>
      <c r="E5524" s="19"/>
      <c r="F5524" s="19"/>
      <c r="G5524" s="19"/>
      <c r="H5524" s="82"/>
    </row>
    <row r="5525" spans="1:8" s="28" customFormat="1" x14ac:dyDescent="0.25">
      <c r="A5525" s="29"/>
      <c r="B5525" s="15"/>
      <c r="C5525" s="19"/>
      <c r="D5525" s="19"/>
      <c r="E5525" s="19"/>
      <c r="F5525" s="19"/>
      <c r="G5525" s="19"/>
      <c r="H5525" s="82"/>
    </row>
    <row r="5526" spans="1:8" s="28" customFormat="1" x14ac:dyDescent="0.25">
      <c r="A5526" s="29"/>
      <c r="B5526" s="15"/>
      <c r="C5526" s="19"/>
      <c r="D5526" s="19"/>
      <c r="E5526" s="19"/>
      <c r="F5526" s="19"/>
      <c r="G5526" s="19"/>
      <c r="H5526" s="82"/>
    </row>
    <row r="5527" spans="1:8" s="28" customFormat="1" x14ac:dyDescent="0.25">
      <c r="A5527" s="29"/>
      <c r="B5527" s="15"/>
      <c r="C5527" s="19"/>
      <c r="D5527" s="19"/>
      <c r="E5527" s="19"/>
      <c r="F5527" s="19"/>
      <c r="G5527" s="19"/>
      <c r="H5527" s="82"/>
    </row>
    <row r="5528" spans="1:8" s="28" customFormat="1" x14ac:dyDescent="0.25">
      <c r="A5528" s="29"/>
      <c r="B5528" s="15"/>
      <c r="C5528" s="19"/>
      <c r="D5528" s="19"/>
      <c r="E5528" s="19"/>
      <c r="F5528" s="19"/>
      <c r="G5528" s="19"/>
      <c r="H5528" s="82"/>
    </row>
    <row r="5529" spans="1:8" s="28" customFormat="1" x14ac:dyDescent="0.25">
      <c r="A5529" s="29"/>
      <c r="B5529" s="15"/>
      <c r="C5529" s="19"/>
      <c r="D5529" s="19"/>
      <c r="E5529" s="19"/>
      <c r="F5529" s="19"/>
      <c r="G5529" s="19"/>
      <c r="H5529" s="82"/>
    </row>
    <row r="5530" spans="1:8" s="28" customFormat="1" x14ac:dyDescent="0.25">
      <c r="A5530" s="29"/>
      <c r="B5530" s="15"/>
      <c r="C5530" s="19"/>
      <c r="D5530" s="19"/>
      <c r="E5530" s="19"/>
      <c r="F5530" s="19"/>
      <c r="G5530" s="19"/>
      <c r="H5530" s="82"/>
    </row>
    <row r="5531" spans="1:8" s="28" customFormat="1" x14ac:dyDescent="0.25">
      <c r="A5531" s="29"/>
      <c r="B5531" s="15"/>
      <c r="C5531" s="19"/>
      <c r="D5531" s="19"/>
      <c r="E5531" s="19"/>
      <c r="F5531" s="19"/>
      <c r="G5531" s="19"/>
      <c r="H5531" s="82"/>
    </row>
    <row r="5532" spans="1:8" s="28" customFormat="1" x14ac:dyDescent="0.25">
      <c r="A5532" s="29"/>
      <c r="B5532" s="15"/>
      <c r="C5532" s="19"/>
      <c r="D5532" s="19"/>
      <c r="E5532" s="19"/>
      <c r="F5532" s="19"/>
      <c r="G5532" s="19"/>
      <c r="H5532" s="82"/>
    </row>
    <row r="5533" spans="1:8" s="28" customFormat="1" x14ac:dyDescent="0.25">
      <c r="A5533" s="29"/>
      <c r="B5533" s="15"/>
      <c r="C5533" s="19"/>
      <c r="D5533" s="19"/>
      <c r="E5533" s="19"/>
      <c r="F5533" s="19"/>
      <c r="G5533" s="19"/>
      <c r="H5533" s="82"/>
    </row>
    <row r="5534" spans="1:8" s="28" customFormat="1" x14ac:dyDescent="0.25">
      <c r="A5534" s="29"/>
      <c r="B5534" s="15"/>
      <c r="C5534" s="19"/>
      <c r="D5534" s="19"/>
      <c r="E5534" s="19"/>
      <c r="F5534" s="19"/>
      <c r="G5534" s="19"/>
      <c r="H5534" s="82"/>
    </row>
    <row r="5535" spans="1:8" s="28" customFormat="1" x14ac:dyDescent="0.25">
      <c r="A5535" s="29"/>
      <c r="B5535" s="15"/>
      <c r="C5535" s="19"/>
      <c r="D5535" s="19"/>
      <c r="E5535" s="19"/>
      <c r="F5535" s="19"/>
      <c r="G5535" s="19"/>
      <c r="H5535" s="82"/>
    </row>
    <row r="5536" spans="1:8" s="28" customFormat="1" x14ac:dyDescent="0.25">
      <c r="A5536" s="29"/>
      <c r="B5536" s="15"/>
      <c r="C5536" s="19"/>
      <c r="D5536" s="19"/>
      <c r="E5536" s="19"/>
      <c r="F5536" s="19"/>
      <c r="G5536" s="19"/>
      <c r="H5536" s="82"/>
    </row>
    <row r="5537" spans="1:8" s="28" customFormat="1" x14ac:dyDescent="0.25">
      <c r="A5537" s="29"/>
      <c r="B5537" s="15"/>
      <c r="C5537" s="19"/>
      <c r="D5537" s="19"/>
      <c r="E5537" s="19"/>
      <c r="F5537" s="19"/>
      <c r="G5537" s="19"/>
      <c r="H5537" s="82"/>
    </row>
    <row r="5538" spans="1:8" s="28" customFormat="1" x14ac:dyDescent="0.25">
      <c r="A5538" s="29"/>
      <c r="B5538" s="15"/>
      <c r="C5538" s="19"/>
      <c r="D5538" s="19"/>
      <c r="E5538" s="19"/>
      <c r="F5538" s="19"/>
      <c r="G5538" s="19"/>
      <c r="H5538" s="82"/>
    </row>
    <row r="5539" spans="1:8" s="28" customFormat="1" x14ac:dyDescent="0.25">
      <c r="A5539" s="29"/>
      <c r="B5539" s="15"/>
      <c r="C5539" s="19"/>
      <c r="D5539" s="19"/>
      <c r="E5539" s="19"/>
      <c r="F5539" s="19"/>
      <c r="G5539" s="19"/>
      <c r="H5539" s="82"/>
    </row>
    <row r="5540" spans="1:8" s="28" customFormat="1" x14ac:dyDescent="0.25">
      <c r="A5540" s="29"/>
      <c r="B5540" s="15"/>
      <c r="C5540" s="19"/>
      <c r="D5540" s="19"/>
      <c r="E5540" s="19"/>
      <c r="F5540" s="19"/>
      <c r="G5540" s="19"/>
      <c r="H5540" s="82"/>
    </row>
    <row r="5541" spans="1:8" s="28" customFormat="1" x14ac:dyDescent="0.25">
      <c r="A5541" s="29"/>
      <c r="B5541" s="15"/>
      <c r="C5541" s="19"/>
      <c r="D5541" s="19"/>
      <c r="E5541" s="19"/>
      <c r="F5541" s="19"/>
      <c r="G5541" s="19"/>
      <c r="H5541" s="82"/>
    </row>
    <row r="5542" spans="1:8" s="28" customFormat="1" x14ac:dyDescent="0.25">
      <c r="A5542" s="29"/>
      <c r="B5542" s="15"/>
      <c r="C5542" s="19"/>
      <c r="D5542" s="19"/>
      <c r="E5542" s="19"/>
      <c r="F5542" s="19"/>
      <c r="G5542" s="19"/>
      <c r="H5542" s="82"/>
    </row>
    <row r="5543" spans="1:8" s="28" customFormat="1" x14ac:dyDescent="0.25">
      <c r="A5543" s="29"/>
      <c r="B5543" s="15"/>
      <c r="C5543" s="19"/>
      <c r="D5543" s="19"/>
      <c r="E5543" s="19"/>
      <c r="F5543" s="19"/>
      <c r="G5543" s="19"/>
      <c r="H5543" s="82"/>
    </row>
    <row r="5544" spans="1:8" s="28" customFormat="1" x14ac:dyDescent="0.25">
      <c r="A5544" s="29"/>
      <c r="B5544" s="15"/>
      <c r="C5544" s="19"/>
      <c r="D5544" s="19"/>
      <c r="E5544" s="19"/>
      <c r="F5544" s="19"/>
      <c r="G5544" s="19"/>
      <c r="H5544" s="82"/>
    </row>
    <row r="5545" spans="1:8" s="28" customFormat="1" x14ac:dyDescent="0.25">
      <c r="A5545" s="29"/>
      <c r="B5545" s="15"/>
      <c r="C5545" s="19"/>
      <c r="D5545" s="19"/>
      <c r="E5545" s="19"/>
      <c r="F5545" s="19"/>
      <c r="G5545" s="19"/>
      <c r="H5545" s="82"/>
    </row>
    <row r="5546" spans="1:8" s="28" customFormat="1" x14ac:dyDescent="0.25">
      <c r="A5546" s="29"/>
      <c r="B5546" s="15"/>
      <c r="C5546" s="19"/>
      <c r="D5546" s="19"/>
      <c r="E5546" s="19"/>
      <c r="F5546" s="19"/>
      <c r="G5546" s="19"/>
      <c r="H5546" s="82"/>
    </row>
    <row r="5547" spans="1:8" s="28" customFormat="1" x14ac:dyDescent="0.25">
      <c r="A5547" s="29"/>
      <c r="B5547" s="15"/>
      <c r="C5547" s="19"/>
      <c r="D5547" s="19"/>
      <c r="E5547" s="19"/>
      <c r="F5547" s="19"/>
      <c r="G5547" s="19"/>
      <c r="H5547" s="82"/>
    </row>
    <row r="5548" spans="1:8" s="28" customFormat="1" x14ac:dyDescent="0.25">
      <c r="A5548" s="29"/>
      <c r="B5548" s="15"/>
      <c r="C5548" s="19"/>
      <c r="D5548" s="19"/>
      <c r="E5548" s="19"/>
      <c r="F5548" s="19"/>
      <c r="G5548" s="19"/>
      <c r="H5548" s="82"/>
    </row>
    <row r="5549" spans="1:8" s="28" customFormat="1" x14ac:dyDescent="0.25">
      <c r="A5549" s="29"/>
      <c r="B5549" s="15"/>
      <c r="C5549" s="19"/>
      <c r="D5549" s="19"/>
      <c r="E5549" s="19"/>
      <c r="F5549" s="19"/>
      <c r="G5549" s="19"/>
      <c r="H5549" s="82"/>
    </row>
    <row r="5550" spans="1:8" s="28" customFormat="1" x14ac:dyDescent="0.25">
      <c r="A5550" s="29"/>
      <c r="B5550" s="15"/>
      <c r="C5550" s="19"/>
      <c r="D5550" s="19"/>
      <c r="E5550" s="19"/>
      <c r="F5550" s="19"/>
      <c r="G5550" s="19"/>
      <c r="H5550" s="82"/>
    </row>
    <row r="5551" spans="1:8" s="28" customFormat="1" x14ac:dyDescent="0.25">
      <c r="A5551" s="29"/>
      <c r="B5551" s="15"/>
      <c r="C5551" s="19"/>
      <c r="D5551" s="19"/>
      <c r="E5551" s="19"/>
      <c r="F5551" s="19"/>
      <c r="G5551" s="19"/>
      <c r="H5551" s="82"/>
    </row>
    <row r="5552" spans="1:8" s="28" customFormat="1" x14ac:dyDescent="0.25">
      <c r="A5552" s="29"/>
      <c r="B5552" s="15"/>
      <c r="C5552" s="19"/>
      <c r="D5552" s="19"/>
      <c r="E5552" s="19"/>
      <c r="F5552" s="19"/>
      <c r="G5552" s="19"/>
      <c r="H5552" s="82"/>
    </row>
    <row r="5553" spans="1:8" s="28" customFormat="1" x14ac:dyDescent="0.25">
      <c r="A5553" s="29"/>
      <c r="B5553" s="15"/>
      <c r="C5553" s="19"/>
      <c r="D5553" s="19"/>
      <c r="E5553" s="19"/>
      <c r="F5553" s="19"/>
      <c r="G5553" s="19"/>
      <c r="H5553" s="82"/>
    </row>
    <row r="5554" spans="1:8" s="28" customFormat="1" x14ac:dyDescent="0.25">
      <c r="A5554" s="29"/>
      <c r="B5554" s="15"/>
      <c r="C5554" s="19"/>
      <c r="D5554" s="19"/>
      <c r="E5554" s="19"/>
      <c r="F5554" s="19"/>
      <c r="G5554" s="19"/>
      <c r="H5554" s="82"/>
    </row>
    <row r="5555" spans="1:8" s="28" customFormat="1" x14ac:dyDescent="0.25">
      <c r="A5555" s="29"/>
      <c r="B5555" s="15"/>
      <c r="C5555" s="19"/>
      <c r="D5555" s="19"/>
      <c r="E5555" s="19"/>
      <c r="F5555" s="19"/>
      <c r="G5555" s="19"/>
      <c r="H5555" s="82"/>
    </row>
    <row r="5556" spans="1:8" s="28" customFormat="1" x14ac:dyDescent="0.25">
      <c r="A5556" s="29"/>
      <c r="B5556" s="15"/>
      <c r="C5556" s="19"/>
      <c r="D5556" s="19"/>
      <c r="E5556" s="19"/>
      <c r="F5556" s="19"/>
      <c r="G5556" s="19"/>
      <c r="H5556" s="82"/>
    </row>
    <row r="5557" spans="1:8" s="28" customFormat="1" x14ac:dyDescent="0.25">
      <c r="A5557" s="29"/>
      <c r="B5557" s="15"/>
      <c r="C5557" s="19"/>
      <c r="D5557" s="19"/>
      <c r="E5557" s="19"/>
      <c r="F5557" s="19"/>
      <c r="G5557" s="19"/>
      <c r="H5557" s="82"/>
    </row>
    <row r="5558" spans="1:8" s="28" customFormat="1" x14ac:dyDescent="0.25">
      <c r="A5558" s="29"/>
      <c r="B5558" s="15"/>
      <c r="C5558" s="19"/>
      <c r="D5558" s="19"/>
      <c r="E5558" s="19"/>
      <c r="F5558" s="19"/>
      <c r="G5558" s="19"/>
      <c r="H5558" s="82"/>
    </row>
    <row r="5559" spans="1:8" s="28" customFormat="1" x14ac:dyDescent="0.25">
      <c r="A5559" s="29"/>
      <c r="B5559" s="15"/>
      <c r="C5559" s="19"/>
      <c r="D5559" s="19"/>
      <c r="E5559" s="19"/>
      <c r="F5559" s="19"/>
      <c r="G5559" s="19"/>
      <c r="H5559" s="82"/>
    </row>
    <row r="5560" spans="1:8" s="28" customFormat="1" x14ac:dyDescent="0.25">
      <c r="A5560" s="29"/>
      <c r="B5560" s="15"/>
      <c r="C5560" s="19"/>
      <c r="D5560" s="19"/>
      <c r="E5560" s="19"/>
      <c r="F5560" s="19"/>
      <c r="G5560" s="19"/>
      <c r="H5560" s="82"/>
    </row>
    <row r="5561" spans="1:8" s="28" customFormat="1" x14ac:dyDescent="0.25">
      <c r="A5561" s="29"/>
      <c r="B5561" s="15"/>
      <c r="C5561" s="19"/>
      <c r="D5561" s="19"/>
      <c r="E5561" s="19"/>
      <c r="F5561" s="19"/>
      <c r="G5561" s="19"/>
      <c r="H5561" s="82"/>
    </row>
    <row r="5562" spans="1:8" s="28" customFormat="1" x14ac:dyDescent="0.25">
      <c r="A5562" s="29"/>
      <c r="B5562" s="15"/>
      <c r="C5562" s="19"/>
      <c r="D5562" s="19"/>
      <c r="E5562" s="19"/>
      <c r="F5562" s="19"/>
      <c r="G5562" s="19"/>
      <c r="H5562" s="82"/>
    </row>
    <row r="5563" spans="1:8" s="28" customFormat="1" x14ac:dyDescent="0.25">
      <c r="A5563" s="29"/>
      <c r="B5563" s="15"/>
      <c r="C5563" s="19"/>
      <c r="D5563" s="19"/>
      <c r="E5563" s="19"/>
      <c r="F5563" s="19"/>
      <c r="G5563" s="19"/>
      <c r="H5563" s="82"/>
    </row>
    <row r="5564" spans="1:8" s="28" customFormat="1" x14ac:dyDescent="0.25">
      <c r="A5564" s="29"/>
      <c r="B5564" s="15"/>
      <c r="C5564" s="19"/>
      <c r="D5564" s="19"/>
      <c r="E5564" s="19"/>
      <c r="F5564" s="19"/>
      <c r="G5564" s="19"/>
      <c r="H5564" s="82"/>
    </row>
    <row r="5565" spans="1:8" s="28" customFormat="1" x14ac:dyDescent="0.25">
      <c r="A5565" s="29"/>
      <c r="B5565" s="15"/>
      <c r="C5565" s="19"/>
      <c r="D5565" s="19"/>
      <c r="E5565" s="19"/>
      <c r="F5565" s="19"/>
      <c r="G5565" s="19"/>
      <c r="H5565" s="82"/>
    </row>
    <row r="5566" spans="1:8" s="28" customFormat="1" x14ac:dyDescent="0.25">
      <c r="A5566" s="29"/>
      <c r="B5566" s="15"/>
      <c r="C5566" s="19"/>
      <c r="D5566" s="19"/>
      <c r="E5566" s="19"/>
      <c r="F5566" s="19"/>
      <c r="G5566" s="19"/>
      <c r="H5566" s="82"/>
    </row>
    <row r="5567" spans="1:8" s="28" customFormat="1" x14ac:dyDescent="0.25">
      <c r="A5567" s="29"/>
      <c r="B5567" s="15"/>
      <c r="C5567" s="19"/>
      <c r="D5567" s="19"/>
      <c r="E5567" s="19"/>
      <c r="F5567" s="19"/>
      <c r="G5567" s="19"/>
      <c r="H5567" s="82"/>
    </row>
    <row r="5568" spans="1:8" s="28" customFormat="1" x14ac:dyDescent="0.25">
      <c r="A5568" s="29"/>
      <c r="B5568" s="15"/>
      <c r="C5568" s="19"/>
      <c r="D5568" s="19"/>
      <c r="E5568" s="19"/>
      <c r="F5568" s="19"/>
      <c r="G5568" s="19"/>
      <c r="H5568" s="82"/>
    </row>
    <row r="5569" spans="1:8" s="28" customFormat="1" x14ac:dyDescent="0.25">
      <c r="A5569" s="29"/>
      <c r="B5569" s="15"/>
      <c r="C5569" s="19"/>
      <c r="D5569" s="19"/>
      <c r="E5569" s="19"/>
      <c r="F5569" s="19"/>
      <c r="G5569" s="19"/>
      <c r="H5569" s="82"/>
    </row>
    <row r="5570" spans="1:8" s="28" customFormat="1" x14ac:dyDescent="0.25">
      <c r="A5570" s="29"/>
      <c r="B5570" s="15"/>
      <c r="C5570" s="19"/>
      <c r="D5570" s="19"/>
      <c r="E5570" s="19"/>
      <c r="F5570" s="19"/>
      <c r="G5570" s="19"/>
      <c r="H5570" s="82"/>
    </row>
    <row r="5571" spans="1:8" s="28" customFormat="1" x14ac:dyDescent="0.25">
      <c r="A5571" s="29"/>
      <c r="B5571" s="15"/>
      <c r="C5571" s="19"/>
      <c r="D5571" s="19"/>
      <c r="E5571" s="19"/>
      <c r="F5571" s="19"/>
      <c r="G5571" s="19"/>
      <c r="H5571" s="82"/>
    </row>
    <row r="5572" spans="1:8" s="28" customFormat="1" x14ac:dyDescent="0.25">
      <c r="A5572" s="29"/>
      <c r="B5572" s="15"/>
      <c r="C5572" s="19"/>
      <c r="D5572" s="19"/>
      <c r="E5572" s="19"/>
      <c r="F5572" s="19"/>
      <c r="G5572" s="19"/>
      <c r="H5572" s="82"/>
    </row>
    <row r="5573" spans="1:8" s="28" customFormat="1" x14ac:dyDescent="0.25">
      <c r="A5573" s="29"/>
      <c r="B5573" s="15"/>
      <c r="C5573" s="19"/>
      <c r="D5573" s="19"/>
      <c r="E5573" s="19"/>
      <c r="F5573" s="19"/>
      <c r="G5573" s="19"/>
      <c r="H5573" s="82"/>
    </row>
    <row r="5574" spans="1:8" s="28" customFormat="1" x14ac:dyDescent="0.25">
      <c r="A5574" s="29"/>
      <c r="B5574" s="15"/>
      <c r="C5574" s="19"/>
      <c r="D5574" s="19"/>
      <c r="E5574" s="19"/>
      <c r="F5574" s="19"/>
      <c r="G5574" s="19"/>
      <c r="H5574" s="82"/>
    </row>
    <row r="5575" spans="1:8" s="28" customFormat="1" x14ac:dyDescent="0.25">
      <c r="A5575" s="29"/>
      <c r="B5575" s="15"/>
      <c r="C5575" s="19"/>
      <c r="D5575" s="19"/>
      <c r="E5575" s="19"/>
      <c r="F5575" s="19"/>
      <c r="G5575" s="19"/>
      <c r="H5575" s="82"/>
    </row>
    <row r="5576" spans="1:8" s="28" customFormat="1" x14ac:dyDescent="0.25">
      <c r="A5576" s="29"/>
      <c r="B5576" s="15"/>
      <c r="C5576" s="19"/>
      <c r="D5576" s="19"/>
      <c r="E5576" s="19"/>
      <c r="F5576" s="19"/>
      <c r="G5576" s="19"/>
      <c r="H5576" s="82"/>
    </row>
    <row r="5577" spans="1:8" s="28" customFormat="1" x14ac:dyDescent="0.25">
      <c r="A5577" s="29"/>
      <c r="B5577" s="15"/>
      <c r="C5577" s="19"/>
      <c r="D5577" s="19"/>
      <c r="E5577" s="19"/>
      <c r="F5577" s="19"/>
      <c r="G5577" s="19"/>
      <c r="H5577" s="82"/>
    </row>
    <row r="5578" spans="1:8" s="28" customFormat="1" x14ac:dyDescent="0.25">
      <c r="A5578" s="29"/>
      <c r="B5578" s="15"/>
      <c r="C5578" s="19"/>
      <c r="D5578" s="19"/>
      <c r="E5578" s="19"/>
      <c r="F5578" s="19"/>
      <c r="G5578" s="19"/>
      <c r="H5578" s="82"/>
    </row>
    <row r="5579" spans="1:8" s="28" customFormat="1" x14ac:dyDescent="0.25">
      <c r="A5579" s="29"/>
      <c r="B5579" s="15"/>
      <c r="C5579" s="19"/>
      <c r="D5579" s="19"/>
      <c r="E5579" s="19"/>
      <c r="F5579" s="19"/>
      <c r="G5579" s="19"/>
      <c r="H5579" s="82"/>
    </row>
    <row r="5580" spans="1:8" s="28" customFormat="1" x14ac:dyDescent="0.25">
      <c r="A5580" s="29"/>
      <c r="B5580" s="15"/>
      <c r="C5580" s="19"/>
      <c r="D5580" s="19"/>
      <c r="E5580" s="19"/>
      <c r="F5580" s="19"/>
      <c r="G5580" s="19"/>
      <c r="H5580" s="82"/>
    </row>
    <row r="5581" spans="1:8" s="28" customFormat="1" x14ac:dyDescent="0.25">
      <c r="A5581" s="29"/>
      <c r="B5581" s="15"/>
      <c r="C5581" s="19"/>
      <c r="D5581" s="19"/>
      <c r="E5581" s="19"/>
      <c r="F5581" s="19"/>
      <c r="G5581" s="19"/>
      <c r="H5581" s="82"/>
    </row>
    <row r="5582" spans="1:8" s="28" customFormat="1" x14ac:dyDescent="0.25">
      <c r="A5582" s="29"/>
      <c r="B5582" s="15"/>
      <c r="C5582" s="19"/>
      <c r="D5582" s="19"/>
      <c r="E5582" s="19"/>
      <c r="F5582" s="19"/>
      <c r="G5582" s="19"/>
      <c r="H5582" s="82"/>
    </row>
    <row r="5583" spans="1:8" s="28" customFormat="1" x14ac:dyDescent="0.25">
      <c r="A5583" s="29"/>
      <c r="B5583" s="15"/>
      <c r="C5583" s="19"/>
      <c r="D5583" s="19"/>
      <c r="E5583" s="19"/>
      <c r="F5583" s="19"/>
      <c r="G5583" s="19"/>
      <c r="H5583" s="82"/>
    </row>
    <row r="5584" spans="1:8" s="28" customFormat="1" x14ac:dyDescent="0.25">
      <c r="A5584" s="29"/>
      <c r="B5584" s="15"/>
      <c r="C5584" s="19"/>
      <c r="D5584" s="19"/>
      <c r="E5584" s="19"/>
      <c r="F5584" s="19"/>
      <c r="G5584" s="19"/>
      <c r="H5584" s="82"/>
    </row>
    <row r="5585" spans="1:8" s="28" customFormat="1" x14ac:dyDescent="0.25">
      <c r="A5585" s="29"/>
      <c r="B5585" s="15"/>
      <c r="C5585" s="19"/>
      <c r="D5585" s="19"/>
      <c r="E5585" s="19"/>
      <c r="F5585" s="19"/>
      <c r="G5585" s="19"/>
      <c r="H5585" s="82"/>
    </row>
    <row r="5586" spans="1:8" s="28" customFormat="1" x14ac:dyDescent="0.25">
      <c r="A5586" s="29"/>
      <c r="B5586" s="15"/>
      <c r="C5586" s="19"/>
      <c r="D5586" s="19"/>
      <c r="E5586" s="19"/>
      <c r="F5586" s="19"/>
      <c r="G5586" s="19"/>
      <c r="H5586" s="82"/>
    </row>
    <row r="5587" spans="1:8" s="28" customFormat="1" x14ac:dyDescent="0.25">
      <c r="A5587" s="29"/>
      <c r="B5587" s="15"/>
      <c r="C5587" s="19"/>
      <c r="D5587" s="19"/>
      <c r="E5587" s="19"/>
      <c r="F5587" s="19"/>
      <c r="G5587" s="19"/>
      <c r="H5587" s="82"/>
    </row>
    <row r="5588" spans="1:8" s="28" customFormat="1" x14ac:dyDescent="0.25">
      <c r="A5588" s="29"/>
      <c r="B5588" s="15"/>
      <c r="C5588" s="19"/>
      <c r="D5588" s="19"/>
      <c r="E5588" s="19"/>
      <c r="F5588" s="19"/>
      <c r="G5588" s="19"/>
      <c r="H5588" s="82"/>
    </row>
    <row r="5589" spans="1:8" s="28" customFormat="1" x14ac:dyDescent="0.25">
      <c r="A5589" s="29"/>
      <c r="B5589" s="15"/>
      <c r="C5589" s="19"/>
      <c r="D5589" s="19"/>
      <c r="E5589" s="19"/>
      <c r="F5589" s="19"/>
      <c r="G5589" s="19"/>
      <c r="H5589" s="82"/>
    </row>
    <row r="5590" spans="1:8" s="28" customFormat="1" x14ac:dyDescent="0.25">
      <c r="A5590" s="29"/>
      <c r="B5590" s="15"/>
      <c r="C5590" s="19"/>
      <c r="D5590" s="19"/>
      <c r="E5590" s="19"/>
      <c r="F5590" s="19"/>
      <c r="G5590" s="19"/>
      <c r="H5590" s="82"/>
    </row>
    <row r="5591" spans="1:8" s="28" customFormat="1" x14ac:dyDescent="0.25">
      <c r="A5591" s="29"/>
      <c r="B5591" s="15"/>
      <c r="C5591" s="19"/>
      <c r="D5591" s="19"/>
      <c r="E5591" s="19"/>
      <c r="F5591" s="19"/>
      <c r="G5591" s="19"/>
      <c r="H5591" s="82"/>
    </row>
    <row r="5592" spans="1:8" s="28" customFormat="1" x14ac:dyDescent="0.25">
      <c r="A5592" s="29"/>
      <c r="B5592" s="15"/>
      <c r="C5592" s="19"/>
      <c r="D5592" s="19"/>
      <c r="E5592" s="19"/>
      <c r="F5592" s="19"/>
      <c r="G5592" s="19"/>
      <c r="H5592" s="82"/>
    </row>
    <row r="5593" spans="1:8" s="28" customFormat="1" x14ac:dyDescent="0.25">
      <c r="A5593" s="29"/>
      <c r="B5593" s="15"/>
      <c r="C5593" s="19"/>
      <c r="D5593" s="19"/>
      <c r="E5593" s="19"/>
      <c r="F5593" s="19"/>
      <c r="G5593" s="19"/>
      <c r="H5593" s="82"/>
    </row>
    <row r="5594" spans="1:8" s="28" customFormat="1" x14ac:dyDescent="0.25">
      <c r="A5594" s="29"/>
      <c r="B5594" s="15"/>
      <c r="C5594" s="19"/>
      <c r="D5594" s="19"/>
      <c r="E5594" s="19"/>
      <c r="F5594" s="19"/>
      <c r="G5594" s="19"/>
      <c r="H5594" s="82"/>
    </row>
    <row r="5595" spans="1:8" s="28" customFormat="1" x14ac:dyDescent="0.25">
      <c r="A5595" s="29"/>
      <c r="B5595" s="15"/>
      <c r="C5595" s="19"/>
      <c r="D5595" s="19"/>
      <c r="E5595" s="19"/>
      <c r="F5595" s="19"/>
      <c r="G5595" s="19"/>
      <c r="H5595" s="82"/>
    </row>
    <row r="5596" spans="1:8" s="28" customFormat="1" x14ac:dyDescent="0.25">
      <c r="A5596" s="29"/>
      <c r="B5596" s="15"/>
      <c r="C5596" s="19"/>
      <c r="D5596" s="19"/>
      <c r="E5596" s="19"/>
      <c r="F5596" s="19"/>
      <c r="G5596" s="19"/>
      <c r="H5596" s="82"/>
    </row>
    <row r="5597" spans="1:8" s="28" customFormat="1" x14ac:dyDescent="0.25">
      <c r="A5597" s="29"/>
      <c r="B5597" s="15"/>
      <c r="C5597" s="19"/>
      <c r="D5597" s="19"/>
      <c r="E5597" s="19"/>
      <c r="F5597" s="19"/>
      <c r="G5597" s="19"/>
      <c r="H5597" s="82"/>
    </row>
    <row r="5598" spans="1:8" s="28" customFormat="1" x14ac:dyDescent="0.25">
      <c r="A5598" s="29"/>
      <c r="B5598" s="15"/>
      <c r="C5598" s="19"/>
      <c r="D5598" s="19"/>
      <c r="E5598" s="19"/>
      <c r="F5598" s="19"/>
      <c r="G5598" s="19"/>
      <c r="H5598" s="82"/>
    </row>
    <row r="5599" spans="1:8" s="28" customFormat="1" x14ac:dyDescent="0.25">
      <c r="A5599" s="29"/>
      <c r="B5599" s="15"/>
      <c r="C5599" s="19"/>
      <c r="D5599" s="19"/>
      <c r="E5599" s="19"/>
      <c r="F5599" s="19"/>
      <c r="G5599" s="19"/>
      <c r="H5599" s="82"/>
    </row>
    <row r="5600" spans="1:8" s="28" customFormat="1" x14ac:dyDescent="0.25">
      <c r="A5600" s="29"/>
      <c r="B5600" s="15"/>
      <c r="C5600" s="19"/>
      <c r="D5600" s="19"/>
      <c r="E5600" s="19"/>
      <c r="F5600" s="19"/>
      <c r="G5600" s="19"/>
      <c r="H5600" s="82"/>
    </row>
    <row r="5601" spans="1:8" s="28" customFormat="1" x14ac:dyDescent="0.25">
      <c r="A5601" s="29"/>
      <c r="B5601" s="15"/>
      <c r="C5601" s="19"/>
      <c r="D5601" s="19"/>
      <c r="E5601" s="19"/>
      <c r="F5601" s="19"/>
      <c r="G5601" s="19"/>
      <c r="H5601" s="82"/>
    </row>
    <row r="5602" spans="1:8" s="28" customFormat="1" x14ac:dyDescent="0.25">
      <c r="A5602" s="29"/>
      <c r="B5602" s="15"/>
      <c r="C5602" s="19"/>
      <c r="D5602" s="19"/>
      <c r="E5602" s="19"/>
      <c r="F5602" s="19"/>
      <c r="G5602" s="19"/>
      <c r="H5602" s="82"/>
    </row>
    <row r="5603" spans="1:8" s="28" customFormat="1" x14ac:dyDescent="0.25">
      <c r="A5603" s="29"/>
      <c r="B5603" s="15"/>
      <c r="C5603" s="19"/>
      <c r="D5603" s="19"/>
      <c r="E5603" s="19"/>
      <c r="F5603" s="19"/>
      <c r="G5603" s="19"/>
      <c r="H5603" s="82"/>
    </row>
    <row r="5604" spans="1:8" s="28" customFormat="1" x14ac:dyDescent="0.25">
      <c r="A5604" s="29"/>
      <c r="B5604" s="15"/>
      <c r="C5604" s="19"/>
      <c r="D5604" s="19"/>
      <c r="E5604" s="19"/>
      <c r="F5604" s="19"/>
      <c r="G5604" s="19"/>
      <c r="H5604" s="82"/>
    </row>
    <row r="5605" spans="1:8" s="28" customFormat="1" x14ac:dyDescent="0.25">
      <c r="A5605" s="29"/>
      <c r="B5605" s="15"/>
      <c r="C5605" s="19"/>
      <c r="D5605" s="19"/>
      <c r="E5605" s="19"/>
      <c r="F5605" s="19"/>
      <c r="G5605" s="19"/>
      <c r="H5605" s="82"/>
    </row>
    <row r="5606" spans="1:8" s="28" customFormat="1" x14ac:dyDescent="0.25">
      <c r="A5606" s="29"/>
      <c r="B5606" s="15"/>
      <c r="C5606" s="19"/>
      <c r="D5606" s="19"/>
      <c r="E5606" s="19"/>
      <c r="F5606" s="19"/>
      <c r="G5606" s="19"/>
      <c r="H5606" s="82"/>
    </row>
    <row r="5607" spans="1:8" s="28" customFormat="1" x14ac:dyDescent="0.25">
      <c r="A5607" s="29"/>
      <c r="B5607" s="15"/>
      <c r="C5607" s="19"/>
      <c r="D5607" s="19"/>
      <c r="E5607" s="19"/>
      <c r="F5607" s="19"/>
      <c r="G5607" s="19"/>
      <c r="H5607" s="82"/>
    </row>
    <row r="5608" spans="1:8" s="28" customFormat="1" x14ac:dyDescent="0.25">
      <c r="A5608" s="29"/>
      <c r="B5608" s="15"/>
      <c r="C5608" s="19"/>
      <c r="D5608" s="19"/>
      <c r="E5608" s="19"/>
      <c r="F5608" s="19"/>
      <c r="G5608" s="19"/>
      <c r="H5608" s="82"/>
    </row>
    <row r="5609" spans="1:8" s="28" customFormat="1" x14ac:dyDescent="0.25">
      <c r="A5609" s="29"/>
      <c r="B5609" s="15"/>
      <c r="C5609" s="19"/>
      <c r="D5609" s="19"/>
      <c r="E5609" s="19"/>
      <c r="F5609" s="19"/>
      <c r="G5609" s="19"/>
      <c r="H5609" s="82"/>
    </row>
    <row r="5610" spans="1:8" s="28" customFormat="1" x14ac:dyDescent="0.25">
      <c r="A5610" s="29"/>
      <c r="B5610" s="15"/>
      <c r="C5610" s="19"/>
      <c r="D5610" s="19"/>
      <c r="E5610" s="19"/>
      <c r="F5610" s="19"/>
      <c r="G5610" s="19"/>
      <c r="H5610" s="82"/>
    </row>
    <row r="5611" spans="1:8" s="28" customFormat="1" x14ac:dyDescent="0.25">
      <c r="A5611" s="29"/>
      <c r="B5611" s="15"/>
      <c r="C5611" s="19"/>
      <c r="D5611" s="19"/>
      <c r="E5611" s="19"/>
      <c r="F5611" s="19"/>
      <c r="G5611" s="19"/>
      <c r="H5611" s="82"/>
    </row>
    <row r="5612" spans="1:8" s="28" customFormat="1" x14ac:dyDescent="0.25">
      <c r="A5612" s="29"/>
      <c r="B5612" s="15"/>
      <c r="C5612" s="19"/>
      <c r="D5612" s="19"/>
      <c r="E5612" s="19"/>
      <c r="F5612" s="19"/>
      <c r="G5612" s="19"/>
      <c r="H5612" s="82"/>
    </row>
    <row r="5613" spans="1:8" s="28" customFormat="1" x14ac:dyDescent="0.25">
      <c r="A5613" s="29"/>
      <c r="B5613" s="15"/>
      <c r="C5613" s="19"/>
      <c r="D5613" s="19"/>
      <c r="E5613" s="19"/>
      <c r="F5613" s="19"/>
      <c r="G5613" s="19"/>
      <c r="H5613" s="82"/>
    </row>
    <row r="5614" spans="1:8" s="28" customFormat="1" x14ac:dyDescent="0.25">
      <c r="A5614" s="29"/>
      <c r="B5614" s="15"/>
      <c r="C5614" s="19"/>
      <c r="D5614" s="19"/>
      <c r="E5614" s="19"/>
      <c r="F5614" s="19"/>
      <c r="G5614" s="19"/>
      <c r="H5614" s="82"/>
    </row>
    <row r="5615" spans="1:8" s="28" customFormat="1" x14ac:dyDescent="0.25">
      <c r="A5615" s="29"/>
      <c r="B5615" s="15"/>
      <c r="C5615" s="19"/>
      <c r="D5615" s="19"/>
      <c r="E5615" s="19"/>
      <c r="F5615" s="19"/>
      <c r="G5615" s="19"/>
      <c r="H5615" s="82"/>
    </row>
    <row r="5616" spans="1:8" s="28" customFormat="1" x14ac:dyDescent="0.25">
      <c r="A5616" s="29"/>
      <c r="B5616" s="15"/>
      <c r="C5616" s="19"/>
      <c r="D5616" s="19"/>
      <c r="E5616" s="19"/>
      <c r="F5616" s="19"/>
      <c r="G5616" s="19"/>
      <c r="H5616" s="82"/>
    </row>
    <row r="5617" spans="1:8" s="28" customFormat="1" x14ac:dyDescent="0.25">
      <c r="A5617" s="29"/>
      <c r="B5617" s="15"/>
      <c r="C5617" s="19"/>
      <c r="D5617" s="19"/>
      <c r="E5617" s="19"/>
      <c r="F5617" s="19"/>
      <c r="G5617" s="19"/>
      <c r="H5617" s="82"/>
    </row>
    <row r="5618" spans="1:8" s="28" customFormat="1" x14ac:dyDescent="0.25">
      <c r="A5618" s="29"/>
      <c r="B5618" s="15"/>
      <c r="C5618" s="19"/>
      <c r="D5618" s="19"/>
      <c r="E5618" s="19"/>
      <c r="F5618" s="19"/>
      <c r="G5618" s="19"/>
      <c r="H5618" s="82"/>
    </row>
    <row r="5619" spans="1:8" s="28" customFormat="1" x14ac:dyDescent="0.25">
      <c r="A5619" s="29"/>
      <c r="B5619" s="15"/>
      <c r="C5619" s="19"/>
      <c r="D5619" s="19"/>
      <c r="E5619" s="19"/>
      <c r="F5619" s="19"/>
      <c r="G5619" s="19"/>
      <c r="H5619" s="82"/>
    </row>
    <row r="5620" spans="1:8" s="28" customFormat="1" x14ac:dyDescent="0.25">
      <c r="A5620" s="29"/>
      <c r="B5620" s="15"/>
      <c r="C5620" s="19"/>
      <c r="D5620" s="19"/>
      <c r="E5620" s="19"/>
      <c r="F5620" s="19"/>
      <c r="G5620" s="19"/>
      <c r="H5620" s="82"/>
    </row>
    <row r="5621" spans="1:8" s="28" customFormat="1" x14ac:dyDescent="0.25">
      <c r="A5621" s="29"/>
      <c r="B5621" s="15"/>
      <c r="C5621" s="19"/>
      <c r="D5621" s="19"/>
      <c r="E5621" s="19"/>
      <c r="F5621" s="19"/>
      <c r="G5621" s="19"/>
      <c r="H5621" s="82"/>
    </row>
    <row r="5622" spans="1:8" s="28" customFormat="1" x14ac:dyDescent="0.25">
      <c r="A5622" s="29"/>
      <c r="B5622" s="15"/>
      <c r="C5622" s="19"/>
      <c r="D5622" s="19"/>
      <c r="E5622" s="19"/>
      <c r="F5622" s="19"/>
      <c r="G5622" s="19"/>
      <c r="H5622" s="82"/>
    </row>
    <row r="5623" spans="1:8" s="28" customFormat="1" x14ac:dyDescent="0.25">
      <c r="A5623" s="29"/>
      <c r="B5623" s="15"/>
      <c r="C5623" s="19"/>
      <c r="D5623" s="19"/>
      <c r="E5623" s="19"/>
      <c r="F5623" s="19"/>
      <c r="G5623" s="19"/>
      <c r="H5623" s="82"/>
    </row>
    <row r="5624" spans="1:8" s="28" customFormat="1" x14ac:dyDescent="0.25">
      <c r="A5624" s="29"/>
      <c r="B5624" s="15"/>
      <c r="C5624" s="19"/>
      <c r="D5624" s="19"/>
      <c r="E5624" s="19"/>
      <c r="F5624" s="19"/>
      <c r="G5624" s="19"/>
      <c r="H5624" s="82"/>
    </row>
    <row r="5625" spans="1:8" s="28" customFormat="1" x14ac:dyDescent="0.25">
      <c r="A5625" s="29"/>
      <c r="B5625" s="15"/>
      <c r="C5625" s="19"/>
      <c r="D5625" s="19"/>
      <c r="E5625" s="19"/>
      <c r="F5625" s="19"/>
      <c r="G5625" s="19"/>
      <c r="H5625" s="82"/>
    </row>
    <row r="5626" spans="1:8" s="28" customFormat="1" x14ac:dyDescent="0.25">
      <c r="A5626" s="29"/>
      <c r="B5626" s="15"/>
      <c r="C5626" s="19"/>
      <c r="D5626" s="19"/>
      <c r="E5626" s="19"/>
      <c r="F5626" s="19"/>
      <c r="G5626" s="19"/>
      <c r="H5626" s="82"/>
    </row>
    <row r="5627" spans="1:8" s="28" customFormat="1" x14ac:dyDescent="0.25">
      <c r="A5627" s="29"/>
      <c r="B5627" s="15"/>
      <c r="C5627" s="19"/>
      <c r="D5627" s="19"/>
      <c r="E5627" s="19"/>
      <c r="F5627" s="19"/>
      <c r="G5627" s="19"/>
      <c r="H5627" s="82"/>
    </row>
    <row r="5628" spans="1:8" s="28" customFormat="1" x14ac:dyDescent="0.25">
      <c r="A5628" s="29"/>
      <c r="B5628" s="15"/>
      <c r="C5628" s="19"/>
      <c r="D5628" s="19"/>
      <c r="E5628" s="19"/>
      <c r="F5628" s="19"/>
      <c r="G5628" s="19"/>
      <c r="H5628" s="82"/>
    </row>
    <row r="5629" spans="1:8" s="28" customFormat="1" x14ac:dyDescent="0.25">
      <c r="A5629" s="29"/>
      <c r="B5629" s="15"/>
      <c r="C5629" s="19"/>
      <c r="D5629" s="19"/>
      <c r="E5629" s="19"/>
      <c r="F5629" s="19"/>
      <c r="G5629" s="19"/>
      <c r="H5629" s="82"/>
    </row>
    <row r="5630" spans="1:8" s="28" customFormat="1" x14ac:dyDescent="0.25">
      <c r="A5630" s="29"/>
      <c r="B5630" s="15"/>
      <c r="C5630" s="19"/>
      <c r="D5630" s="19"/>
      <c r="E5630" s="19"/>
      <c r="F5630" s="19"/>
      <c r="G5630" s="19"/>
      <c r="H5630" s="82"/>
    </row>
    <row r="5631" spans="1:8" s="28" customFormat="1" x14ac:dyDescent="0.25">
      <c r="A5631" s="29"/>
      <c r="B5631" s="15"/>
      <c r="C5631" s="19"/>
      <c r="D5631" s="19"/>
      <c r="E5631" s="19"/>
      <c r="F5631" s="19"/>
      <c r="G5631" s="19"/>
      <c r="H5631" s="82"/>
    </row>
    <row r="5632" spans="1:8" s="28" customFormat="1" x14ac:dyDescent="0.25">
      <c r="A5632" s="29"/>
      <c r="B5632" s="15"/>
      <c r="C5632" s="19"/>
      <c r="D5632" s="19"/>
      <c r="E5632" s="19"/>
      <c r="F5632" s="19"/>
      <c r="G5632" s="19"/>
      <c r="H5632" s="82"/>
    </row>
    <row r="5633" spans="1:8" s="28" customFormat="1" x14ac:dyDescent="0.25">
      <c r="A5633" s="29"/>
      <c r="B5633" s="15"/>
      <c r="C5633" s="19"/>
      <c r="D5633" s="19"/>
      <c r="E5633" s="19"/>
      <c r="F5633" s="19"/>
      <c r="G5633" s="19"/>
      <c r="H5633" s="82"/>
    </row>
    <row r="5634" spans="1:8" s="28" customFormat="1" x14ac:dyDescent="0.25">
      <c r="A5634" s="29"/>
      <c r="B5634" s="15"/>
      <c r="C5634" s="19"/>
      <c r="D5634" s="19"/>
      <c r="E5634" s="19"/>
      <c r="F5634" s="19"/>
      <c r="G5634" s="19"/>
      <c r="H5634" s="82"/>
    </row>
    <row r="5635" spans="1:8" s="28" customFormat="1" x14ac:dyDescent="0.25">
      <c r="A5635" s="29"/>
      <c r="B5635" s="15"/>
      <c r="C5635" s="19"/>
      <c r="D5635" s="19"/>
      <c r="E5635" s="19"/>
      <c r="F5635" s="19"/>
      <c r="G5635" s="19"/>
      <c r="H5635" s="82"/>
    </row>
    <row r="5636" spans="1:8" s="28" customFormat="1" x14ac:dyDescent="0.25">
      <c r="A5636" s="29"/>
      <c r="B5636" s="15"/>
      <c r="C5636" s="19"/>
      <c r="D5636" s="19"/>
      <c r="E5636" s="19"/>
      <c r="F5636" s="19"/>
      <c r="G5636" s="19"/>
      <c r="H5636" s="82"/>
    </row>
    <row r="5637" spans="1:8" s="28" customFormat="1" x14ac:dyDescent="0.25">
      <c r="A5637" s="29"/>
      <c r="B5637" s="15"/>
      <c r="C5637" s="19"/>
      <c r="D5637" s="19"/>
      <c r="E5637" s="19"/>
      <c r="F5637" s="19"/>
      <c r="G5637" s="19"/>
      <c r="H5637" s="82"/>
    </row>
    <row r="5638" spans="1:8" s="28" customFormat="1" x14ac:dyDescent="0.25">
      <c r="A5638" s="29"/>
      <c r="B5638" s="15"/>
      <c r="C5638" s="19"/>
      <c r="D5638" s="19"/>
      <c r="E5638" s="19"/>
      <c r="F5638" s="19"/>
      <c r="G5638" s="19"/>
      <c r="H5638" s="82"/>
    </row>
    <row r="5639" spans="1:8" s="28" customFormat="1" x14ac:dyDescent="0.25">
      <c r="A5639" s="29"/>
      <c r="B5639" s="15"/>
      <c r="C5639" s="19"/>
      <c r="D5639" s="19"/>
      <c r="E5639" s="19"/>
      <c r="F5639" s="19"/>
      <c r="G5639" s="19"/>
      <c r="H5639" s="82"/>
    </row>
    <row r="5640" spans="1:8" s="28" customFormat="1" x14ac:dyDescent="0.25">
      <c r="A5640" s="29"/>
      <c r="B5640" s="15"/>
      <c r="C5640" s="19"/>
      <c r="D5640" s="19"/>
      <c r="E5640" s="19"/>
      <c r="F5640" s="19"/>
      <c r="G5640" s="19"/>
      <c r="H5640" s="82"/>
    </row>
    <row r="5641" spans="1:8" s="28" customFormat="1" x14ac:dyDescent="0.25">
      <c r="A5641" s="29"/>
      <c r="B5641" s="15"/>
      <c r="C5641" s="19"/>
      <c r="D5641" s="19"/>
      <c r="E5641" s="19"/>
      <c r="F5641" s="19"/>
      <c r="G5641" s="19"/>
      <c r="H5641" s="82"/>
    </row>
    <row r="5642" spans="1:8" s="28" customFormat="1" x14ac:dyDescent="0.25">
      <c r="A5642" s="29"/>
      <c r="B5642" s="15"/>
      <c r="C5642" s="19"/>
      <c r="D5642" s="19"/>
      <c r="E5642" s="19"/>
      <c r="F5642" s="19"/>
      <c r="G5642" s="19"/>
      <c r="H5642" s="82"/>
    </row>
    <row r="5643" spans="1:8" s="28" customFormat="1" x14ac:dyDescent="0.25">
      <c r="A5643" s="29"/>
      <c r="B5643" s="15"/>
      <c r="C5643" s="19"/>
      <c r="D5643" s="19"/>
      <c r="E5643" s="19"/>
      <c r="F5643" s="19"/>
      <c r="G5643" s="19"/>
      <c r="H5643" s="82"/>
    </row>
    <row r="5644" spans="1:8" s="28" customFormat="1" x14ac:dyDescent="0.25">
      <c r="A5644" s="29"/>
      <c r="B5644" s="15"/>
      <c r="C5644" s="19"/>
      <c r="D5644" s="19"/>
      <c r="E5644" s="19"/>
      <c r="F5644" s="19"/>
      <c r="G5644" s="19"/>
      <c r="H5644" s="82"/>
    </row>
    <row r="5645" spans="1:8" s="28" customFormat="1" x14ac:dyDescent="0.25">
      <c r="A5645" s="29"/>
      <c r="B5645" s="15"/>
      <c r="C5645" s="19"/>
      <c r="D5645" s="19"/>
      <c r="E5645" s="19"/>
      <c r="F5645" s="19"/>
      <c r="G5645" s="19"/>
      <c r="H5645" s="82"/>
    </row>
    <row r="5646" spans="1:8" s="28" customFormat="1" x14ac:dyDescent="0.25">
      <c r="A5646" s="29"/>
      <c r="B5646" s="15"/>
      <c r="C5646" s="19"/>
      <c r="D5646" s="19"/>
      <c r="E5646" s="19"/>
      <c r="F5646" s="19"/>
      <c r="G5646" s="19"/>
      <c r="H5646" s="82"/>
    </row>
    <row r="5647" spans="1:8" s="28" customFormat="1" x14ac:dyDescent="0.25">
      <c r="A5647" s="29"/>
      <c r="B5647" s="15"/>
      <c r="C5647" s="19"/>
      <c r="D5647" s="19"/>
      <c r="E5647" s="19"/>
      <c r="F5647" s="19"/>
      <c r="G5647" s="19"/>
      <c r="H5647" s="82"/>
    </row>
    <row r="5648" spans="1:8" s="28" customFormat="1" x14ac:dyDescent="0.25">
      <c r="A5648" s="29"/>
      <c r="B5648" s="15"/>
      <c r="C5648" s="19"/>
      <c r="D5648" s="19"/>
      <c r="E5648" s="19"/>
      <c r="F5648" s="19"/>
      <c r="G5648" s="19"/>
      <c r="H5648" s="82"/>
    </row>
    <row r="5649" spans="1:8" s="28" customFormat="1" x14ac:dyDescent="0.25">
      <c r="A5649" s="29"/>
      <c r="B5649" s="15"/>
      <c r="C5649" s="19"/>
      <c r="D5649" s="19"/>
      <c r="E5649" s="19"/>
      <c r="F5649" s="19"/>
      <c r="G5649" s="19"/>
      <c r="H5649" s="82"/>
    </row>
    <row r="5650" spans="1:8" s="28" customFormat="1" x14ac:dyDescent="0.25">
      <c r="A5650" s="29"/>
      <c r="B5650" s="15"/>
      <c r="C5650" s="19"/>
      <c r="D5650" s="19"/>
      <c r="E5650" s="19"/>
      <c r="F5650" s="19"/>
      <c r="G5650" s="19"/>
      <c r="H5650" s="82"/>
    </row>
    <row r="5651" spans="1:8" s="28" customFormat="1" x14ac:dyDescent="0.25">
      <c r="A5651" s="29"/>
      <c r="B5651" s="15"/>
      <c r="C5651" s="19"/>
      <c r="D5651" s="19"/>
      <c r="E5651" s="19"/>
      <c r="F5651" s="19"/>
      <c r="G5651" s="19"/>
      <c r="H5651" s="82"/>
    </row>
    <row r="5652" spans="1:8" s="28" customFormat="1" x14ac:dyDescent="0.25">
      <c r="A5652" s="29"/>
      <c r="B5652" s="15"/>
      <c r="C5652" s="19"/>
      <c r="D5652" s="19"/>
      <c r="E5652" s="19"/>
      <c r="F5652" s="19"/>
      <c r="G5652" s="19"/>
      <c r="H5652" s="82"/>
    </row>
    <row r="5653" spans="1:8" s="28" customFormat="1" x14ac:dyDescent="0.25">
      <c r="A5653" s="29"/>
      <c r="B5653" s="15"/>
      <c r="C5653" s="19"/>
      <c r="D5653" s="19"/>
      <c r="E5653" s="19"/>
      <c r="F5653" s="19"/>
      <c r="G5653" s="19"/>
      <c r="H5653" s="82"/>
    </row>
    <row r="5654" spans="1:8" s="28" customFormat="1" x14ac:dyDescent="0.25">
      <c r="A5654" s="29"/>
      <c r="B5654" s="15"/>
      <c r="C5654" s="19"/>
      <c r="D5654" s="19"/>
      <c r="E5654" s="19"/>
      <c r="F5654" s="19"/>
      <c r="G5654" s="19"/>
      <c r="H5654" s="82"/>
    </row>
    <row r="5655" spans="1:8" s="28" customFormat="1" x14ac:dyDescent="0.25">
      <c r="A5655" s="29"/>
      <c r="B5655" s="15"/>
      <c r="C5655" s="19"/>
      <c r="D5655" s="19"/>
      <c r="E5655" s="19"/>
      <c r="F5655" s="19"/>
      <c r="G5655" s="19"/>
      <c r="H5655" s="82"/>
    </row>
    <row r="5656" spans="1:8" s="28" customFormat="1" x14ac:dyDescent="0.25">
      <c r="A5656" s="29"/>
      <c r="B5656" s="15"/>
      <c r="C5656" s="19"/>
      <c r="D5656" s="19"/>
      <c r="E5656" s="19"/>
      <c r="F5656" s="19"/>
      <c r="G5656" s="19"/>
      <c r="H5656" s="82"/>
    </row>
    <row r="5657" spans="1:8" s="28" customFormat="1" x14ac:dyDescent="0.25">
      <c r="A5657" s="29"/>
      <c r="B5657" s="15"/>
      <c r="C5657" s="19"/>
      <c r="D5657" s="19"/>
      <c r="E5657" s="19"/>
      <c r="F5657" s="19"/>
      <c r="G5657" s="19"/>
      <c r="H5657" s="82"/>
    </row>
    <row r="5658" spans="1:8" s="28" customFormat="1" x14ac:dyDescent="0.25">
      <c r="A5658" s="29"/>
      <c r="B5658" s="15"/>
      <c r="C5658" s="19"/>
      <c r="D5658" s="19"/>
      <c r="E5658" s="19"/>
      <c r="F5658" s="19"/>
      <c r="G5658" s="19"/>
      <c r="H5658" s="82"/>
    </row>
    <row r="5659" spans="1:8" s="28" customFormat="1" x14ac:dyDescent="0.25">
      <c r="A5659" s="29"/>
      <c r="B5659" s="15"/>
      <c r="C5659" s="19"/>
      <c r="D5659" s="19"/>
      <c r="E5659" s="19"/>
      <c r="F5659" s="19"/>
      <c r="G5659" s="19"/>
      <c r="H5659" s="82"/>
    </row>
    <row r="5660" spans="1:8" s="28" customFormat="1" x14ac:dyDescent="0.25">
      <c r="A5660" s="29"/>
      <c r="B5660" s="15"/>
      <c r="C5660" s="19"/>
      <c r="D5660" s="19"/>
      <c r="E5660" s="19"/>
      <c r="F5660" s="19"/>
      <c r="G5660" s="19"/>
      <c r="H5660" s="82"/>
    </row>
    <row r="5661" spans="1:8" s="28" customFormat="1" x14ac:dyDescent="0.25">
      <c r="A5661" s="29"/>
      <c r="B5661" s="15"/>
      <c r="C5661" s="19"/>
      <c r="D5661" s="19"/>
      <c r="E5661" s="19"/>
      <c r="F5661" s="19"/>
      <c r="G5661" s="19"/>
      <c r="H5661" s="82"/>
    </row>
    <row r="5662" spans="1:8" s="28" customFormat="1" x14ac:dyDescent="0.25">
      <c r="A5662" s="29"/>
      <c r="B5662" s="15"/>
      <c r="C5662" s="19"/>
      <c r="D5662" s="19"/>
      <c r="E5662" s="19"/>
      <c r="F5662" s="19"/>
      <c r="G5662" s="19"/>
      <c r="H5662" s="82"/>
    </row>
    <row r="5663" spans="1:8" s="28" customFormat="1" x14ac:dyDescent="0.25">
      <c r="A5663" s="29"/>
      <c r="B5663" s="15"/>
      <c r="C5663" s="19"/>
      <c r="D5663" s="19"/>
      <c r="E5663" s="19"/>
      <c r="F5663" s="19"/>
      <c r="G5663" s="19"/>
      <c r="H5663" s="82"/>
    </row>
    <row r="5664" spans="1:8" s="28" customFormat="1" x14ac:dyDescent="0.25">
      <c r="A5664" s="29"/>
      <c r="B5664" s="15"/>
      <c r="C5664" s="19"/>
      <c r="D5664" s="19"/>
      <c r="E5664" s="19"/>
      <c r="F5664" s="19"/>
      <c r="G5664" s="19"/>
      <c r="H5664" s="82"/>
    </row>
    <row r="5665" spans="1:8" s="28" customFormat="1" x14ac:dyDescent="0.25">
      <c r="A5665" s="29"/>
      <c r="B5665" s="15"/>
      <c r="C5665" s="19"/>
      <c r="D5665" s="19"/>
      <c r="E5665" s="19"/>
      <c r="F5665" s="19"/>
      <c r="G5665" s="19"/>
      <c r="H5665" s="82"/>
    </row>
    <row r="5666" spans="1:8" s="28" customFormat="1" x14ac:dyDescent="0.25">
      <c r="A5666" s="29"/>
      <c r="B5666" s="15"/>
      <c r="C5666" s="19"/>
      <c r="D5666" s="19"/>
      <c r="E5666" s="19"/>
      <c r="F5666" s="19"/>
      <c r="G5666" s="19"/>
      <c r="H5666" s="82"/>
    </row>
    <row r="5667" spans="1:8" s="28" customFormat="1" x14ac:dyDescent="0.25">
      <c r="A5667" s="29"/>
      <c r="B5667" s="15"/>
      <c r="C5667" s="19"/>
      <c r="D5667" s="19"/>
      <c r="E5667" s="19"/>
      <c r="F5667" s="19"/>
      <c r="G5667" s="19"/>
      <c r="H5667" s="82"/>
    </row>
    <row r="5668" spans="1:8" s="28" customFormat="1" x14ac:dyDescent="0.25">
      <c r="A5668" s="29"/>
      <c r="B5668" s="15"/>
      <c r="C5668" s="19"/>
      <c r="D5668" s="19"/>
      <c r="E5668" s="19"/>
      <c r="F5668" s="19"/>
      <c r="G5668" s="19"/>
      <c r="H5668" s="82"/>
    </row>
    <row r="5669" spans="1:8" s="28" customFormat="1" x14ac:dyDescent="0.25">
      <c r="A5669" s="29"/>
      <c r="B5669" s="15"/>
      <c r="C5669" s="19"/>
      <c r="D5669" s="19"/>
      <c r="E5669" s="19"/>
      <c r="F5669" s="19"/>
      <c r="G5669" s="19"/>
      <c r="H5669" s="82"/>
    </row>
    <row r="5670" spans="1:8" s="28" customFormat="1" x14ac:dyDescent="0.25">
      <c r="A5670" s="29"/>
      <c r="B5670" s="15"/>
      <c r="C5670" s="19"/>
      <c r="D5670" s="19"/>
      <c r="E5670" s="19"/>
      <c r="F5670" s="19"/>
      <c r="G5670" s="19"/>
      <c r="H5670" s="82"/>
    </row>
    <row r="5671" spans="1:8" s="28" customFormat="1" x14ac:dyDescent="0.25">
      <c r="A5671" s="29"/>
      <c r="B5671" s="15"/>
      <c r="C5671" s="19"/>
      <c r="D5671" s="19"/>
      <c r="E5671" s="19"/>
      <c r="F5671" s="19"/>
      <c r="G5671" s="19"/>
      <c r="H5671" s="82"/>
    </row>
    <row r="5672" spans="1:8" s="28" customFormat="1" x14ac:dyDescent="0.25">
      <c r="A5672" s="29"/>
      <c r="B5672" s="15"/>
      <c r="C5672" s="19"/>
      <c r="D5672" s="19"/>
      <c r="E5672" s="19"/>
      <c r="F5672" s="19"/>
      <c r="G5672" s="19"/>
      <c r="H5672" s="82"/>
    </row>
    <row r="5673" spans="1:8" s="28" customFormat="1" x14ac:dyDescent="0.25">
      <c r="A5673" s="29"/>
      <c r="B5673" s="15"/>
      <c r="C5673" s="19"/>
      <c r="D5673" s="19"/>
      <c r="E5673" s="19"/>
      <c r="F5673" s="19"/>
      <c r="G5673" s="19"/>
      <c r="H5673" s="82"/>
    </row>
    <row r="5674" spans="1:8" s="28" customFormat="1" x14ac:dyDescent="0.25">
      <c r="A5674" s="29"/>
      <c r="B5674" s="15"/>
      <c r="C5674" s="19"/>
      <c r="D5674" s="19"/>
      <c r="E5674" s="19"/>
      <c r="F5674" s="19"/>
      <c r="G5674" s="19"/>
      <c r="H5674" s="82"/>
    </row>
    <row r="5675" spans="1:8" s="28" customFormat="1" x14ac:dyDescent="0.25">
      <c r="A5675" s="29"/>
      <c r="B5675" s="15"/>
      <c r="C5675" s="19"/>
      <c r="D5675" s="19"/>
      <c r="E5675" s="19"/>
      <c r="F5675" s="19"/>
      <c r="G5675" s="19"/>
      <c r="H5675" s="82"/>
    </row>
    <row r="5676" spans="1:8" s="28" customFormat="1" x14ac:dyDescent="0.25">
      <c r="A5676" s="29"/>
      <c r="B5676" s="15"/>
      <c r="C5676" s="19"/>
      <c r="D5676" s="19"/>
      <c r="E5676" s="19"/>
      <c r="F5676" s="19"/>
      <c r="G5676" s="19"/>
      <c r="H5676" s="82"/>
    </row>
    <row r="5677" spans="1:8" s="28" customFormat="1" x14ac:dyDescent="0.25">
      <c r="A5677" s="29"/>
      <c r="B5677" s="15"/>
      <c r="C5677" s="19"/>
      <c r="D5677" s="19"/>
      <c r="E5677" s="19"/>
      <c r="F5677" s="19"/>
      <c r="G5677" s="19"/>
      <c r="H5677" s="82"/>
    </row>
    <row r="5678" spans="1:8" s="28" customFormat="1" x14ac:dyDescent="0.25">
      <c r="A5678" s="29"/>
      <c r="B5678" s="15"/>
      <c r="C5678" s="19"/>
      <c r="D5678" s="19"/>
      <c r="E5678" s="19"/>
      <c r="F5678" s="19"/>
      <c r="G5678" s="19"/>
      <c r="H5678" s="82"/>
    </row>
    <row r="5679" spans="1:8" s="28" customFormat="1" x14ac:dyDescent="0.25">
      <c r="A5679" s="29"/>
      <c r="B5679" s="15"/>
      <c r="C5679" s="19"/>
      <c r="D5679" s="19"/>
      <c r="E5679" s="19"/>
      <c r="F5679" s="19"/>
      <c r="G5679" s="19"/>
      <c r="H5679" s="82"/>
    </row>
    <row r="5680" spans="1:8" s="28" customFormat="1" x14ac:dyDescent="0.25">
      <c r="A5680" s="29"/>
      <c r="B5680" s="15"/>
      <c r="C5680" s="19"/>
      <c r="D5680" s="19"/>
      <c r="E5680" s="19"/>
      <c r="F5680" s="19"/>
      <c r="G5680" s="19"/>
      <c r="H5680" s="82"/>
    </row>
    <row r="5681" spans="1:8" s="28" customFormat="1" x14ac:dyDescent="0.25">
      <c r="A5681" s="29"/>
      <c r="B5681" s="15"/>
      <c r="C5681" s="19"/>
      <c r="D5681" s="19"/>
      <c r="E5681" s="19"/>
      <c r="F5681" s="19"/>
      <c r="G5681" s="19"/>
      <c r="H5681" s="82"/>
    </row>
    <row r="5682" spans="1:8" s="28" customFormat="1" x14ac:dyDescent="0.25">
      <c r="A5682" s="29"/>
      <c r="B5682" s="15"/>
      <c r="C5682" s="19"/>
      <c r="D5682" s="19"/>
      <c r="E5682" s="19"/>
      <c r="F5682" s="19"/>
      <c r="G5682" s="19"/>
      <c r="H5682" s="82"/>
    </row>
    <row r="5683" spans="1:8" s="28" customFormat="1" x14ac:dyDescent="0.25">
      <c r="A5683" s="29"/>
      <c r="B5683" s="15"/>
      <c r="C5683" s="19"/>
      <c r="D5683" s="19"/>
      <c r="E5683" s="19"/>
      <c r="F5683" s="19"/>
      <c r="G5683" s="19"/>
      <c r="H5683" s="82"/>
    </row>
    <row r="5684" spans="1:8" s="28" customFormat="1" x14ac:dyDescent="0.25">
      <c r="A5684" s="29"/>
      <c r="B5684" s="15"/>
      <c r="C5684" s="19"/>
      <c r="D5684" s="19"/>
      <c r="E5684" s="19"/>
      <c r="F5684" s="19"/>
      <c r="G5684" s="19"/>
      <c r="H5684" s="82"/>
    </row>
    <row r="5685" spans="1:8" s="28" customFormat="1" x14ac:dyDescent="0.25">
      <c r="A5685" s="29"/>
      <c r="B5685" s="15"/>
      <c r="C5685" s="19"/>
      <c r="D5685" s="19"/>
      <c r="E5685" s="19"/>
      <c r="F5685" s="19"/>
      <c r="G5685" s="19"/>
      <c r="H5685" s="82"/>
    </row>
    <row r="5686" spans="1:8" s="28" customFormat="1" x14ac:dyDescent="0.25">
      <c r="A5686" s="29"/>
      <c r="B5686" s="15"/>
      <c r="C5686" s="19"/>
      <c r="D5686" s="19"/>
      <c r="E5686" s="19"/>
      <c r="F5686" s="19"/>
      <c r="G5686" s="19"/>
      <c r="H5686" s="82"/>
    </row>
    <row r="5687" spans="1:8" s="28" customFormat="1" x14ac:dyDescent="0.25">
      <c r="A5687" s="29"/>
      <c r="B5687" s="15"/>
      <c r="C5687" s="19"/>
      <c r="D5687" s="19"/>
      <c r="E5687" s="19"/>
      <c r="F5687" s="19"/>
      <c r="G5687" s="19"/>
      <c r="H5687" s="82"/>
    </row>
    <row r="5688" spans="1:8" s="28" customFormat="1" x14ac:dyDescent="0.25">
      <c r="A5688" s="29"/>
      <c r="B5688" s="15"/>
      <c r="C5688" s="19"/>
      <c r="D5688" s="19"/>
      <c r="E5688" s="19"/>
      <c r="F5688" s="19"/>
      <c r="G5688" s="19"/>
      <c r="H5688" s="82"/>
    </row>
    <row r="5689" spans="1:8" s="28" customFormat="1" x14ac:dyDescent="0.25">
      <c r="A5689" s="29"/>
      <c r="B5689" s="15"/>
      <c r="C5689" s="19"/>
      <c r="D5689" s="19"/>
      <c r="E5689" s="19"/>
      <c r="F5689" s="19"/>
      <c r="G5689" s="19"/>
      <c r="H5689" s="82"/>
    </row>
    <row r="5690" spans="1:8" s="28" customFormat="1" x14ac:dyDescent="0.25">
      <c r="A5690" s="29"/>
      <c r="B5690" s="15"/>
      <c r="C5690" s="19"/>
      <c r="D5690" s="19"/>
      <c r="E5690" s="19"/>
      <c r="F5690" s="19"/>
      <c r="G5690" s="19"/>
      <c r="H5690" s="82"/>
    </row>
    <row r="5691" spans="1:8" s="28" customFormat="1" x14ac:dyDescent="0.25">
      <c r="A5691" s="29"/>
      <c r="B5691" s="15"/>
      <c r="C5691" s="19"/>
      <c r="D5691" s="19"/>
      <c r="E5691" s="19"/>
      <c r="F5691" s="19"/>
      <c r="G5691" s="19"/>
      <c r="H5691" s="82"/>
    </row>
    <row r="5692" spans="1:8" s="28" customFormat="1" x14ac:dyDescent="0.25">
      <c r="A5692" s="29"/>
      <c r="B5692" s="15"/>
      <c r="C5692" s="19"/>
      <c r="D5692" s="19"/>
      <c r="E5692" s="19"/>
      <c r="F5692" s="19"/>
      <c r="G5692" s="19"/>
      <c r="H5692" s="82"/>
    </row>
    <row r="5693" spans="1:8" s="28" customFormat="1" x14ac:dyDescent="0.25">
      <c r="A5693" s="29"/>
      <c r="B5693" s="15"/>
      <c r="C5693" s="19"/>
      <c r="D5693" s="19"/>
      <c r="E5693" s="19"/>
      <c r="F5693" s="19"/>
      <c r="G5693" s="19"/>
      <c r="H5693" s="82"/>
    </row>
    <row r="5694" spans="1:8" s="28" customFormat="1" x14ac:dyDescent="0.25">
      <c r="A5694" s="29"/>
      <c r="B5694" s="15"/>
      <c r="C5694" s="19"/>
      <c r="D5694" s="19"/>
      <c r="E5694" s="19"/>
      <c r="F5694" s="19"/>
      <c r="G5694" s="19"/>
      <c r="H5694" s="82"/>
    </row>
    <row r="5695" spans="1:8" s="28" customFormat="1" x14ac:dyDescent="0.25">
      <c r="A5695" s="29"/>
      <c r="B5695" s="15"/>
      <c r="C5695" s="19"/>
      <c r="D5695" s="19"/>
      <c r="E5695" s="19"/>
      <c r="F5695" s="19"/>
      <c r="G5695" s="19"/>
      <c r="H5695" s="82"/>
    </row>
    <row r="5696" spans="1:8" s="28" customFormat="1" x14ac:dyDescent="0.25">
      <c r="A5696" s="29"/>
      <c r="B5696" s="15"/>
      <c r="C5696" s="19"/>
      <c r="D5696" s="19"/>
      <c r="E5696" s="19"/>
      <c r="F5696" s="19"/>
      <c r="G5696" s="19"/>
      <c r="H5696" s="82"/>
    </row>
    <row r="5697" spans="1:8" s="28" customFormat="1" x14ac:dyDescent="0.25">
      <c r="A5697" s="29"/>
      <c r="B5697" s="15"/>
      <c r="C5697" s="19"/>
      <c r="D5697" s="19"/>
      <c r="E5697" s="19"/>
      <c r="F5697" s="19"/>
      <c r="G5697" s="19"/>
      <c r="H5697" s="82"/>
    </row>
    <row r="5698" spans="1:8" s="28" customFormat="1" x14ac:dyDescent="0.25">
      <c r="A5698" s="29"/>
      <c r="B5698" s="15"/>
      <c r="C5698" s="19"/>
      <c r="D5698" s="19"/>
      <c r="E5698" s="19"/>
      <c r="F5698" s="19"/>
      <c r="G5698" s="19"/>
      <c r="H5698" s="82"/>
    </row>
    <row r="5699" spans="1:8" s="28" customFormat="1" x14ac:dyDescent="0.25">
      <c r="A5699" s="29"/>
      <c r="B5699" s="15"/>
      <c r="C5699" s="19"/>
      <c r="D5699" s="19"/>
      <c r="E5699" s="19"/>
      <c r="F5699" s="19"/>
      <c r="G5699" s="19"/>
      <c r="H5699" s="82"/>
    </row>
    <row r="5700" spans="1:8" s="28" customFormat="1" x14ac:dyDescent="0.25">
      <c r="A5700" s="29"/>
      <c r="B5700" s="15"/>
      <c r="C5700" s="19"/>
      <c r="D5700" s="19"/>
      <c r="E5700" s="19"/>
      <c r="F5700" s="19"/>
      <c r="G5700" s="19"/>
      <c r="H5700" s="82"/>
    </row>
    <row r="5701" spans="1:8" s="28" customFormat="1" x14ac:dyDescent="0.25">
      <c r="A5701" s="29"/>
      <c r="B5701" s="15"/>
      <c r="C5701" s="19"/>
      <c r="D5701" s="19"/>
      <c r="E5701" s="19"/>
      <c r="F5701" s="19"/>
      <c r="G5701" s="19"/>
      <c r="H5701" s="82"/>
    </row>
    <row r="5702" spans="1:8" s="28" customFormat="1" x14ac:dyDescent="0.25">
      <c r="A5702" s="29"/>
      <c r="B5702" s="15"/>
      <c r="C5702" s="19"/>
      <c r="D5702" s="19"/>
      <c r="E5702" s="19"/>
      <c r="F5702" s="19"/>
      <c r="G5702" s="19"/>
      <c r="H5702" s="82"/>
    </row>
    <row r="5703" spans="1:8" s="28" customFormat="1" x14ac:dyDescent="0.25">
      <c r="A5703" s="29"/>
      <c r="B5703" s="15"/>
      <c r="C5703" s="19"/>
      <c r="D5703" s="19"/>
      <c r="E5703" s="19"/>
      <c r="F5703" s="19"/>
      <c r="G5703" s="19"/>
      <c r="H5703" s="82"/>
    </row>
    <row r="5704" spans="1:8" s="28" customFormat="1" x14ac:dyDescent="0.25">
      <c r="A5704" s="29"/>
      <c r="B5704" s="15"/>
      <c r="C5704" s="19"/>
      <c r="D5704" s="19"/>
      <c r="E5704" s="19"/>
      <c r="F5704" s="19"/>
      <c r="G5704" s="19"/>
      <c r="H5704" s="82"/>
    </row>
    <row r="5705" spans="1:8" s="28" customFormat="1" x14ac:dyDescent="0.25">
      <c r="A5705" s="29"/>
      <c r="B5705" s="15"/>
      <c r="C5705" s="19"/>
      <c r="D5705" s="19"/>
      <c r="E5705" s="19"/>
      <c r="F5705" s="19"/>
      <c r="G5705" s="19"/>
      <c r="H5705" s="82"/>
    </row>
    <row r="5706" spans="1:8" s="28" customFormat="1" x14ac:dyDescent="0.25">
      <c r="A5706" s="29"/>
      <c r="B5706" s="15"/>
      <c r="C5706" s="19"/>
      <c r="D5706" s="19"/>
      <c r="E5706" s="19"/>
      <c r="F5706" s="19"/>
      <c r="G5706" s="19"/>
      <c r="H5706" s="82"/>
    </row>
    <row r="5707" spans="1:8" s="28" customFormat="1" x14ac:dyDescent="0.25">
      <c r="A5707" s="29"/>
      <c r="B5707" s="15"/>
      <c r="C5707" s="19"/>
      <c r="D5707" s="19"/>
      <c r="E5707" s="19"/>
      <c r="F5707" s="19"/>
      <c r="G5707" s="19"/>
      <c r="H5707" s="82"/>
    </row>
    <row r="5708" spans="1:8" s="28" customFormat="1" x14ac:dyDescent="0.25">
      <c r="A5708" s="29"/>
      <c r="B5708" s="15"/>
      <c r="C5708" s="19"/>
      <c r="D5708" s="19"/>
      <c r="E5708" s="19"/>
      <c r="F5708" s="19"/>
      <c r="G5708" s="19"/>
      <c r="H5708" s="82"/>
    </row>
    <row r="5709" spans="1:8" s="28" customFormat="1" x14ac:dyDescent="0.25">
      <c r="A5709" s="29"/>
      <c r="B5709" s="15"/>
      <c r="C5709" s="19"/>
      <c r="D5709" s="19"/>
      <c r="E5709" s="19"/>
      <c r="F5709" s="19"/>
      <c r="G5709" s="19"/>
      <c r="H5709" s="82"/>
    </row>
    <row r="5710" spans="1:8" s="28" customFormat="1" x14ac:dyDescent="0.25">
      <c r="A5710" s="29"/>
      <c r="B5710" s="15"/>
      <c r="C5710" s="19"/>
      <c r="D5710" s="19"/>
      <c r="E5710" s="19"/>
      <c r="F5710" s="19"/>
      <c r="G5710" s="19"/>
      <c r="H5710" s="82"/>
    </row>
    <row r="5711" spans="1:8" s="28" customFormat="1" x14ac:dyDescent="0.25">
      <c r="A5711" s="29"/>
      <c r="B5711" s="15"/>
      <c r="C5711" s="19"/>
      <c r="D5711" s="19"/>
      <c r="E5711" s="19"/>
      <c r="F5711" s="19"/>
      <c r="G5711" s="19"/>
      <c r="H5711" s="82"/>
    </row>
    <row r="5712" spans="1:8" s="28" customFormat="1" x14ac:dyDescent="0.25">
      <c r="A5712" s="29"/>
      <c r="B5712" s="15"/>
      <c r="C5712" s="19"/>
      <c r="D5712" s="19"/>
      <c r="E5712" s="19"/>
      <c r="F5712" s="19"/>
      <c r="G5712" s="19"/>
      <c r="H5712" s="82"/>
    </row>
    <row r="5713" spans="1:8" s="28" customFormat="1" x14ac:dyDescent="0.25">
      <c r="A5713" s="29"/>
      <c r="B5713" s="15"/>
      <c r="C5713" s="19"/>
      <c r="D5713" s="19"/>
      <c r="E5713" s="19"/>
      <c r="F5713" s="19"/>
      <c r="G5713" s="19"/>
      <c r="H5713" s="82"/>
    </row>
    <row r="5714" spans="1:8" s="28" customFormat="1" x14ac:dyDescent="0.25">
      <c r="A5714" s="29"/>
      <c r="B5714" s="15"/>
      <c r="C5714" s="19"/>
      <c r="D5714" s="19"/>
      <c r="E5714" s="19"/>
      <c r="F5714" s="19"/>
      <c r="G5714" s="19"/>
      <c r="H5714" s="82"/>
    </row>
    <row r="5715" spans="1:8" s="28" customFormat="1" x14ac:dyDescent="0.25">
      <c r="A5715" s="29"/>
      <c r="B5715" s="15"/>
      <c r="C5715" s="19"/>
      <c r="D5715" s="19"/>
      <c r="E5715" s="19"/>
      <c r="F5715" s="19"/>
      <c r="G5715" s="19"/>
      <c r="H5715" s="82"/>
    </row>
    <row r="5716" spans="1:8" s="28" customFormat="1" x14ac:dyDescent="0.25">
      <c r="A5716" s="29"/>
      <c r="B5716" s="15"/>
      <c r="C5716" s="19"/>
      <c r="D5716" s="19"/>
      <c r="E5716" s="19"/>
      <c r="F5716" s="19"/>
      <c r="G5716" s="19"/>
      <c r="H5716" s="82"/>
    </row>
    <row r="5717" spans="1:8" s="28" customFormat="1" x14ac:dyDescent="0.25">
      <c r="A5717" s="29"/>
      <c r="B5717" s="15"/>
      <c r="C5717" s="19"/>
      <c r="D5717" s="19"/>
      <c r="E5717" s="19"/>
      <c r="F5717" s="19"/>
      <c r="G5717" s="19"/>
      <c r="H5717" s="82"/>
    </row>
    <row r="5718" spans="1:8" s="28" customFormat="1" x14ac:dyDescent="0.25">
      <c r="A5718" s="29"/>
      <c r="B5718" s="15"/>
      <c r="C5718" s="19"/>
      <c r="D5718" s="19"/>
      <c r="E5718" s="19"/>
      <c r="F5718" s="19"/>
      <c r="G5718" s="19"/>
      <c r="H5718" s="82"/>
    </row>
    <row r="5719" spans="1:8" s="28" customFormat="1" x14ac:dyDescent="0.25">
      <c r="A5719" s="29"/>
      <c r="B5719" s="15"/>
      <c r="C5719" s="19"/>
      <c r="D5719" s="19"/>
      <c r="E5719" s="19"/>
      <c r="F5719" s="19"/>
      <c r="G5719" s="19"/>
      <c r="H5719" s="82"/>
    </row>
    <row r="5720" spans="1:8" s="28" customFormat="1" x14ac:dyDescent="0.25">
      <c r="A5720" s="29"/>
      <c r="B5720" s="15"/>
      <c r="C5720" s="19"/>
      <c r="D5720" s="19"/>
      <c r="E5720" s="19"/>
      <c r="F5720" s="19"/>
      <c r="G5720" s="19"/>
      <c r="H5720" s="82"/>
    </row>
    <row r="5721" spans="1:8" s="28" customFormat="1" x14ac:dyDescent="0.25">
      <c r="A5721" s="29"/>
      <c r="B5721" s="15"/>
      <c r="C5721" s="19"/>
      <c r="D5721" s="19"/>
      <c r="E5721" s="19"/>
      <c r="F5721" s="19"/>
      <c r="G5721" s="19"/>
      <c r="H5721" s="82"/>
    </row>
    <row r="5722" spans="1:8" s="28" customFormat="1" x14ac:dyDescent="0.25">
      <c r="A5722" s="29"/>
      <c r="B5722" s="15"/>
      <c r="C5722" s="19"/>
      <c r="D5722" s="19"/>
      <c r="E5722" s="19"/>
      <c r="F5722" s="19"/>
      <c r="G5722" s="19"/>
      <c r="H5722" s="82"/>
    </row>
    <row r="5723" spans="1:8" s="28" customFormat="1" x14ac:dyDescent="0.25">
      <c r="A5723" s="29"/>
      <c r="B5723" s="15"/>
      <c r="C5723" s="19"/>
      <c r="D5723" s="19"/>
      <c r="E5723" s="19"/>
      <c r="F5723" s="19"/>
      <c r="G5723" s="19"/>
      <c r="H5723" s="82"/>
    </row>
    <row r="5724" spans="1:8" s="28" customFormat="1" x14ac:dyDescent="0.25">
      <c r="A5724" s="29"/>
      <c r="B5724" s="15"/>
      <c r="C5724" s="19"/>
      <c r="D5724" s="19"/>
      <c r="E5724" s="19"/>
      <c r="F5724" s="19"/>
      <c r="G5724" s="19"/>
      <c r="H5724" s="82"/>
    </row>
    <row r="5725" spans="1:8" s="28" customFormat="1" x14ac:dyDescent="0.25">
      <c r="A5725" s="29"/>
      <c r="B5725" s="15"/>
      <c r="C5725" s="19"/>
      <c r="D5725" s="19"/>
      <c r="E5725" s="19"/>
      <c r="F5725" s="19"/>
      <c r="G5725" s="19"/>
      <c r="H5725" s="82"/>
    </row>
    <row r="5726" spans="1:8" s="28" customFormat="1" x14ac:dyDescent="0.25">
      <c r="A5726" s="29"/>
      <c r="B5726" s="15"/>
      <c r="C5726" s="19"/>
      <c r="D5726" s="19"/>
      <c r="E5726" s="19"/>
      <c r="F5726" s="19"/>
      <c r="G5726" s="19"/>
      <c r="H5726" s="82"/>
    </row>
    <row r="5727" spans="1:8" s="28" customFormat="1" x14ac:dyDescent="0.25">
      <c r="A5727" s="29"/>
      <c r="B5727" s="15"/>
      <c r="C5727" s="19"/>
      <c r="D5727" s="19"/>
      <c r="E5727" s="19"/>
      <c r="F5727" s="19"/>
      <c r="G5727" s="19"/>
      <c r="H5727" s="82"/>
    </row>
    <row r="5728" spans="1:8" s="28" customFormat="1" x14ac:dyDescent="0.25">
      <c r="A5728" s="29"/>
      <c r="B5728" s="15"/>
      <c r="C5728" s="19"/>
      <c r="D5728" s="19"/>
      <c r="E5728" s="19"/>
      <c r="F5728" s="19"/>
      <c r="G5728" s="19"/>
      <c r="H5728" s="82"/>
    </row>
    <row r="5729" spans="1:8" s="28" customFormat="1" x14ac:dyDescent="0.25">
      <c r="A5729" s="29"/>
      <c r="B5729" s="15"/>
      <c r="C5729" s="19"/>
      <c r="D5729" s="19"/>
      <c r="E5729" s="19"/>
      <c r="F5729" s="19"/>
      <c r="G5729" s="19"/>
      <c r="H5729" s="82"/>
    </row>
    <row r="5730" spans="1:8" s="28" customFormat="1" x14ac:dyDescent="0.25">
      <c r="A5730" s="29"/>
      <c r="B5730" s="15"/>
      <c r="C5730" s="19"/>
      <c r="D5730" s="19"/>
      <c r="E5730" s="19"/>
      <c r="F5730" s="19"/>
      <c r="G5730" s="19"/>
      <c r="H5730" s="82"/>
    </row>
    <row r="5731" spans="1:8" s="28" customFormat="1" x14ac:dyDescent="0.25">
      <c r="A5731" s="29"/>
      <c r="B5731" s="15"/>
      <c r="C5731" s="19"/>
      <c r="D5731" s="19"/>
      <c r="E5731" s="19"/>
      <c r="F5731" s="19"/>
      <c r="G5731" s="19"/>
      <c r="H5731" s="82"/>
    </row>
    <row r="5732" spans="1:8" s="28" customFormat="1" x14ac:dyDescent="0.25">
      <c r="A5732" s="29"/>
      <c r="B5732" s="15"/>
      <c r="C5732" s="19"/>
      <c r="D5732" s="19"/>
      <c r="E5732" s="19"/>
      <c r="F5732" s="19"/>
      <c r="G5732" s="19"/>
      <c r="H5732" s="82"/>
    </row>
    <row r="5733" spans="1:8" s="28" customFormat="1" x14ac:dyDescent="0.25">
      <c r="A5733" s="29"/>
      <c r="B5733" s="15"/>
      <c r="C5733" s="19"/>
      <c r="D5733" s="19"/>
      <c r="E5733" s="19"/>
      <c r="F5733" s="19"/>
      <c r="G5733" s="19"/>
      <c r="H5733" s="82"/>
    </row>
    <row r="5734" spans="1:8" s="28" customFormat="1" x14ac:dyDescent="0.25">
      <c r="A5734" s="29"/>
      <c r="B5734" s="15"/>
      <c r="C5734" s="19"/>
      <c r="D5734" s="19"/>
      <c r="E5734" s="19"/>
      <c r="F5734" s="19"/>
      <c r="G5734" s="19"/>
      <c r="H5734" s="82"/>
    </row>
    <row r="5735" spans="1:8" s="28" customFormat="1" x14ac:dyDescent="0.25">
      <c r="A5735" s="29"/>
      <c r="B5735" s="15"/>
      <c r="C5735" s="19"/>
      <c r="D5735" s="19"/>
      <c r="E5735" s="19"/>
      <c r="F5735" s="19"/>
      <c r="G5735" s="19"/>
      <c r="H5735" s="82"/>
    </row>
    <row r="5736" spans="1:8" s="28" customFormat="1" x14ac:dyDescent="0.25">
      <c r="A5736" s="29"/>
      <c r="B5736" s="15"/>
      <c r="C5736" s="19"/>
      <c r="D5736" s="19"/>
      <c r="E5736" s="19"/>
      <c r="F5736" s="19"/>
      <c r="G5736" s="19"/>
      <c r="H5736" s="82"/>
    </row>
    <row r="5737" spans="1:8" s="28" customFormat="1" x14ac:dyDescent="0.25">
      <c r="A5737" s="29"/>
      <c r="B5737" s="15"/>
      <c r="C5737" s="19"/>
      <c r="D5737" s="19"/>
      <c r="E5737" s="19"/>
      <c r="F5737" s="19"/>
      <c r="G5737" s="19"/>
      <c r="H5737" s="82"/>
    </row>
    <row r="5738" spans="1:8" s="28" customFormat="1" x14ac:dyDescent="0.25">
      <c r="A5738" s="29"/>
      <c r="B5738" s="15"/>
      <c r="C5738" s="19"/>
      <c r="D5738" s="19"/>
      <c r="E5738" s="19"/>
      <c r="F5738" s="19"/>
      <c r="G5738" s="19"/>
      <c r="H5738" s="82"/>
    </row>
    <row r="5739" spans="1:8" s="28" customFormat="1" x14ac:dyDescent="0.25">
      <c r="A5739" s="29"/>
      <c r="B5739" s="15"/>
      <c r="C5739" s="19"/>
      <c r="D5739" s="19"/>
      <c r="E5739" s="19"/>
      <c r="F5739" s="19"/>
      <c r="G5739" s="19"/>
      <c r="H5739" s="82"/>
    </row>
    <row r="5740" spans="1:8" s="28" customFormat="1" x14ac:dyDescent="0.25">
      <c r="A5740" s="29"/>
      <c r="B5740" s="15"/>
      <c r="C5740" s="19"/>
      <c r="D5740" s="19"/>
      <c r="E5740" s="19"/>
      <c r="F5740" s="19"/>
      <c r="G5740" s="19"/>
      <c r="H5740" s="82"/>
    </row>
    <row r="5741" spans="1:8" s="28" customFormat="1" x14ac:dyDescent="0.25">
      <c r="A5741" s="29"/>
      <c r="B5741" s="15"/>
      <c r="C5741" s="19"/>
      <c r="D5741" s="19"/>
      <c r="E5741" s="19"/>
      <c r="F5741" s="19"/>
      <c r="G5741" s="19"/>
      <c r="H5741" s="82"/>
    </row>
    <row r="5742" spans="1:8" s="28" customFormat="1" x14ac:dyDescent="0.25">
      <c r="A5742" s="29"/>
      <c r="B5742" s="15"/>
      <c r="C5742" s="19"/>
      <c r="D5742" s="19"/>
      <c r="E5742" s="19"/>
      <c r="F5742" s="19"/>
      <c r="G5742" s="19"/>
      <c r="H5742" s="82"/>
    </row>
    <row r="5743" spans="1:8" s="28" customFormat="1" x14ac:dyDescent="0.25">
      <c r="A5743" s="29"/>
      <c r="B5743" s="15"/>
      <c r="C5743" s="19"/>
      <c r="D5743" s="19"/>
      <c r="E5743" s="19"/>
      <c r="F5743" s="19"/>
      <c r="G5743" s="19"/>
      <c r="H5743" s="82"/>
    </row>
    <row r="5744" spans="1:8" s="28" customFormat="1" x14ac:dyDescent="0.25">
      <c r="A5744" s="29"/>
      <c r="B5744" s="15"/>
      <c r="C5744" s="19"/>
      <c r="D5744" s="19"/>
      <c r="E5744" s="19"/>
      <c r="F5744" s="19"/>
      <c r="G5744" s="19"/>
      <c r="H5744" s="82"/>
    </row>
    <row r="5745" spans="1:8" s="28" customFormat="1" x14ac:dyDescent="0.25">
      <c r="A5745" s="29"/>
      <c r="B5745" s="15"/>
      <c r="C5745" s="19"/>
      <c r="D5745" s="19"/>
      <c r="E5745" s="19"/>
      <c r="F5745" s="19"/>
      <c r="G5745" s="19"/>
      <c r="H5745" s="82"/>
    </row>
    <row r="5746" spans="1:8" s="28" customFormat="1" x14ac:dyDescent="0.25">
      <c r="A5746" s="29"/>
      <c r="B5746" s="15"/>
      <c r="C5746" s="19"/>
      <c r="D5746" s="19"/>
      <c r="E5746" s="19"/>
      <c r="F5746" s="19"/>
      <c r="G5746" s="19"/>
      <c r="H5746" s="82"/>
    </row>
    <row r="5747" spans="1:8" s="28" customFormat="1" x14ac:dyDescent="0.25">
      <c r="A5747" s="29"/>
      <c r="B5747" s="15"/>
      <c r="C5747" s="19"/>
      <c r="D5747" s="19"/>
      <c r="E5747" s="19"/>
      <c r="F5747" s="19"/>
      <c r="G5747" s="19"/>
      <c r="H5747" s="82"/>
    </row>
    <row r="5748" spans="1:8" s="28" customFormat="1" x14ac:dyDescent="0.25">
      <c r="A5748" s="29"/>
      <c r="B5748" s="15"/>
      <c r="C5748" s="19"/>
      <c r="D5748" s="19"/>
      <c r="E5748" s="19"/>
      <c r="F5748" s="19"/>
      <c r="G5748" s="19"/>
      <c r="H5748" s="82"/>
    </row>
    <row r="5749" spans="1:8" s="28" customFormat="1" x14ac:dyDescent="0.25">
      <c r="A5749" s="29"/>
      <c r="B5749" s="15"/>
      <c r="C5749" s="19"/>
      <c r="D5749" s="19"/>
      <c r="E5749" s="19"/>
      <c r="F5749" s="19"/>
      <c r="G5749" s="19"/>
      <c r="H5749" s="82"/>
    </row>
    <row r="5750" spans="1:8" s="28" customFormat="1" x14ac:dyDescent="0.25">
      <c r="A5750" s="29"/>
      <c r="B5750" s="15"/>
      <c r="C5750" s="19"/>
      <c r="D5750" s="19"/>
      <c r="E5750" s="19"/>
      <c r="F5750" s="19"/>
      <c r="G5750" s="19"/>
      <c r="H5750" s="82"/>
    </row>
    <row r="5751" spans="1:8" s="28" customFormat="1" x14ac:dyDescent="0.25">
      <c r="A5751" s="29"/>
      <c r="B5751" s="15"/>
      <c r="C5751" s="19"/>
      <c r="D5751" s="19"/>
      <c r="E5751" s="19"/>
      <c r="F5751" s="19"/>
      <c r="G5751" s="19"/>
      <c r="H5751" s="82"/>
    </row>
    <row r="5752" spans="1:8" s="28" customFormat="1" x14ac:dyDescent="0.25">
      <c r="A5752" s="29"/>
      <c r="B5752" s="15"/>
      <c r="C5752" s="19"/>
      <c r="D5752" s="19"/>
      <c r="E5752" s="19"/>
      <c r="F5752" s="19"/>
      <c r="G5752" s="19"/>
      <c r="H5752" s="82"/>
    </row>
    <row r="5753" spans="1:8" s="28" customFormat="1" x14ac:dyDescent="0.25">
      <c r="A5753" s="29"/>
      <c r="B5753" s="15"/>
      <c r="C5753" s="19"/>
      <c r="D5753" s="19"/>
      <c r="E5753" s="19"/>
      <c r="F5753" s="19"/>
      <c r="G5753" s="19"/>
      <c r="H5753" s="82"/>
    </row>
    <row r="5754" spans="1:8" s="28" customFormat="1" x14ac:dyDescent="0.25">
      <c r="A5754" s="29"/>
      <c r="B5754" s="15"/>
      <c r="C5754" s="19"/>
      <c r="D5754" s="19"/>
      <c r="E5754" s="19"/>
      <c r="F5754" s="19"/>
      <c r="G5754" s="19"/>
      <c r="H5754" s="82"/>
    </row>
    <row r="5755" spans="1:8" s="28" customFormat="1" x14ac:dyDescent="0.25">
      <c r="A5755" s="29"/>
      <c r="B5755" s="15"/>
      <c r="C5755" s="19"/>
      <c r="D5755" s="19"/>
      <c r="E5755" s="19"/>
      <c r="F5755" s="19"/>
      <c r="G5755" s="19"/>
      <c r="H5755" s="82"/>
    </row>
    <row r="5756" spans="1:8" s="28" customFormat="1" x14ac:dyDescent="0.25">
      <c r="A5756" s="29"/>
      <c r="B5756" s="15"/>
      <c r="C5756" s="19"/>
      <c r="D5756" s="19"/>
      <c r="E5756" s="19"/>
      <c r="F5756" s="19"/>
      <c r="G5756" s="19"/>
      <c r="H5756" s="82"/>
    </row>
    <row r="5757" spans="1:8" s="28" customFormat="1" x14ac:dyDescent="0.25">
      <c r="A5757" s="29"/>
      <c r="B5757" s="15"/>
      <c r="C5757" s="19"/>
      <c r="D5757" s="19"/>
      <c r="E5757" s="19"/>
      <c r="F5757" s="19"/>
      <c r="G5757" s="19"/>
      <c r="H5757" s="82"/>
    </row>
    <row r="5758" spans="1:8" s="28" customFormat="1" x14ac:dyDescent="0.25">
      <c r="A5758" s="29"/>
      <c r="B5758" s="15"/>
      <c r="C5758" s="19"/>
      <c r="D5758" s="19"/>
      <c r="E5758" s="19"/>
      <c r="F5758" s="19"/>
      <c r="G5758" s="19"/>
      <c r="H5758" s="82"/>
    </row>
    <row r="5759" spans="1:8" s="28" customFormat="1" x14ac:dyDescent="0.25">
      <c r="A5759" s="29"/>
      <c r="B5759" s="15"/>
      <c r="C5759" s="19"/>
      <c r="D5759" s="19"/>
      <c r="E5759" s="19"/>
      <c r="F5759" s="19"/>
      <c r="G5759" s="19"/>
      <c r="H5759" s="82"/>
    </row>
    <row r="5760" spans="1:8" s="28" customFormat="1" x14ac:dyDescent="0.25">
      <c r="A5760" s="29"/>
      <c r="B5760" s="15"/>
      <c r="C5760" s="19"/>
      <c r="D5760" s="19"/>
      <c r="E5760" s="19"/>
      <c r="F5760" s="19"/>
      <c r="G5760" s="19"/>
      <c r="H5760" s="82"/>
    </row>
    <row r="5761" spans="1:8" s="28" customFormat="1" x14ac:dyDescent="0.25">
      <c r="A5761" s="29"/>
      <c r="B5761" s="15"/>
      <c r="C5761" s="19"/>
      <c r="D5761" s="19"/>
      <c r="E5761" s="19"/>
      <c r="F5761" s="19"/>
      <c r="G5761" s="19"/>
      <c r="H5761" s="82"/>
    </row>
    <row r="5762" spans="1:8" s="28" customFormat="1" x14ac:dyDescent="0.25">
      <c r="A5762" s="29"/>
      <c r="B5762" s="15"/>
      <c r="C5762" s="19"/>
      <c r="D5762" s="19"/>
      <c r="E5762" s="19"/>
      <c r="F5762" s="19"/>
      <c r="G5762" s="19"/>
      <c r="H5762" s="82"/>
    </row>
    <row r="5763" spans="1:8" s="28" customFormat="1" x14ac:dyDescent="0.25">
      <c r="A5763" s="29"/>
      <c r="B5763" s="15"/>
      <c r="C5763" s="19"/>
      <c r="D5763" s="19"/>
      <c r="E5763" s="19"/>
      <c r="F5763" s="19"/>
      <c r="G5763" s="19"/>
      <c r="H5763" s="82"/>
    </row>
    <row r="5764" spans="1:8" s="28" customFormat="1" x14ac:dyDescent="0.25">
      <c r="A5764" s="29"/>
      <c r="B5764" s="15"/>
      <c r="C5764" s="19"/>
      <c r="D5764" s="19"/>
      <c r="E5764" s="19"/>
      <c r="F5764" s="19"/>
      <c r="G5764" s="19"/>
      <c r="H5764" s="82"/>
    </row>
    <row r="5765" spans="1:8" s="28" customFormat="1" x14ac:dyDescent="0.25">
      <c r="A5765" s="29"/>
      <c r="B5765" s="15"/>
      <c r="C5765" s="19"/>
      <c r="D5765" s="19"/>
      <c r="E5765" s="19"/>
      <c r="F5765" s="19"/>
      <c r="G5765" s="19"/>
      <c r="H5765" s="82"/>
    </row>
    <row r="5766" spans="1:8" s="28" customFormat="1" x14ac:dyDescent="0.25">
      <c r="A5766" s="29"/>
      <c r="B5766" s="15"/>
      <c r="C5766" s="19"/>
      <c r="D5766" s="19"/>
      <c r="E5766" s="19"/>
      <c r="F5766" s="19"/>
      <c r="G5766" s="19"/>
      <c r="H5766" s="82"/>
    </row>
    <row r="5767" spans="1:8" s="28" customFormat="1" x14ac:dyDescent="0.25">
      <c r="A5767" s="29"/>
      <c r="B5767" s="15"/>
      <c r="C5767" s="19"/>
      <c r="D5767" s="19"/>
      <c r="E5767" s="19"/>
      <c r="F5767" s="19"/>
      <c r="G5767" s="19"/>
      <c r="H5767" s="82"/>
    </row>
    <row r="5768" spans="1:8" s="28" customFormat="1" x14ac:dyDescent="0.25">
      <c r="A5768" s="29"/>
      <c r="B5768" s="15"/>
      <c r="C5768" s="19"/>
      <c r="D5768" s="19"/>
      <c r="E5768" s="19"/>
      <c r="F5768" s="19"/>
      <c r="G5768" s="19"/>
      <c r="H5768" s="82"/>
    </row>
    <row r="5769" spans="1:8" s="28" customFormat="1" x14ac:dyDescent="0.25">
      <c r="A5769" s="29"/>
      <c r="B5769" s="15"/>
      <c r="C5769" s="19"/>
      <c r="D5769" s="19"/>
      <c r="E5769" s="19"/>
      <c r="F5769" s="19"/>
      <c r="G5769" s="19"/>
      <c r="H5769" s="82"/>
    </row>
    <row r="5770" spans="1:8" s="28" customFormat="1" x14ac:dyDescent="0.25">
      <c r="A5770" s="29"/>
      <c r="B5770" s="15"/>
      <c r="C5770" s="19"/>
      <c r="D5770" s="19"/>
      <c r="E5770" s="19"/>
      <c r="F5770" s="19"/>
      <c r="G5770" s="19"/>
      <c r="H5770" s="82"/>
    </row>
    <row r="5771" spans="1:8" s="28" customFormat="1" x14ac:dyDescent="0.25">
      <c r="A5771" s="29"/>
      <c r="B5771" s="15"/>
      <c r="C5771" s="19"/>
      <c r="D5771" s="19"/>
      <c r="E5771" s="19"/>
      <c r="F5771" s="19"/>
      <c r="G5771" s="19"/>
      <c r="H5771" s="82"/>
    </row>
    <row r="5772" spans="1:8" s="28" customFormat="1" x14ac:dyDescent="0.25">
      <c r="A5772" s="29"/>
      <c r="B5772" s="15"/>
      <c r="C5772" s="19"/>
      <c r="D5772" s="19"/>
      <c r="E5772" s="19"/>
      <c r="F5772" s="19"/>
      <c r="G5772" s="19"/>
      <c r="H5772" s="82"/>
    </row>
    <row r="5773" spans="1:8" s="28" customFormat="1" x14ac:dyDescent="0.25">
      <c r="A5773" s="29"/>
      <c r="B5773" s="15"/>
      <c r="C5773" s="19"/>
      <c r="D5773" s="19"/>
      <c r="E5773" s="19"/>
      <c r="F5773" s="19"/>
      <c r="G5773" s="19"/>
      <c r="H5773" s="82"/>
    </row>
    <row r="5774" spans="1:8" s="28" customFormat="1" x14ac:dyDescent="0.25">
      <c r="A5774" s="29"/>
      <c r="B5774" s="15"/>
      <c r="C5774" s="19"/>
      <c r="D5774" s="19"/>
      <c r="E5774" s="19"/>
      <c r="F5774" s="19"/>
      <c r="G5774" s="19"/>
      <c r="H5774" s="82"/>
    </row>
    <row r="5775" spans="1:8" s="28" customFormat="1" x14ac:dyDescent="0.25">
      <c r="A5775" s="29"/>
      <c r="B5775" s="15"/>
      <c r="C5775" s="19"/>
      <c r="D5775" s="19"/>
      <c r="E5775" s="19"/>
      <c r="F5775" s="19"/>
      <c r="G5775" s="19"/>
      <c r="H5775" s="82"/>
    </row>
    <row r="5776" spans="1:8" s="28" customFormat="1" x14ac:dyDescent="0.25">
      <c r="A5776" s="29"/>
      <c r="B5776" s="15"/>
      <c r="C5776" s="19"/>
      <c r="D5776" s="19"/>
      <c r="E5776" s="19"/>
      <c r="F5776" s="19"/>
      <c r="G5776" s="19"/>
      <c r="H5776" s="82"/>
    </row>
    <row r="5777" spans="1:8" s="28" customFormat="1" x14ac:dyDescent="0.25">
      <c r="A5777" s="29"/>
      <c r="B5777" s="15"/>
      <c r="C5777" s="19"/>
      <c r="D5777" s="19"/>
      <c r="E5777" s="19"/>
      <c r="F5777" s="19"/>
      <c r="G5777" s="19"/>
      <c r="H5777" s="82"/>
    </row>
    <row r="5778" spans="1:8" s="28" customFormat="1" x14ac:dyDescent="0.25">
      <c r="A5778" s="29"/>
      <c r="B5778" s="15"/>
      <c r="C5778" s="19"/>
      <c r="D5778" s="19"/>
      <c r="E5778" s="19"/>
      <c r="F5778" s="19"/>
      <c r="G5778" s="19"/>
      <c r="H5778" s="82"/>
    </row>
    <row r="5779" spans="1:8" s="28" customFormat="1" x14ac:dyDescent="0.25">
      <c r="A5779" s="29"/>
      <c r="B5779" s="15"/>
      <c r="C5779" s="19"/>
      <c r="D5779" s="19"/>
      <c r="E5779" s="19"/>
      <c r="F5779" s="19"/>
      <c r="G5779" s="19"/>
      <c r="H5779" s="82"/>
    </row>
    <row r="5780" spans="1:8" s="28" customFormat="1" x14ac:dyDescent="0.25">
      <c r="A5780" s="29"/>
      <c r="B5780" s="15"/>
      <c r="C5780" s="19"/>
      <c r="D5780" s="19"/>
      <c r="E5780" s="19"/>
      <c r="F5780" s="19"/>
      <c r="G5780" s="19"/>
      <c r="H5780" s="82"/>
    </row>
    <row r="5781" spans="1:8" s="28" customFormat="1" x14ac:dyDescent="0.25">
      <c r="A5781" s="29"/>
      <c r="B5781" s="15"/>
      <c r="C5781" s="19"/>
      <c r="D5781" s="19"/>
      <c r="E5781" s="19"/>
      <c r="F5781" s="19"/>
      <c r="G5781" s="19"/>
      <c r="H5781" s="82"/>
    </row>
    <row r="5782" spans="1:8" s="28" customFormat="1" x14ac:dyDescent="0.25">
      <c r="A5782" s="29"/>
      <c r="B5782" s="15"/>
      <c r="C5782" s="19"/>
      <c r="D5782" s="19"/>
      <c r="E5782" s="19"/>
      <c r="F5782" s="19"/>
      <c r="G5782" s="19"/>
      <c r="H5782" s="82"/>
    </row>
    <row r="5783" spans="1:8" s="28" customFormat="1" x14ac:dyDescent="0.25">
      <c r="A5783" s="29"/>
      <c r="B5783" s="15"/>
      <c r="C5783" s="19"/>
      <c r="D5783" s="19"/>
      <c r="E5783" s="19"/>
      <c r="F5783" s="19"/>
      <c r="G5783" s="19"/>
      <c r="H5783" s="82"/>
    </row>
    <row r="5784" spans="1:8" s="28" customFormat="1" x14ac:dyDescent="0.25">
      <c r="A5784" s="29"/>
      <c r="B5784" s="15"/>
      <c r="C5784" s="19"/>
      <c r="D5784" s="19"/>
      <c r="E5784" s="19"/>
      <c r="F5784" s="19"/>
      <c r="G5784" s="19"/>
      <c r="H5784" s="82"/>
    </row>
    <row r="5785" spans="1:8" s="28" customFormat="1" x14ac:dyDescent="0.25">
      <c r="A5785" s="29"/>
      <c r="B5785" s="15"/>
      <c r="C5785" s="19"/>
      <c r="D5785" s="19"/>
      <c r="E5785" s="19"/>
      <c r="F5785" s="19"/>
      <c r="G5785" s="19"/>
      <c r="H5785" s="82"/>
    </row>
    <row r="5786" spans="1:8" s="28" customFormat="1" x14ac:dyDescent="0.25">
      <c r="A5786" s="29"/>
      <c r="B5786" s="15"/>
      <c r="C5786" s="19"/>
      <c r="D5786" s="19"/>
      <c r="E5786" s="19"/>
      <c r="F5786" s="19"/>
      <c r="G5786" s="19"/>
      <c r="H5786" s="82"/>
    </row>
    <row r="5787" spans="1:8" s="28" customFormat="1" x14ac:dyDescent="0.25">
      <c r="A5787" s="29"/>
      <c r="B5787" s="15"/>
      <c r="C5787" s="19"/>
      <c r="D5787" s="19"/>
      <c r="E5787" s="19"/>
      <c r="F5787" s="19"/>
      <c r="G5787" s="19"/>
      <c r="H5787" s="82"/>
    </row>
    <row r="5788" spans="1:8" s="28" customFormat="1" x14ac:dyDescent="0.25">
      <c r="A5788" s="29"/>
      <c r="B5788" s="15"/>
      <c r="C5788" s="19"/>
      <c r="D5788" s="19"/>
      <c r="E5788" s="19"/>
      <c r="F5788" s="19"/>
      <c r="G5788" s="19"/>
      <c r="H5788" s="82"/>
    </row>
    <row r="5789" spans="1:8" s="28" customFormat="1" x14ac:dyDescent="0.25">
      <c r="A5789" s="29"/>
      <c r="B5789" s="15"/>
      <c r="C5789" s="19"/>
      <c r="D5789" s="19"/>
      <c r="E5789" s="19"/>
      <c r="F5789" s="19"/>
      <c r="G5789" s="19"/>
      <c r="H5789" s="82"/>
    </row>
    <row r="5790" spans="1:8" s="28" customFormat="1" x14ac:dyDescent="0.25">
      <c r="A5790" s="29"/>
      <c r="B5790" s="15"/>
      <c r="C5790" s="19"/>
      <c r="D5790" s="19"/>
      <c r="E5790" s="19"/>
      <c r="F5790" s="19"/>
      <c r="G5790" s="19"/>
      <c r="H5790" s="82"/>
    </row>
    <row r="5791" spans="1:8" s="28" customFormat="1" x14ac:dyDescent="0.25">
      <c r="A5791" s="29"/>
      <c r="B5791" s="15"/>
      <c r="C5791" s="19"/>
      <c r="D5791" s="19"/>
      <c r="E5791" s="19"/>
      <c r="F5791" s="19"/>
      <c r="G5791" s="19"/>
      <c r="H5791" s="82"/>
    </row>
    <row r="5792" spans="1:8" s="28" customFormat="1" x14ac:dyDescent="0.25">
      <c r="A5792" s="29"/>
      <c r="B5792" s="15"/>
      <c r="C5792" s="19"/>
      <c r="D5792" s="19"/>
      <c r="E5792" s="19"/>
      <c r="F5792" s="19"/>
      <c r="G5792" s="19"/>
      <c r="H5792" s="82"/>
    </row>
    <row r="5793" spans="1:8" s="28" customFormat="1" x14ac:dyDescent="0.25">
      <c r="A5793" s="29"/>
      <c r="B5793" s="15"/>
      <c r="C5793" s="19"/>
      <c r="D5793" s="19"/>
      <c r="E5793" s="19"/>
      <c r="F5793" s="19"/>
      <c r="G5793" s="19"/>
      <c r="H5793" s="82"/>
    </row>
    <row r="5794" spans="1:8" s="28" customFormat="1" x14ac:dyDescent="0.25">
      <c r="A5794" s="29"/>
      <c r="B5794" s="15"/>
      <c r="C5794" s="19"/>
      <c r="D5794" s="19"/>
      <c r="E5794" s="19"/>
      <c r="F5794" s="19"/>
      <c r="G5794" s="19"/>
      <c r="H5794" s="82"/>
    </row>
    <row r="5795" spans="1:8" s="28" customFormat="1" x14ac:dyDescent="0.25">
      <c r="A5795" s="29"/>
      <c r="B5795" s="15"/>
      <c r="C5795" s="19"/>
      <c r="D5795" s="19"/>
      <c r="E5795" s="19"/>
      <c r="F5795" s="19"/>
      <c r="G5795" s="19"/>
      <c r="H5795" s="82"/>
    </row>
    <row r="5796" spans="1:8" s="28" customFormat="1" x14ac:dyDescent="0.25">
      <c r="A5796" s="29"/>
      <c r="B5796" s="15"/>
      <c r="C5796" s="19"/>
      <c r="D5796" s="19"/>
      <c r="E5796" s="19"/>
      <c r="F5796" s="19"/>
      <c r="G5796" s="19"/>
      <c r="H5796" s="82"/>
    </row>
    <row r="5797" spans="1:8" s="28" customFormat="1" x14ac:dyDescent="0.25">
      <c r="A5797" s="29"/>
      <c r="B5797" s="15"/>
      <c r="C5797" s="19"/>
      <c r="D5797" s="19"/>
      <c r="E5797" s="19"/>
      <c r="F5797" s="19"/>
      <c r="G5797" s="19"/>
      <c r="H5797" s="82"/>
    </row>
    <row r="5798" spans="1:8" s="28" customFormat="1" x14ac:dyDescent="0.25">
      <c r="A5798" s="29"/>
      <c r="B5798" s="15"/>
      <c r="C5798" s="19"/>
      <c r="D5798" s="19"/>
      <c r="E5798" s="19"/>
      <c r="F5798" s="19"/>
      <c r="G5798" s="19"/>
      <c r="H5798" s="82"/>
    </row>
    <row r="5799" spans="1:8" s="28" customFormat="1" x14ac:dyDescent="0.25">
      <c r="A5799" s="29"/>
      <c r="B5799" s="15"/>
      <c r="C5799" s="19"/>
      <c r="D5799" s="19"/>
      <c r="E5799" s="19"/>
      <c r="F5799" s="19"/>
      <c r="G5799" s="19"/>
      <c r="H5799" s="82"/>
    </row>
    <row r="5800" spans="1:8" s="28" customFormat="1" x14ac:dyDescent="0.25">
      <c r="A5800" s="29"/>
      <c r="B5800" s="15"/>
      <c r="C5800" s="19"/>
      <c r="D5800" s="19"/>
      <c r="E5800" s="19"/>
      <c r="F5800" s="19"/>
      <c r="G5800" s="19"/>
      <c r="H5800" s="82"/>
    </row>
    <row r="5801" spans="1:8" s="28" customFormat="1" x14ac:dyDescent="0.25">
      <c r="A5801" s="29"/>
      <c r="B5801" s="15"/>
      <c r="C5801" s="19"/>
      <c r="D5801" s="19"/>
      <c r="E5801" s="19"/>
      <c r="F5801" s="19"/>
      <c r="G5801" s="19"/>
      <c r="H5801" s="82"/>
    </row>
    <row r="5802" spans="1:8" s="28" customFormat="1" x14ac:dyDescent="0.25">
      <c r="A5802" s="29"/>
      <c r="B5802" s="15"/>
      <c r="C5802" s="19"/>
      <c r="D5802" s="19"/>
      <c r="E5802" s="19"/>
      <c r="F5802" s="19"/>
      <c r="G5802" s="19"/>
      <c r="H5802" s="82"/>
    </row>
    <row r="5803" spans="1:8" s="28" customFormat="1" x14ac:dyDescent="0.25">
      <c r="A5803" s="29"/>
      <c r="B5803" s="15"/>
      <c r="C5803" s="19"/>
      <c r="D5803" s="19"/>
      <c r="E5803" s="19"/>
      <c r="F5803" s="19"/>
      <c r="G5803" s="19"/>
      <c r="H5803" s="82"/>
    </row>
    <row r="5804" spans="1:8" s="28" customFormat="1" x14ac:dyDescent="0.25">
      <c r="A5804" s="29"/>
      <c r="B5804" s="15"/>
      <c r="C5804" s="19"/>
      <c r="D5804" s="19"/>
      <c r="E5804" s="19"/>
      <c r="F5804" s="19"/>
      <c r="G5804" s="19"/>
      <c r="H5804" s="82"/>
    </row>
    <row r="5805" spans="1:8" s="28" customFormat="1" x14ac:dyDescent="0.25">
      <c r="A5805" s="29"/>
      <c r="B5805" s="15"/>
      <c r="C5805" s="19"/>
      <c r="D5805" s="19"/>
      <c r="E5805" s="19"/>
      <c r="F5805" s="19"/>
      <c r="G5805" s="19"/>
      <c r="H5805" s="82"/>
    </row>
    <row r="5806" spans="1:8" s="28" customFormat="1" x14ac:dyDescent="0.25">
      <c r="A5806" s="29"/>
      <c r="B5806" s="15"/>
      <c r="C5806" s="19"/>
      <c r="D5806" s="19"/>
      <c r="E5806" s="19"/>
      <c r="F5806" s="19"/>
      <c r="G5806" s="19"/>
      <c r="H5806" s="82"/>
    </row>
    <row r="5807" spans="1:8" s="28" customFormat="1" x14ac:dyDescent="0.25">
      <c r="A5807" s="29"/>
      <c r="B5807" s="15"/>
      <c r="C5807" s="19"/>
      <c r="D5807" s="19"/>
      <c r="E5807" s="19"/>
      <c r="F5807" s="19"/>
      <c r="G5807" s="19"/>
      <c r="H5807" s="82"/>
    </row>
    <row r="5808" spans="1:8" s="28" customFormat="1" x14ac:dyDescent="0.25">
      <c r="A5808" s="29"/>
      <c r="B5808" s="15"/>
      <c r="C5808" s="19"/>
      <c r="D5808" s="19"/>
      <c r="E5808" s="19"/>
      <c r="F5808" s="19"/>
      <c r="G5808" s="19"/>
      <c r="H5808" s="82"/>
    </row>
    <row r="5809" spans="1:8" s="28" customFormat="1" x14ac:dyDescent="0.25">
      <c r="A5809" s="29"/>
      <c r="B5809" s="15"/>
      <c r="C5809" s="19"/>
      <c r="D5809" s="19"/>
      <c r="E5809" s="19"/>
      <c r="F5809" s="19"/>
      <c r="G5809" s="19"/>
      <c r="H5809" s="82"/>
    </row>
    <row r="5810" spans="1:8" s="28" customFormat="1" x14ac:dyDescent="0.25">
      <c r="A5810" s="29"/>
      <c r="B5810" s="15"/>
      <c r="C5810" s="19"/>
      <c r="D5810" s="19"/>
      <c r="E5810" s="19"/>
      <c r="F5810" s="19"/>
      <c r="G5810" s="19"/>
      <c r="H5810" s="82"/>
    </row>
    <row r="5811" spans="1:8" s="28" customFormat="1" x14ac:dyDescent="0.25">
      <c r="A5811" s="29"/>
      <c r="B5811" s="15"/>
      <c r="C5811" s="19"/>
      <c r="D5811" s="19"/>
      <c r="E5811" s="19"/>
      <c r="F5811" s="19"/>
      <c r="G5811" s="19"/>
      <c r="H5811" s="82"/>
    </row>
    <row r="5812" spans="1:8" s="28" customFormat="1" x14ac:dyDescent="0.25">
      <c r="A5812" s="29"/>
      <c r="B5812" s="15"/>
      <c r="C5812" s="19"/>
      <c r="D5812" s="19"/>
      <c r="E5812" s="19"/>
      <c r="F5812" s="19"/>
      <c r="G5812" s="19"/>
      <c r="H5812" s="82"/>
    </row>
    <row r="5813" spans="1:8" s="28" customFormat="1" x14ac:dyDescent="0.25">
      <c r="A5813" s="29"/>
      <c r="B5813" s="15"/>
      <c r="C5813" s="19"/>
      <c r="D5813" s="19"/>
      <c r="E5813" s="19"/>
      <c r="F5813" s="19"/>
      <c r="G5813" s="19"/>
      <c r="H5813" s="82"/>
    </row>
    <row r="5814" spans="1:8" s="28" customFormat="1" x14ac:dyDescent="0.25">
      <c r="A5814" s="29"/>
      <c r="B5814" s="15"/>
      <c r="C5814" s="19"/>
      <c r="D5814" s="19"/>
      <c r="E5814" s="19"/>
      <c r="F5814" s="19"/>
      <c r="G5814" s="19"/>
      <c r="H5814" s="82"/>
    </row>
    <row r="5815" spans="1:8" s="28" customFormat="1" x14ac:dyDescent="0.25">
      <c r="A5815" s="29"/>
      <c r="B5815" s="15"/>
      <c r="C5815" s="19"/>
      <c r="D5815" s="19"/>
      <c r="E5815" s="19"/>
      <c r="F5815" s="19"/>
      <c r="G5815" s="19"/>
      <c r="H5815" s="82"/>
    </row>
    <row r="5816" spans="1:8" s="28" customFormat="1" x14ac:dyDescent="0.25">
      <c r="A5816" s="29"/>
      <c r="B5816" s="15"/>
      <c r="C5816" s="19"/>
      <c r="D5816" s="19"/>
      <c r="E5816" s="19"/>
      <c r="F5816" s="19"/>
      <c r="G5816" s="19"/>
      <c r="H5816" s="82"/>
    </row>
    <row r="5817" spans="1:8" s="28" customFormat="1" x14ac:dyDescent="0.25">
      <c r="A5817" s="29"/>
      <c r="B5817" s="15"/>
      <c r="C5817" s="19"/>
      <c r="D5817" s="19"/>
      <c r="E5817" s="19"/>
      <c r="F5817" s="19"/>
      <c r="G5817" s="19"/>
      <c r="H5817" s="82"/>
    </row>
    <row r="5818" spans="1:8" s="28" customFormat="1" x14ac:dyDescent="0.25">
      <c r="A5818" s="29"/>
      <c r="B5818" s="15"/>
      <c r="C5818" s="19"/>
      <c r="D5818" s="19"/>
      <c r="E5818" s="19"/>
      <c r="F5818" s="19"/>
      <c r="G5818" s="19"/>
      <c r="H5818" s="82"/>
    </row>
    <row r="5819" spans="1:8" s="28" customFormat="1" x14ac:dyDescent="0.25">
      <c r="A5819" s="29"/>
      <c r="B5819" s="15"/>
      <c r="C5819" s="19"/>
      <c r="D5819" s="19"/>
      <c r="E5819" s="19"/>
      <c r="F5819" s="19"/>
      <c r="G5819" s="19"/>
      <c r="H5819" s="82"/>
    </row>
    <row r="5820" spans="1:8" s="28" customFormat="1" x14ac:dyDescent="0.25">
      <c r="A5820" s="29"/>
      <c r="B5820" s="15"/>
      <c r="C5820" s="19"/>
      <c r="D5820" s="19"/>
      <c r="E5820" s="19"/>
      <c r="F5820" s="19"/>
      <c r="G5820" s="19"/>
      <c r="H5820" s="82"/>
    </row>
    <row r="5821" spans="1:8" s="28" customFormat="1" x14ac:dyDescent="0.25">
      <c r="A5821" s="29"/>
      <c r="B5821" s="15"/>
      <c r="C5821" s="19"/>
      <c r="D5821" s="19"/>
      <c r="E5821" s="19"/>
      <c r="F5821" s="19"/>
      <c r="G5821" s="19"/>
      <c r="H5821" s="82"/>
    </row>
    <row r="5822" spans="1:8" s="28" customFormat="1" x14ac:dyDescent="0.25">
      <c r="A5822" s="29"/>
      <c r="B5822" s="15"/>
      <c r="C5822" s="19"/>
      <c r="D5822" s="19"/>
      <c r="E5822" s="19"/>
      <c r="F5822" s="19"/>
      <c r="G5822" s="19"/>
      <c r="H5822" s="82"/>
    </row>
    <row r="5823" spans="1:8" s="28" customFormat="1" x14ac:dyDescent="0.25">
      <c r="A5823" s="29"/>
      <c r="B5823" s="15"/>
      <c r="C5823" s="19"/>
      <c r="D5823" s="19"/>
      <c r="E5823" s="19"/>
      <c r="F5823" s="19"/>
      <c r="G5823" s="19"/>
      <c r="H5823" s="82"/>
    </row>
    <row r="5824" spans="1:8" s="28" customFormat="1" x14ac:dyDescent="0.25">
      <c r="A5824" s="29"/>
      <c r="B5824" s="15"/>
      <c r="C5824" s="19"/>
      <c r="D5824" s="19"/>
      <c r="E5824" s="19"/>
      <c r="F5824" s="19"/>
      <c r="G5824" s="19"/>
      <c r="H5824" s="82"/>
    </row>
    <row r="5825" spans="1:8" s="28" customFormat="1" x14ac:dyDescent="0.25">
      <c r="A5825" s="29"/>
      <c r="B5825" s="15"/>
      <c r="C5825" s="19"/>
      <c r="D5825" s="19"/>
      <c r="E5825" s="19"/>
      <c r="F5825" s="19"/>
      <c r="G5825" s="19"/>
      <c r="H5825" s="82"/>
    </row>
    <row r="5826" spans="1:8" s="28" customFormat="1" x14ac:dyDescent="0.25">
      <c r="A5826" s="29"/>
      <c r="B5826" s="15"/>
      <c r="C5826" s="19"/>
      <c r="D5826" s="19"/>
      <c r="E5826" s="19"/>
      <c r="F5826" s="19"/>
      <c r="G5826" s="19"/>
      <c r="H5826" s="82"/>
    </row>
    <row r="5827" spans="1:8" s="28" customFormat="1" x14ac:dyDescent="0.25">
      <c r="A5827" s="29"/>
      <c r="B5827" s="15"/>
      <c r="C5827" s="19"/>
      <c r="D5827" s="19"/>
      <c r="E5827" s="19"/>
      <c r="F5827" s="19"/>
      <c r="G5827" s="19"/>
      <c r="H5827" s="82"/>
    </row>
    <row r="5828" spans="1:8" s="28" customFormat="1" x14ac:dyDescent="0.25">
      <c r="A5828" s="29"/>
      <c r="B5828" s="15"/>
      <c r="C5828" s="19"/>
      <c r="D5828" s="19"/>
      <c r="E5828" s="19"/>
      <c r="F5828" s="19"/>
      <c r="G5828" s="19"/>
      <c r="H5828" s="82"/>
    </row>
    <row r="5829" spans="1:8" s="28" customFormat="1" x14ac:dyDescent="0.25">
      <c r="A5829" s="29"/>
      <c r="B5829" s="15"/>
      <c r="C5829" s="19"/>
      <c r="D5829" s="19"/>
      <c r="E5829" s="19"/>
      <c r="F5829" s="19"/>
      <c r="G5829" s="19"/>
      <c r="H5829" s="82"/>
    </row>
    <row r="5830" spans="1:8" s="28" customFormat="1" x14ac:dyDescent="0.25">
      <c r="A5830" s="29"/>
      <c r="B5830" s="15"/>
      <c r="C5830" s="19"/>
      <c r="D5830" s="19"/>
      <c r="E5830" s="19"/>
      <c r="F5830" s="19"/>
      <c r="G5830" s="19"/>
      <c r="H5830" s="82"/>
    </row>
    <row r="5831" spans="1:8" s="28" customFormat="1" x14ac:dyDescent="0.25">
      <c r="A5831" s="29"/>
      <c r="B5831" s="15"/>
      <c r="C5831" s="19"/>
      <c r="D5831" s="19"/>
      <c r="E5831" s="19"/>
      <c r="F5831" s="19"/>
      <c r="G5831" s="19"/>
      <c r="H5831" s="82"/>
    </row>
    <row r="5832" spans="1:8" s="28" customFormat="1" x14ac:dyDescent="0.25">
      <c r="A5832" s="29"/>
      <c r="B5832" s="15"/>
      <c r="C5832" s="19"/>
      <c r="D5832" s="19"/>
      <c r="E5832" s="19"/>
      <c r="F5832" s="19"/>
      <c r="G5832" s="19"/>
      <c r="H5832" s="82"/>
    </row>
    <row r="5833" spans="1:8" s="28" customFormat="1" x14ac:dyDescent="0.25">
      <c r="A5833" s="29"/>
      <c r="B5833" s="15"/>
      <c r="C5833" s="19"/>
      <c r="D5833" s="19"/>
      <c r="E5833" s="19"/>
      <c r="F5833" s="19"/>
      <c r="G5833" s="19"/>
      <c r="H5833" s="82"/>
    </row>
    <row r="5834" spans="1:8" s="28" customFormat="1" x14ac:dyDescent="0.25">
      <c r="A5834" s="29"/>
      <c r="B5834" s="15"/>
      <c r="C5834" s="19"/>
      <c r="D5834" s="19"/>
      <c r="E5834" s="19"/>
      <c r="F5834" s="19"/>
      <c r="G5834" s="19"/>
      <c r="H5834" s="82"/>
    </row>
    <row r="5835" spans="1:8" s="28" customFormat="1" x14ac:dyDescent="0.25">
      <c r="A5835" s="29"/>
      <c r="B5835" s="15"/>
      <c r="C5835" s="19"/>
      <c r="D5835" s="19"/>
      <c r="E5835" s="19"/>
      <c r="F5835" s="19"/>
      <c r="G5835" s="19"/>
      <c r="H5835" s="82"/>
    </row>
    <row r="5836" spans="1:8" s="28" customFormat="1" x14ac:dyDescent="0.25">
      <c r="A5836" s="29"/>
      <c r="B5836" s="15"/>
      <c r="C5836" s="19"/>
      <c r="D5836" s="19"/>
      <c r="E5836" s="19"/>
      <c r="F5836" s="19"/>
      <c r="G5836" s="19"/>
      <c r="H5836" s="82"/>
    </row>
    <row r="5837" spans="1:8" s="28" customFormat="1" x14ac:dyDescent="0.25">
      <c r="A5837" s="29"/>
      <c r="B5837" s="15"/>
      <c r="C5837" s="19"/>
      <c r="D5837" s="19"/>
      <c r="E5837" s="19"/>
      <c r="F5837" s="19"/>
      <c r="G5837" s="19"/>
      <c r="H5837" s="82"/>
    </row>
    <row r="5838" spans="1:8" s="28" customFormat="1" x14ac:dyDescent="0.25">
      <c r="A5838" s="29"/>
      <c r="B5838" s="15"/>
      <c r="C5838" s="19"/>
      <c r="D5838" s="19"/>
      <c r="E5838" s="19"/>
      <c r="F5838" s="19"/>
      <c r="G5838" s="19"/>
      <c r="H5838" s="82"/>
    </row>
    <row r="5839" spans="1:8" s="28" customFormat="1" x14ac:dyDescent="0.25">
      <c r="A5839" s="29"/>
      <c r="B5839" s="15"/>
      <c r="C5839" s="19"/>
      <c r="D5839" s="19"/>
      <c r="E5839" s="19"/>
      <c r="F5839" s="19"/>
      <c r="G5839" s="19"/>
      <c r="H5839" s="82"/>
    </row>
    <row r="5840" spans="1:8" s="28" customFormat="1" x14ac:dyDescent="0.25">
      <c r="A5840" s="29"/>
      <c r="B5840" s="15"/>
      <c r="C5840" s="19"/>
      <c r="D5840" s="19"/>
      <c r="E5840" s="19"/>
      <c r="F5840" s="19"/>
      <c r="G5840" s="19"/>
      <c r="H5840" s="82"/>
    </row>
    <row r="5841" spans="1:8" s="28" customFormat="1" x14ac:dyDescent="0.25">
      <c r="A5841" s="29"/>
      <c r="B5841" s="15"/>
      <c r="C5841" s="19"/>
      <c r="D5841" s="19"/>
      <c r="E5841" s="19"/>
      <c r="F5841" s="19"/>
      <c r="G5841" s="19"/>
      <c r="H5841" s="82"/>
    </row>
    <row r="5842" spans="1:8" s="28" customFormat="1" x14ac:dyDescent="0.25">
      <c r="A5842" s="29"/>
      <c r="B5842" s="15"/>
      <c r="C5842" s="19"/>
      <c r="D5842" s="19"/>
      <c r="E5842" s="19"/>
      <c r="F5842" s="19"/>
      <c r="G5842" s="19"/>
      <c r="H5842" s="82"/>
    </row>
    <row r="5843" spans="1:8" s="28" customFormat="1" x14ac:dyDescent="0.25">
      <c r="A5843" s="29"/>
      <c r="B5843" s="15"/>
      <c r="C5843" s="19"/>
      <c r="D5843" s="19"/>
      <c r="E5843" s="19"/>
      <c r="F5843" s="19"/>
      <c r="G5843" s="19"/>
      <c r="H5843" s="82"/>
    </row>
    <row r="5844" spans="1:8" s="28" customFormat="1" x14ac:dyDescent="0.25">
      <c r="A5844" s="29"/>
      <c r="B5844" s="15"/>
      <c r="C5844" s="19"/>
      <c r="D5844" s="19"/>
      <c r="E5844" s="19"/>
      <c r="F5844" s="19"/>
      <c r="G5844" s="19"/>
      <c r="H5844" s="82"/>
    </row>
    <row r="5845" spans="1:8" s="28" customFormat="1" x14ac:dyDescent="0.25">
      <c r="A5845" s="29"/>
      <c r="B5845" s="15"/>
      <c r="C5845" s="19"/>
      <c r="D5845" s="19"/>
      <c r="E5845" s="19"/>
      <c r="F5845" s="19"/>
      <c r="G5845" s="19"/>
      <c r="H5845" s="82"/>
    </row>
    <row r="5846" spans="1:8" s="28" customFormat="1" x14ac:dyDescent="0.25">
      <c r="A5846" s="29"/>
      <c r="B5846" s="15"/>
      <c r="C5846" s="19"/>
      <c r="D5846" s="19"/>
      <c r="E5846" s="19"/>
      <c r="F5846" s="19"/>
      <c r="G5846" s="19"/>
      <c r="H5846" s="82"/>
    </row>
    <row r="5847" spans="1:8" s="28" customFormat="1" x14ac:dyDescent="0.25">
      <c r="A5847" s="29"/>
      <c r="B5847" s="15"/>
      <c r="C5847" s="19"/>
      <c r="D5847" s="19"/>
      <c r="E5847" s="19"/>
      <c r="F5847" s="19"/>
      <c r="G5847" s="19"/>
      <c r="H5847" s="82"/>
    </row>
    <row r="5848" spans="1:8" s="28" customFormat="1" x14ac:dyDescent="0.25">
      <c r="A5848" s="29"/>
      <c r="B5848" s="15"/>
      <c r="C5848" s="19"/>
      <c r="D5848" s="19"/>
      <c r="E5848" s="19"/>
      <c r="F5848" s="19"/>
      <c r="G5848" s="19"/>
      <c r="H5848" s="82"/>
    </row>
    <row r="5849" spans="1:8" s="28" customFormat="1" x14ac:dyDescent="0.25">
      <c r="A5849" s="29"/>
      <c r="B5849" s="15"/>
      <c r="C5849" s="19"/>
      <c r="D5849" s="19"/>
      <c r="E5849" s="19"/>
      <c r="F5849" s="19"/>
      <c r="G5849" s="19"/>
      <c r="H5849" s="82"/>
    </row>
    <row r="5850" spans="1:8" s="28" customFormat="1" x14ac:dyDescent="0.25">
      <c r="A5850" s="29"/>
      <c r="B5850" s="15"/>
      <c r="C5850" s="19"/>
      <c r="D5850" s="19"/>
      <c r="E5850" s="19"/>
      <c r="F5850" s="19"/>
      <c r="G5850" s="19"/>
      <c r="H5850" s="82"/>
    </row>
    <row r="5851" spans="1:8" s="28" customFormat="1" x14ac:dyDescent="0.25">
      <c r="A5851" s="29"/>
      <c r="B5851" s="15"/>
      <c r="C5851" s="19"/>
      <c r="D5851" s="19"/>
      <c r="E5851" s="19"/>
      <c r="F5851" s="19"/>
      <c r="G5851" s="19"/>
      <c r="H5851" s="82"/>
    </row>
    <row r="5852" spans="1:8" s="28" customFormat="1" x14ac:dyDescent="0.25">
      <c r="A5852" s="29"/>
      <c r="B5852" s="15"/>
      <c r="C5852" s="19"/>
      <c r="D5852" s="19"/>
      <c r="E5852" s="19"/>
      <c r="F5852" s="19"/>
      <c r="G5852" s="19"/>
      <c r="H5852" s="82"/>
    </row>
    <row r="5853" spans="1:8" s="28" customFormat="1" x14ac:dyDescent="0.25">
      <c r="A5853" s="29"/>
      <c r="B5853" s="15"/>
      <c r="C5853" s="19"/>
      <c r="D5853" s="19"/>
      <c r="E5853" s="19"/>
      <c r="F5853" s="19"/>
      <c r="G5853" s="19"/>
      <c r="H5853" s="82"/>
    </row>
    <row r="5854" spans="1:8" s="28" customFormat="1" x14ac:dyDescent="0.25">
      <c r="A5854" s="29"/>
      <c r="B5854" s="15"/>
      <c r="C5854" s="19"/>
      <c r="D5854" s="19"/>
      <c r="E5854" s="19"/>
      <c r="F5854" s="19"/>
      <c r="G5854" s="19"/>
      <c r="H5854" s="82"/>
    </row>
    <row r="5855" spans="1:8" s="28" customFormat="1" x14ac:dyDescent="0.25">
      <c r="A5855" s="29"/>
      <c r="B5855" s="15"/>
      <c r="C5855" s="19"/>
      <c r="D5855" s="19"/>
      <c r="E5855" s="19"/>
      <c r="F5855" s="19"/>
      <c r="G5855" s="19"/>
      <c r="H5855" s="82"/>
    </row>
    <row r="5856" spans="1:8" s="28" customFormat="1" x14ac:dyDescent="0.25">
      <c r="A5856" s="29"/>
      <c r="B5856" s="15"/>
      <c r="C5856" s="19"/>
      <c r="D5856" s="19"/>
      <c r="E5856" s="19"/>
      <c r="F5856" s="19"/>
      <c r="G5856" s="19"/>
      <c r="H5856" s="82"/>
    </row>
    <row r="5857" spans="1:8" s="28" customFormat="1" x14ac:dyDescent="0.25">
      <c r="A5857" s="29"/>
      <c r="B5857" s="15"/>
      <c r="C5857" s="19"/>
      <c r="D5857" s="19"/>
      <c r="E5857" s="19"/>
      <c r="F5857" s="19"/>
      <c r="G5857" s="19"/>
      <c r="H5857" s="82"/>
    </row>
    <row r="5858" spans="1:8" s="28" customFormat="1" x14ac:dyDescent="0.25">
      <c r="A5858" s="29"/>
      <c r="B5858" s="15"/>
      <c r="C5858" s="19"/>
      <c r="D5858" s="19"/>
      <c r="E5858" s="19"/>
      <c r="F5858" s="19"/>
      <c r="G5858" s="19"/>
      <c r="H5858" s="82"/>
    </row>
    <row r="5859" spans="1:8" s="28" customFormat="1" x14ac:dyDescent="0.25">
      <c r="A5859" s="29"/>
      <c r="B5859" s="15"/>
      <c r="C5859" s="19"/>
      <c r="D5859" s="19"/>
      <c r="E5859" s="19"/>
      <c r="F5859" s="19"/>
      <c r="G5859" s="19"/>
      <c r="H5859" s="82"/>
    </row>
    <row r="5860" spans="1:8" s="28" customFormat="1" x14ac:dyDescent="0.25">
      <c r="A5860" s="29"/>
      <c r="B5860" s="15"/>
      <c r="C5860" s="19"/>
      <c r="D5860" s="19"/>
      <c r="E5860" s="19"/>
      <c r="F5860" s="19"/>
      <c r="G5860" s="19"/>
      <c r="H5860" s="82"/>
    </row>
    <row r="5861" spans="1:8" s="28" customFormat="1" x14ac:dyDescent="0.25">
      <c r="A5861" s="29"/>
      <c r="B5861" s="15"/>
      <c r="C5861" s="19"/>
      <c r="D5861" s="19"/>
      <c r="E5861" s="19"/>
      <c r="F5861" s="19"/>
      <c r="G5861" s="19"/>
      <c r="H5861" s="82"/>
    </row>
    <row r="5862" spans="1:8" s="28" customFormat="1" x14ac:dyDescent="0.25">
      <c r="A5862" s="29"/>
      <c r="B5862" s="15"/>
      <c r="C5862" s="19"/>
      <c r="D5862" s="19"/>
      <c r="E5862" s="19"/>
      <c r="F5862" s="19"/>
      <c r="G5862" s="19"/>
      <c r="H5862" s="82"/>
    </row>
    <row r="5863" spans="1:8" s="28" customFormat="1" x14ac:dyDescent="0.25">
      <c r="A5863" s="29"/>
      <c r="B5863" s="15"/>
      <c r="C5863" s="19"/>
      <c r="D5863" s="19"/>
      <c r="E5863" s="19"/>
      <c r="F5863" s="19"/>
      <c r="G5863" s="19"/>
      <c r="H5863" s="82"/>
    </row>
    <row r="5864" spans="1:8" s="28" customFormat="1" x14ac:dyDescent="0.25">
      <c r="A5864" s="29"/>
      <c r="B5864" s="15"/>
      <c r="C5864" s="19"/>
      <c r="D5864" s="19"/>
      <c r="E5864" s="19"/>
      <c r="F5864" s="19"/>
      <c r="G5864" s="19"/>
      <c r="H5864" s="82"/>
    </row>
    <row r="5865" spans="1:8" s="28" customFormat="1" x14ac:dyDescent="0.25">
      <c r="A5865" s="29"/>
      <c r="B5865" s="15"/>
      <c r="C5865" s="19"/>
      <c r="D5865" s="19"/>
      <c r="E5865" s="19"/>
      <c r="F5865" s="19"/>
      <c r="G5865" s="19"/>
      <c r="H5865" s="82"/>
    </row>
    <row r="5866" spans="1:8" s="28" customFormat="1" x14ac:dyDescent="0.25">
      <c r="A5866" s="29"/>
      <c r="B5866" s="15"/>
      <c r="C5866" s="19"/>
      <c r="D5866" s="19"/>
      <c r="E5866" s="19"/>
      <c r="F5866" s="19"/>
      <c r="G5866" s="19"/>
      <c r="H5866" s="82"/>
    </row>
    <row r="5867" spans="1:8" s="28" customFormat="1" x14ac:dyDescent="0.25">
      <c r="A5867" s="29"/>
      <c r="B5867" s="15"/>
      <c r="C5867" s="19"/>
      <c r="D5867" s="19"/>
      <c r="E5867" s="19"/>
      <c r="F5867" s="19"/>
      <c r="G5867" s="19"/>
      <c r="H5867" s="82"/>
    </row>
    <row r="5868" spans="1:8" s="28" customFormat="1" x14ac:dyDescent="0.25">
      <c r="A5868" s="29"/>
      <c r="B5868" s="15"/>
      <c r="C5868" s="19"/>
      <c r="D5868" s="19"/>
      <c r="E5868" s="19"/>
      <c r="F5868" s="19"/>
      <c r="G5868" s="19"/>
      <c r="H5868" s="82"/>
    </row>
    <row r="5869" spans="1:8" s="28" customFormat="1" x14ac:dyDescent="0.25">
      <c r="A5869" s="29"/>
      <c r="B5869" s="15"/>
      <c r="C5869" s="19"/>
      <c r="D5869" s="19"/>
      <c r="E5869" s="19"/>
      <c r="F5869" s="19"/>
      <c r="G5869" s="19"/>
      <c r="H5869" s="82"/>
    </row>
    <row r="5870" spans="1:8" s="28" customFormat="1" x14ac:dyDescent="0.25">
      <c r="A5870" s="29"/>
      <c r="B5870" s="15"/>
      <c r="C5870" s="19"/>
      <c r="D5870" s="19"/>
      <c r="E5870" s="19"/>
      <c r="F5870" s="19"/>
      <c r="G5870" s="19"/>
      <c r="H5870" s="82"/>
    </row>
    <row r="5871" spans="1:8" s="28" customFormat="1" x14ac:dyDescent="0.25">
      <c r="A5871" s="29"/>
      <c r="B5871" s="15"/>
      <c r="C5871" s="19"/>
      <c r="D5871" s="19"/>
      <c r="E5871" s="19"/>
      <c r="F5871" s="19"/>
      <c r="G5871" s="19"/>
      <c r="H5871" s="82"/>
    </row>
    <row r="5872" spans="1:8" s="28" customFormat="1" x14ac:dyDescent="0.25">
      <c r="A5872" s="29"/>
      <c r="B5872" s="15"/>
      <c r="C5872" s="19"/>
      <c r="D5872" s="19"/>
      <c r="E5872" s="19"/>
      <c r="F5872" s="19"/>
      <c r="G5872" s="19"/>
      <c r="H5872" s="82"/>
    </row>
    <row r="5873" spans="1:8" s="28" customFormat="1" x14ac:dyDescent="0.25">
      <c r="A5873" s="29"/>
      <c r="B5873" s="15"/>
      <c r="C5873" s="19"/>
      <c r="D5873" s="19"/>
      <c r="E5873" s="19"/>
      <c r="F5873" s="19"/>
      <c r="G5873" s="19"/>
      <c r="H5873" s="82"/>
    </row>
    <row r="5874" spans="1:8" s="28" customFormat="1" x14ac:dyDescent="0.25">
      <c r="A5874" s="29"/>
      <c r="B5874" s="15"/>
      <c r="C5874" s="19"/>
      <c r="D5874" s="19"/>
      <c r="E5874" s="19"/>
      <c r="F5874" s="19"/>
      <c r="G5874" s="19"/>
      <c r="H5874" s="82"/>
    </row>
    <row r="5875" spans="1:8" s="28" customFormat="1" x14ac:dyDescent="0.25">
      <c r="A5875" s="29"/>
      <c r="B5875" s="15"/>
      <c r="C5875" s="19"/>
      <c r="D5875" s="19"/>
      <c r="E5875" s="19"/>
      <c r="F5875" s="19"/>
      <c r="G5875" s="19"/>
      <c r="H5875" s="82"/>
    </row>
    <row r="5876" spans="1:8" s="28" customFormat="1" x14ac:dyDescent="0.25">
      <c r="A5876" s="29"/>
      <c r="B5876" s="15"/>
      <c r="C5876" s="19"/>
      <c r="D5876" s="19"/>
      <c r="E5876" s="19"/>
      <c r="F5876" s="19"/>
      <c r="G5876" s="19"/>
      <c r="H5876" s="82"/>
    </row>
    <row r="5877" spans="1:8" s="28" customFormat="1" x14ac:dyDescent="0.25">
      <c r="A5877" s="29"/>
      <c r="B5877" s="15"/>
      <c r="C5877" s="19"/>
      <c r="D5877" s="19"/>
      <c r="E5877" s="19"/>
      <c r="F5877" s="19"/>
      <c r="G5877" s="19"/>
      <c r="H5877" s="82"/>
    </row>
    <row r="5878" spans="1:8" s="28" customFormat="1" x14ac:dyDescent="0.25">
      <c r="A5878" s="29"/>
      <c r="B5878" s="15"/>
      <c r="C5878" s="19"/>
      <c r="D5878" s="19"/>
      <c r="E5878" s="19"/>
      <c r="F5878" s="19"/>
      <c r="G5878" s="19"/>
      <c r="H5878" s="82"/>
    </row>
    <row r="5879" spans="1:8" s="28" customFormat="1" x14ac:dyDescent="0.25">
      <c r="A5879" s="29"/>
      <c r="B5879" s="15"/>
      <c r="C5879" s="19"/>
      <c r="D5879" s="19"/>
      <c r="E5879" s="19"/>
      <c r="F5879" s="19"/>
      <c r="G5879" s="19"/>
      <c r="H5879" s="82"/>
    </row>
    <row r="5880" spans="1:8" s="28" customFormat="1" x14ac:dyDescent="0.25">
      <c r="A5880" s="29"/>
      <c r="B5880" s="15"/>
      <c r="C5880" s="19"/>
      <c r="D5880" s="19"/>
      <c r="E5880" s="19"/>
      <c r="F5880" s="19"/>
      <c r="G5880" s="19"/>
      <c r="H5880" s="82"/>
    </row>
    <row r="5881" spans="1:8" s="28" customFormat="1" x14ac:dyDescent="0.25">
      <c r="A5881" s="29"/>
      <c r="B5881" s="15"/>
      <c r="C5881" s="19"/>
      <c r="D5881" s="19"/>
      <c r="E5881" s="19"/>
      <c r="F5881" s="19"/>
      <c r="G5881" s="19"/>
      <c r="H5881" s="82"/>
    </row>
    <row r="5882" spans="1:8" s="28" customFormat="1" x14ac:dyDescent="0.25">
      <c r="A5882" s="29"/>
      <c r="B5882" s="15"/>
      <c r="C5882" s="19"/>
      <c r="D5882" s="19"/>
      <c r="E5882" s="19"/>
      <c r="F5882" s="19"/>
      <c r="G5882" s="19"/>
      <c r="H5882" s="82"/>
    </row>
    <row r="5883" spans="1:8" s="28" customFormat="1" x14ac:dyDescent="0.25">
      <c r="A5883" s="29"/>
      <c r="B5883" s="15"/>
      <c r="C5883" s="19"/>
      <c r="D5883" s="19"/>
      <c r="E5883" s="19"/>
      <c r="F5883" s="19"/>
      <c r="G5883" s="19"/>
      <c r="H5883" s="82"/>
    </row>
    <row r="5884" spans="1:8" s="28" customFormat="1" x14ac:dyDescent="0.25">
      <c r="A5884" s="29"/>
      <c r="B5884" s="15"/>
      <c r="C5884" s="19"/>
      <c r="D5884" s="19"/>
      <c r="E5884" s="19"/>
      <c r="F5884" s="19"/>
      <c r="G5884" s="19"/>
      <c r="H5884" s="82"/>
    </row>
    <row r="5885" spans="1:8" s="28" customFormat="1" x14ac:dyDescent="0.25">
      <c r="A5885" s="29"/>
      <c r="B5885" s="15"/>
      <c r="C5885" s="19"/>
      <c r="D5885" s="19"/>
      <c r="E5885" s="19"/>
      <c r="F5885" s="19"/>
      <c r="G5885" s="19"/>
      <c r="H5885" s="82"/>
    </row>
    <row r="5886" spans="1:8" s="28" customFormat="1" x14ac:dyDescent="0.25">
      <c r="A5886" s="29"/>
      <c r="B5886" s="15"/>
      <c r="C5886" s="19"/>
      <c r="D5886" s="19"/>
      <c r="E5886" s="19"/>
      <c r="F5886" s="19"/>
      <c r="G5886" s="19"/>
      <c r="H5886" s="82"/>
    </row>
    <row r="5887" spans="1:8" s="28" customFormat="1" x14ac:dyDescent="0.25">
      <c r="A5887" s="29"/>
      <c r="B5887" s="15"/>
      <c r="C5887" s="19"/>
      <c r="D5887" s="19"/>
      <c r="E5887" s="19"/>
      <c r="F5887" s="19"/>
      <c r="G5887" s="19"/>
      <c r="H5887" s="82"/>
    </row>
    <row r="5888" spans="1:8" s="28" customFormat="1" x14ac:dyDescent="0.25">
      <c r="A5888" s="29"/>
      <c r="B5888" s="15"/>
      <c r="C5888" s="19"/>
      <c r="D5888" s="19"/>
      <c r="E5888" s="19"/>
      <c r="F5888" s="19"/>
      <c r="G5888" s="19"/>
      <c r="H5888" s="82"/>
    </row>
    <row r="5889" spans="1:8" s="28" customFormat="1" x14ac:dyDescent="0.25">
      <c r="A5889" s="29"/>
      <c r="B5889" s="15"/>
      <c r="C5889" s="19"/>
      <c r="D5889" s="19"/>
      <c r="E5889" s="19"/>
      <c r="F5889" s="19"/>
      <c r="G5889" s="19"/>
      <c r="H5889" s="82"/>
    </row>
    <row r="5890" spans="1:8" s="28" customFormat="1" x14ac:dyDescent="0.25">
      <c r="A5890" s="29"/>
      <c r="B5890" s="15"/>
      <c r="C5890" s="19"/>
      <c r="D5890" s="19"/>
      <c r="E5890" s="19"/>
      <c r="F5890" s="19"/>
      <c r="G5890" s="19"/>
      <c r="H5890" s="82"/>
    </row>
    <row r="5891" spans="1:8" s="28" customFormat="1" x14ac:dyDescent="0.25">
      <c r="A5891" s="29"/>
      <c r="B5891" s="15"/>
      <c r="C5891" s="19"/>
      <c r="D5891" s="19"/>
      <c r="E5891" s="19"/>
      <c r="F5891" s="19"/>
      <c r="G5891" s="19"/>
      <c r="H5891" s="82"/>
    </row>
    <row r="5892" spans="1:8" s="28" customFormat="1" x14ac:dyDescent="0.25">
      <c r="A5892" s="29"/>
      <c r="B5892" s="15"/>
      <c r="C5892" s="19"/>
      <c r="D5892" s="19"/>
      <c r="E5892" s="19"/>
      <c r="F5892" s="19"/>
      <c r="G5892" s="19"/>
      <c r="H5892" s="82"/>
    </row>
    <row r="5893" spans="1:8" s="28" customFormat="1" x14ac:dyDescent="0.25">
      <c r="A5893" s="29"/>
      <c r="B5893" s="15"/>
      <c r="C5893" s="19"/>
      <c r="D5893" s="19"/>
      <c r="E5893" s="19"/>
      <c r="F5893" s="19"/>
      <c r="G5893" s="19"/>
      <c r="H5893" s="82"/>
    </row>
    <row r="5894" spans="1:8" s="28" customFormat="1" x14ac:dyDescent="0.25">
      <c r="A5894" s="29"/>
      <c r="B5894" s="15"/>
      <c r="C5894" s="19"/>
      <c r="D5894" s="19"/>
      <c r="E5894" s="19"/>
      <c r="F5894" s="19"/>
      <c r="G5894" s="19"/>
      <c r="H5894" s="82"/>
    </row>
    <row r="5895" spans="1:8" s="28" customFormat="1" x14ac:dyDescent="0.25">
      <c r="A5895" s="29"/>
      <c r="B5895" s="15"/>
      <c r="C5895" s="19"/>
      <c r="D5895" s="19"/>
      <c r="E5895" s="19"/>
      <c r="F5895" s="19"/>
      <c r="G5895" s="19"/>
      <c r="H5895" s="82"/>
    </row>
    <row r="5896" spans="1:8" s="28" customFormat="1" x14ac:dyDescent="0.25">
      <c r="A5896" s="29"/>
      <c r="B5896" s="15"/>
      <c r="C5896" s="19"/>
      <c r="D5896" s="19"/>
      <c r="E5896" s="19"/>
      <c r="F5896" s="19"/>
      <c r="G5896" s="19"/>
      <c r="H5896" s="82"/>
    </row>
    <row r="5897" spans="1:8" s="28" customFormat="1" x14ac:dyDescent="0.25">
      <c r="A5897" s="29"/>
      <c r="B5897" s="15"/>
      <c r="C5897" s="19"/>
      <c r="D5897" s="19"/>
      <c r="E5897" s="19"/>
      <c r="F5897" s="19"/>
      <c r="G5897" s="19"/>
      <c r="H5897" s="82"/>
    </row>
    <row r="5898" spans="1:8" s="28" customFormat="1" x14ac:dyDescent="0.25">
      <c r="A5898" s="29"/>
      <c r="B5898" s="15"/>
      <c r="C5898" s="19"/>
      <c r="D5898" s="19"/>
      <c r="E5898" s="19"/>
      <c r="F5898" s="19"/>
      <c r="G5898" s="19"/>
      <c r="H5898" s="82"/>
    </row>
    <row r="5899" spans="1:8" s="28" customFormat="1" x14ac:dyDescent="0.25">
      <c r="A5899" s="29"/>
      <c r="B5899" s="15"/>
      <c r="C5899" s="19"/>
      <c r="D5899" s="19"/>
      <c r="E5899" s="19"/>
      <c r="F5899" s="19"/>
      <c r="G5899" s="19"/>
      <c r="H5899" s="82"/>
    </row>
    <row r="5900" spans="1:8" s="28" customFormat="1" x14ac:dyDescent="0.25">
      <c r="A5900" s="29"/>
      <c r="B5900" s="15"/>
      <c r="C5900" s="19"/>
      <c r="D5900" s="19"/>
      <c r="E5900" s="19"/>
      <c r="F5900" s="19"/>
      <c r="G5900" s="19"/>
      <c r="H5900" s="82"/>
    </row>
    <row r="5901" spans="1:8" s="28" customFormat="1" x14ac:dyDescent="0.25">
      <c r="A5901" s="29"/>
      <c r="B5901" s="15"/>
      <c r="C5901" s="19"/>
      <c r="D5901" s="19"/>
      <c r="E5901" s="19"/>
      <c r="F5901" s="19"/>
      <c r="G5901" s="19"/>
      <c r="H5901" s="82"/>
    </row>
    <row r="5902" spans="1:8" s="28" customFormat="1" x14ac:dyDescent="0.25">
      <c r="A5902" s="29"/>
      <c r="B5902" s="15"/>
      <c r="C5902" s="19"/>
      <c r="D5902" s="19"/>
      <c r="E5902" s="19"/>
      <c r="F5902" s="19"/>
      <c r="G5902" s="19"/>
      <c r="H5902" s="82"/>
    </row>
    <row r="5903" spans="1:8" s="28" customFormat="1" x14ac:dyDescent="0.25">
      <c r="A5903" s="29"/>
      <c r="B5903" s="15"/>
      <c r="C5903" s="19"/>
      <c r="D5903" s="19"/>
      <c r="E5903" s="19"/>
      <c r="F5903" s="19"/>
      <c r="G5903" s="19"/>
      <c r="H5903" s="82"/>
    </row>
    <row r="5904" spans="1:8" s="28" customFormat="1" x14ac:dyDescent="0.25">
      <c r="A5904" s="29"/>
      <c r="B5904" s="15"/>
      <c r="C5904" s="19"/>
      <c r="D5904" s="19"/>
      <c r="E5904" s="19"/>
      <c r="F5904" s="19"/>
      <c r="G5904" s="19"/>
      <c r="H5904" s="82"/>
    </row>
    <row r="5905" spans="1:8" s="28" customFormat="1" x14ac:dyDescent="0.25">
      <c r="A5905" s="29"/>
      <c r="B5905" s="15"/>
      <c r="C5905" s="19"/>
      <c r="D5905" s="19"/>
      <c r="E5905" s="19"/>
      <c r="F5905" s="19"/>
      <c r="G5905" s="19"/>
      <c r="H5905" s="82"/>
    </row>
    <row r="5906" spans="1:8" s="28" customFormat="1" x14ac:dyDescent="0.25">
      <c r="A5906" s="29"/>
      <c r="B5906" s="15"/>
      <c r="C5906" s="19"/>
      <c r="D5906" s="19"/>
      <c r="E5906" s="19"/>
      <c r="F5906" s="19"/>
      <c r="G5906" s="19"/>
      <c r="H5906" s="82"/>
    </row>
    <row r="5907" spans="1:8" s="28" customFormat="1" x14ac:dyDescent="0.25">
      <c r="A5907" s="29"/>
      <c r="B5907" s="15"/>
      <c r="C5907" s="19"/>
      <c r="D5907" s="19"/>
      <c r="E5907" s="19"/>
      <c r="F5907" s="19"/>
      <c r="G5907" s="19"/>
      <c r="H5907" s="82"/>
    </row>
    <row r="5908" spans="1:8" s="28" customFormat="1" x14ac:dyDescent="0.25">
      <c r="A5908" s="29"/>
      <c r="B5908" s="15"/>
      <c r="C5908" s="19"/>
      <c r="D5908" s="19"/>
      <c r="E5908" s="19"/>
      <c r="F5908" s="19"/>
      <c r="G5908" s="19"/>
      <c r="H5908" s="82"/>
    </row>
    <row r="5909" spans="1:8" s="28" customFormat="1" x14ac:dyDescent="0.25">
      <c r="A5909" s="29"/>
      <c r="B5909" s="15"/>
      <c r="C5909" s="19"/>
      <c r="D5909" s="19"/>
      <c r="E5909" s="19"/>
      <c r="F5909" s="19"/>
      <c r="G5909" s="19"/>
      <c r="H5909" s="82"/>
    </row>
    <row r="5910" spans="1:8" s="28" customFormat="1" x14ac:dyDescent="0.25">
      <c r="A5910" s="29"/>
      <c r="B5910" s="15"/>
      <c r="C5910" s="19"/>
      <c r="D5910" s="19"/>
      <c r="E5910" s="19"/>
      <c r="F5910" s="19"/>
      <c r="G5910" s="19"/>
      <c r="H5910" s="82"/>
    </row>
    <row r="5911" spans="1:8" s="28" customFormat="1" x14ac:dyDescent="0.25">
      <c r="A5911" s="29"/>
      <c r="B5911" s="15"/>
      <c r="C5911" s="19"/>
      <c r="D5911" s="19"/>
      <c r="E5911" s="19"/>
      <c r="F5911" s="19"/>
      <c r="G5911" s="19"/>
      <c r="H5911" s="82"/>
    </row>
    <row r="5912" spans="1:8" s="28" customFormat="1" x14ac:dyDescent="0.25">
      <c r="A5912" s="29"/>
      <c r="B5912" s="15"/>
      <c r="C5912" s="19"/>
      <c r="D5912" s="19"/>
      <c r="E5912" s="19"/>
      <c r="F5912" s="19"/>
      <c r="G5912" s="19"/>
      <c r="H5912" s="82"/>
    </row>
    <row r="5913" spans="1:8" s="28" customFormat="1" x14ac:dyDescent="0.25">
      <c r="A5913" s="29"/>
      <c r="B5913" s="15"/>
      <c r="C5913" s="19"/>
      <c r="D5913" s="19"/>
      <c r="E5913" s="19"/>
      <c r="F5913" s="19"/>
      <c r="G5913" s="19"/>
      <c r="H5913" s="82"/>
    </row>
    <row r="5914" spans="1:8" s="28" customFormat="1" x14ac:dyDescent="0.25">
      <c r="A5914" s="29"/>
      <c r="B5914" s="15"/>
      <c r="C5914" s="19"/>
      <c r="D5914" s="19"/>
      <c r="E5914" s="19"/>
      <c r="F5914" s="19"/>
      <c r="G5914" s="19"/>
      <c r="H5914" s="82"/>
    </row>
    <row r="5915" spans="1:8" s="28" customFormat="1" x14ac:dyDescent="0.25">
      <c r="A5915" s="29"/>
      <c r="B5915" s="15"/>
      <c r="C5915" s="19"/>
      <c r="D5915" s="19"/>
      <c r="E5915" s="19"/>
      <c r="F5915" s="19"/>
      <c r="G5915" s="19"/>
      <c r="H5915" s="82"/>
    </row>
    <row r="5916" spans="1:8" s="28" customFormat="1" x14ac:dyDescent="0.25">
      <c r="A5916" s="29"/>
      <c r="B5916" s="15"/>
      <c r="C5916" s="19"/>
      <c r="D5916" s="19"/>
      <c r="E5916" s="19"/>
      <c r="F5916" s="19"/>
      <c r="G5916" s="19"/>
      <c r="H5916" s="82"/>
    </row>
    <row r="5917" spans="1:8" s="28" customFormat="1" x14ac:dyDescent="0.25">
      <c r="A5917" s="29"/>
      <c r="B5917" s="15"/>
      <c r="C5917" s="19"/>
      <c r="D5917" s="19"/>
      <c r="E5917" s="19"/>
      <c r="F5917" s="19"/>
      <c r="G5917" s="19"/>
      <c r="H5917" s="82"/>
    </row>
    <row r="5918" spans="1:8" s="28" customFormat="1" x14ac:dyDescent="0.25">
      <c r="A5918" s="29"/>
      <c r="B5918" s="15"/>
      <c r="C5918" s="19"/>
      <c r="D5918" s="19"/>
      <c r="E5918" s="19"/>
      <c r="F5918" s="19"/>
      <c r="G5918" s="19"/>
      <c r="H5918" s="82"/>
    </row>
    <row r="5919" spans="1:8" s="28" customFormat="1" x14ac:dyDescent="0.25">
      <c r="A5919" s="29"/>
      <c r="B5919" s="15"/>
      <c r="C5919" s="19"/>
      <c r="D5919" s="19"/>
      <c r="E5919" s="19"/>
      <c r="F5919" s="19"/>
      <c r="G5919" s="19"/>
      <c r="H5919" s="82"/>
    </row>
    <row r="5920" spans="1:8" s="28" customFormat="1" x14ac:dyDescent="0.25">
      <c r="A5920" s="29"/>
      <c r="B5920" s="15"/>
      <c r="C5920" s="19"/>
      <c r="D5920" s="19"/>
      <c r="E5920" s="19"/>
      <c r="F5920" s="19"/>
      <c r="G5920" s="19"/>
      <c r="H5920" s="82"/>
    </row>
    <row r="5921" spans="1:8" s="28" customFormat="1" x14ac:dyDescent="0.25">
      <c r="A5921" s="29"/>
      <c r="B5921" s="15"/>
      <c r="C5921" s="19"/>
      <c r="D5921" s="19"/>
      <c r="E5921" s="19"/>
      <c r="F5921" s="19"/>
      <c r="G5921" s="19"/>
      <c r="H5921" s="82"/>
    </row>
    <row r="5922" spans="1:8" s="28" customFormat="1" x14ac:dyDescent="0.25">
      <c r="A5922" s="29"/>
      <c r="B5922" s="15"/>
      <c r="C5922" s="19"/>
      <c r="D5922" s="19"/>
      <c r="E5922" s="19"/>
      <c r="F5922" s="19"/>
      <c r="G5922" s="19"/>
      <c r="H5922" s="82"/>
    </row>
    <row r="5923" spans="1:8" s="28" customFormat="1" x14ac:dyDescent="0.25">
      <c r="A5923" s="29"/>
      <c r="B5923" s="15"/>
      <c r="C5923" s="19"/>
      <c r="D5923" s="19"/>
      <c r="E5923" s="19"/>
      <c r="F5923" s="19"/>
      <c r="G5923" s="19"/>
      <c r="H5923" s="82"/>
    </row>
    <row r="5924" spans="1:8" s="28" customFormat="1" x14ac:dyDescent="0.25">
      <c r="A5924" s="29"/>
      <c r="B5924" s="15"/>
      <c r="C5924" s="19"/>
      <c r="D5924" s="19"/>
      <c r="E5924" s="19"/>
      <c r="F5924" s="19"/>
      <c r="G5924" s="19"/>
      <c r="H5924" s="82"/>
    </row>
    <row r="5925" spans="1:8" s="28" customFormat="1" x14ac:dyDescent="0.25">
      <c r="A5925" s="29"/>
      <c r="B5925" s="15"/>
      <c r="C5925" s="19"/>
      <c r="D5925" s="19"/>
      <c r="E5925" s="19"/>
      <c r="F5925" s="19"/>
      <c r="G5925" s="19"/>
      <c r="H5925" s="82"/>
    </row>
    <row r="5926" spans="1:8" s="28" customFormat="1" x14ac:dyDescent="0.25">
      <c r="A5926" s="29"/>
      <c r="B5926" s="15"/>
      <c r="C5926" s="19"/>
      <c r="D5926" s="19"/>
      <c r="E5926" s="19"/>
      <c r="F5926" s="19"/>
      <c r="G5926" s="19"/>
      <c r="H5926" s="82"/>
    </row>
    <row r="5927" spans="1:8" s="28" customFormat="1" x14ac:dyDescent="0.25">
      <c r="A5927" s="29"/>
      <c r="B5927" s="15"/>
      <c r="C5927" s="19"/>
      <c r="D5927" s="19"/>
      <c r="E5927" s="19"/>
      <c r="F5927" s="19"/>
      <c r="G5927" s="19"/>
      <c r="H5927" s="82"/>
    </row>
    <row r="5928" spans="1:8" s="28" customFormat="1" x14ac:dyDescent="0.25">
      <c r="A5928" s="29"/>
      <c r="B5928" s="15"/>
      <c r="C5928" s="19"/>
      <c r="D5928" s="19"/>
      <c r="E5928" s="19"/>
      <c r="F5928" s="19"/>
      <c r="G5928" s="19"/>
      <c r="H5928" s="82"/>
    </row>
    <row r="5929" spans="1:8" s="28" customFormat="1" x14ac:dyDescent="0.25">
      <c r="A5929" s="29"/>
      <c r="B5929" s="15"/>
      <c r="C5929" s="19"/>
      <c r="D5929" s="19"/>
      <c r="E5929" s="19"/>
      <c r="F5929" s="19"/>
      <c r="G5929" s="19"/>
      <c r="H5929" s="82"/>
    </row>
    <row r="5930" spans="1:8" s="28" customFormat="1" x14ac:dyDescent="0.25">
      <c r="A5930" s="29"/>
      <c r="B5930" s="15"/>
      <c r="C5930" s="19"/>
      <c r="D5930" s="19"/>
      <c r="E5930" s="19"/>
      <c r="F5930" s="19"/>
      <c r="G5930" s="19"/>
      <c r="H5930" s="82"/>
    </row>
    <row r="5931" spans="1:8" s="28" customFormat="1" x14ac:dyDescent="0.25">
      <c r="A5931" s="29"/>
      <c r="B5931" s="15"/>
      <c r="C5931" s="19"/>
      <c r="D5931" s="19"/>
      <c r="E5931" s="19"/>
      <c r="F5931" s="19"/>
      <c r="G5931" s="19"/>
      <c r="H5931" s="82"/>
    </row>
    <row r="5932" spans="1:8" s="28" customFormat="1" x14ac:dyDescent="0.25">
      <c r="A5932" s="29"/>
      <c r="B5932" s="15"/>
      <c r="C5932" s="19"/>
      <c r="D5932" s="19"/>
      <c r="E5932" s="19"/>
      <c r="F5932" s="19"/>
      <c r="G5932" s="19"/>
      <c r="H5932" s="82"/>
    </row>
    <row r="5933" spans="1:8" s="28" customFormat="1" x14ac:dyDescent="0.25">
      <c r="A5933" s="29"/>
      <c r="B5933" s="15"/>
      <c r="C5933" s="19"/>
      <c r="D5933" s="19"/>
      <c r="E5933" s="19"/>
      <c r="F5933" s="19"/>
      <c r="G5933" s="19"/>
      <c r="H5933" s="82"/>
    </row>
    <row r="5934" spans="1:8" s="28" customFormat="1" x14ac:dyDescent="0.25">
      <c r="A5934" s="29"/>
      <c r="B5934" s="15"/>
      <c r="C5934" s="19"/>
      <c r="D5934" s="19"/>
      <c r="E5934" s="19"/>
      <c r="F5934" s="19"/>
      <c r="G5934" s="19"/>
      <c r="H5934" s="82"/>
    </row>
    <row r="5935" spans="1:8" s="28" customFormat="1" x14ac:dyDescent="0.25">
      <c r="A5935" s="29"/>
      <c r="B5935" s="15"/>
      <c r="C5935" s="19"/>
      <c r="D5935" s="19"/>
      <c r="E5935" s="19"/>
      <c r="F5935" s="19"/>
      <c r="G5935" s="19"/>
      <c r="H5935" s="82"/>
    </row>
    <row r="5936" spans="1:8" s="28" customFormat="1" x14ac:dyDescent="0.25">
      <c r="A5936" s="29"/>
      <c r="B5936" s="15"/>
      <c r="C5936" s="19"/>
      <c r="D5936" s="19"/>
      <c r="E5936" s="19"/>
      <c r="F5936" s="19"/>
      <c r="G5936" s="19"/>
      <c r="H5936" s="82"/>
    </row>
    <row r="5937" spans="1:8" s="28" customFormat="1" x14ac:dyDescent="0.25">
      <c r="A5937" s="29"/>
      <c r="B5937" s="15"/>
      <c r="C5937" s="19"/>
      <c r="D5937" s="19"/>
      <c r="E5937" s="19"/>
      <c r="F5937" s="19"/>
      <c r="G5937" s="19"/>
      <c r="H5937" s="82"/>
    </row>
    <row r="5938" spans="1:8" s="28" customFormat="1" x14ac:dyDescent="0.25">
      <c r="A5938" s="29"/>
      <c r="B5938" s="15"/>
      <c r="C5938" s="19"/>
      <c r="D5938" s="19"/>
      <c r="E5938" s="19"/>
      <c r="F5938" s="19"/>
      <c r="G5938" s="19"/>
      <c r="H5938" s="82"/>
    </row>
    <row r="5939" spans="1:8" s="28" customFormat="1" x14ac:dyDescent="0.25">
      <c r="A5939" s="29"/>
      <c r="B5939" s="15"/>
      <c r="C5939" s="19"/>
      <c r="D5939" s="19"/>
      <c r="E5939" s="19"/>
      <c r="F5939" s="19"/>
      <c r="G5939" s="19"/>
      <c r="H5939" s="82"/>
    </row>
    <row r="5940" spans="1:8" s="28" customFormat="1" x14ac:dyDescent="0.25">
      <c r="A5940" s="29"/>
      <c r="B5940" s="15"/>
      <c r="C5940" s="19"/>
      <c r="D5940" s="19"/>
      <c r="E5940" s="19"/>
      <c r="F5940" s="19"/>
      <c r="G5940" s="19"/>
      <c r="H5940" s="82"/>
    </row>
    <row r="5941" spans="1:8" s="28" customFormat="1" x14ac:dyDescent="0.25">
      <c r="A5941" s="29"/>
      <c r="B5941" s="15"/>
      <c r="C5941" s="19"/>
      <c r="D5941" s="19"/>
      <c r="E5941" s="19"/>
      <c r="F5941" s="19"/>
      <c r="G5941" s="19"/>
      <c r="H5941" s="82"/>
    </row>
    <row r="5942" spans="1:8" s="28" customFormat="1" x14ac:dyDescent="0.25">
      <c r="A5942" s="29"/>
      <c r="B5942" s="15"/>
      <c r="C5942" s="19"/>
      <c r="D5942" s="19"/>
      <c r="E5942" s="19"/>
      <c r="F5942" s="19"/>
      <c r="G5942" s="19"/>
      <c r="H5942" s="82"/>
    </row>
    <row r="5943" spans="1:8" s="28" customFormat="1" x14ac:dyDescent="0.25">
      <c r="A5943" s="29"/>
      <c r="B5943" s="15"/>
      <c r="C5943" s="19"/>
      <c r="D5943" s="19"/>
      <c r="E5943" s="19"/>
      <c r="F5943" s="19"/>
      <c r="G5943" s="19"/>
      <c r="H5943" s="82"/>
    </row>
    <row r="5944" spans="1:8" s="28" customFormat="1" x14ac:dyDescent="0.25">
      <c r="A5944" s="29"/>
      <c r="B5944" s="15"/>
      <c r="C5944" s="19"/>
      <c r="D5944" s="19"/>
      <c r="E5944" s="19"/>
      <c r="F5944" s="19"/>
      <c r="G5944" s="19"/>
      <c r="H5944" s="82"/>
    </row>
    <row r="5945" spans="1:8" s="28" customFormat="1" x14ac:dyDescent="0.25">
      <c r="A5945" s="29"/>
      <c r="B5945" s="15"/>
      <c r="C5945" s="19"/>
      <c r="D5945" s="19"/>
      <c r="E5945" s="19"/>
      <c r="F5945" s="19"/>
      <c r="G5945" s="19"/>
      <c r="H5945" s="82"/>
    </row>
    <row r="5946" spans="1:8" s="28" customFormat="1" x14ac:dyDescent="0.25">
      <c r="A5946" s="29"/>
      <c r="B5946" s="15"/>
      <c r="C5946" s="19"/>
      <c r="D5946" s="19"/>
      <c r="E5946" s="19"/>
      <c r="F5946" s="19"/>
      <c r="G5946" s="19"/>
      <c r="H5946" s="82"/>
    </row>
    <row r="5947" spans="1:8" s="28" customFormat="1" x14ac:dyDescent="0.25">
      <c r="A5947" s="29"/>
      <c r="B5947" s="15"/>
      <c r="C5947" s="19"/>
      <c r="D5947" s="19"/>
      <c r="E5947" s="19"/>
      <c r="F5947" s="19"/>
      <c r="G5947" s="19"/>
      <c r="H5947" s="82"/>
    </row>
    <row r="5948" spans="1:8" s="28" customFormat="1" x14ac:dyDescent="0.25">
      <c r="A5948" s="29"/>
      <c r="B5948" s="15"/>
      <c r="C5948" s="19"/>
      <c r="D5948" s="19"/>
      <c r="E5948" s="19"/>
      <c r="F5948" s="19"/>
      <c r="G5948" s="19"/>
      <c r="H5948" s="82"/>
    </row>
    <row r="5949" spans="1:8" s="28" customFormat="1" x14ac:dyDescent="0.25">
      <c r="A5949" s="29"/>
      <c r="B5949" s="15"/>
      <c r="C5949" s="19"/>
      <c r="D5949" s="19"/>
      <c r="E5949" s="19"/>
      <c r="F5949" s="19"/>
      <c r="G5949" s="19"/>
      <c r="H5949" s="82"/>
    </row>
    <row r="5950" spans="1:8" s="28" customFormat="1" x14ac:dyDescent="0.25">
      <c r="A5950" s="29"/>
      <c r="B5950" s="15"/>
      <c r="C5950" s="19"/>
      <c r="D5950" s="19"/>
      <c r="E5950" s="19"/>
      <c r="F5950" s="19"/>
      <c r="G5950" s="19"/>
      <c r="H5950" s="82"/>
    </row>
    <row r="5951" spans="1:8" s="28" customFormat="1" x14ac:dyDescent="0.25">
      <c r="A5951" s="29"/>
      <c r="B5951" s="15"/>
      <c r="C5951" s="19"/>
      <c r="D5951" s="19"/>
      <c r="E5951" s="19"/>
      <c r="F5951" s="19"/>
      <c r="G5951" s="19"/>
      <c r="H5951" s="82"/>
    </row>
    <row r="5952" spans="1:8" s="28" customFormat="1" x14ac:dyDescent="0.25">
      <c r="A5952" s="29"/>
      <c r="B5952" s="15"/>
      <c r="C5952" s="19"/>
      <c r="D5952" s="19"/>
      <c r="E5952" s="19"/>
      <c r="F5952" s="19"/>
      <c r="G5952" s="19"/>
      <c r="H5952" s="82"/>
    </row>
    <row r="5953" spans="1:8" s="28" customFormat="1" x14ac:dyDescent="0.25">
      <c r="A5953" s="29"/>
      <c r="B5953" s="15"/>
      <c r="C5953" s="19"/>
      <c r="D5953" s="19"/>
      <c r="E5953" s="19"/>
      <c r="F5953" s="19"/>
      <c r="G5953" s="19"/>
      <c r="H5953" s="82"/>
    </row>
    <row r="5954" spans="1:8" s="28" customFormat="1" x14ac:dyDescent="0.25">
      <c r="A5954" s="29"/>
      <c r="B5954" s="15"/>
      <c r="C5954" s="19"/>
      <c r="D5954" s="19"/>
      <c r="E5954" s="19"/>
      <c r="F5954" s="19"/>
      <c r="G5954" s="19"/>
      <c r="H5954" s="82"/>
    </row>
    <row r="5955" spans="1:8" s="28" customFormat="1" x14ac:dyDescent="0.25">
      <c r="A5955" s="29"/>
      <c r="B5955" s="15"/>
      <c r="C5955" s="19"/>
      <c r="D5955" s="19"/>
      <c r="E5955" s="19"/>
      <c r="F5955" s="19"/>
      <c r="G5955" s="19"/>
      <c r="H5955" s="82"/>
    </row>
    <row r="5956" spans="1:8" s="28" customFormat="1" x14ac:dyDescent="0.25">
      <c r="A5956" s="29"/>
      <c r="B5956" s="15"/>
      <c r="C5956" s="19"/>
      <c r="D5956" s="19"/>
      <c r="E5956" s="19"/>
      <c r="F5956" s="19"/>
      <c r="G5956" s="19"/>
      <c r="H5956" s="82"/>
    </row>
    <row r="5957" spans="1:8" s="28" customFormat="1" x14ac:dyDescent="0.25">
      <c r="A5957" s="29"/>
      <c r="B5957" s="15"/>
      <c r="C5957" s="19"/>
      <c r="D5957" s="19"/>
      <c r="E5957" s="19"/>
      <c r="F5957" s="19"/>
      <c r="G5957" s="19"/>
      <c r="H5957" s="82"/>
    </row>
    <row r="5958" spans="1:8" s="28" customFormat="1" x14ac:dyDescent="0.25">
      <c r="A5958" s="29"/>
      <c r="B5958" s="15"/>
      <c r="C5958" s="19"/>
      <c r="D5958" s="19"/>
      <c r="E5958" s="19"/>
      <c r="F5958" s="19"/>
      <c r="G5958" s="19"/>
      <c r="H5958" s="82"/>
    </row>
    <row r="5959" spans="1:8" s="28" customFormat="1" x14ac:dyDescent="0.25">
      <c r="A5959" s="29"/>
      <c r="B5959" s="15"/>
      <c r="C5959" s="19"/>
      <c r="D5959" s="19"/>
      <c r="E5959" s="19"/>
      <c r="F5959" s="19"/>
      <c r="G5959" s="19"/>
      <c r="H5959" s="82"/>
    </row>
    <row r="5960" spans="1:8" s="28" customFormat="1" x14ac:dyDescent="0.25">
      <c r="A5960" s="29"/>
      <c r="B5960" s="15"/>
      <c r="C5960" s="19"/>
      <c r="D5960" s="19"/>
      <c r="E5960" s="19"/>
      <c r="F5960" s="19"/>
      <c r="G5960" s="19"/>
      <c r="H5960" s="82"/>
    </row>
    <row r="5961" spans="1:8" s="28" customFormat="1" x14ac:dyDescent="0.25">
      <c r="A5961" s="29"/>
      <c r="B5961" s="15"/>
      <c r="C5961" s="19"/>
      <c r="D5961" s="19"/>
      <c r="E5961" s="19"/>
      <c r="F5961" s="19"/>
      <c r="G5961" s="19"/>
      <c r="H5961" s="82"/>
    </row>
    <row r="5962" spans="1:8" s="28" customFormat="1" x14ac:dyDescent="0.25">
      <c r="A5962" s="29"/>
      <c r="B5962" s="15"/>
      <c r="C5962" s="19"/>
      <c r="D5962" s="19"/>
      <c r="E5962" s="19"/>
      <c r="F5962" s="19"/>
      <c r="G5962" s="19"/>
      <c r="H5962" s="82"/>
    </row>
    <row r="5963" spans="1:8" s="28" customFormat="1" x14ac:dyDescent="0.25">
      <c r="A5963" s="29"/>
      <c r="B5963" s="15"/>
      <c r="C5963" s="19"/>
      <c r="D5963" s="19"/>
      <c r="E5963" s="19"/>
      <c r="F5963" s="19"/>
      <c r="G5963" s="19"/>
      <c r="H5963" s="82"/>
    </row>
    <row r="5964" spans="1:8" s="28" customFormat="1" x14ac:dyDescent="0.25">
      <c r="A5964" s="29"/>
      <c r="B5964" s="15"/>
      <c r="C5964" s="19"/>
      <c r="D5964" s="19"/>
      <c r="E5964" s="19"/>
      <c r="F5964" s="19"/>
      <c r="G5964" s="19"/>
      <c r="H5964" s="82"/>
    </row>
    <row r="5965" spans="1:8" s="28" customFormat="1" x14ac:dyDescent="0.25">
      <c r="A5965" s="29"/>
      <c r="B5965" s="15"/>
      <c r="C5965" s="19"/>
      <c r="D5965" s="19"/>
      <c r="E5965" s="19"/>
      <c r="F5965" s="19"/>
      <c r="G5965" s="19"/>
      <c r="H5965" s="82"/>
    </row>
    <row r="5966" spans="1:8" s="28" customFormat="1" x14ac:dyDescent="0.25">
      <c r="A5966" s="29"/>
      <c r="B5966" s="15"/>
      <c r="C5966" s="19"/>
      <c r="D5966" s="19"/>
      <c r="E5966" s="19"/>
      <c r="F5966" s="19"/>
      <c r="G5966" s="19"/>
      <c r="H5966" s="82"/>
    </row>
    <row r="5967" spans="1:8" s="28" customFormat="1" x14ac:dyDescent="0.25">
      <c r="A5967" s="29"/>
      <c r="B5967" s="15"/>
      <c r="C5967" s="19"/>
      <c r="D5967" s="19"/>
      <c r="E5967" s="19"/>
      <c r="F5967" s="19"/>
      <c r="G5967" s="19"/>
      <c r="H5967" s="82"/>
    </row>
    <row r="5968" spans="1:8" s="28" customFormat="1" x14ac:dyDescent="0.25">
      <c r="A5968" s="29"/>
      <c r="B5968" s="15"/>
      <c r="C5968" s="19"/>
      <c r="D5968" s="19"/>
      <c r="E5968" s="19"/>
      <c r="F5968" s="19"/>
      <c r="G5968" s="19"/>
      <c r="H5968" s="82"/>
    </row>
    <row r="5969" spans="1:8" s="28" customFormat="1" x14ac:dyDescent="0.25">
      <c r="A5969" s="29"/>
      <c r="B5969" s="15"/>
      <c r="C5969" s="19"/>
      <c r="D5969" s="19"/>
      <c r="E5969" s="19"/>
      <c r="F5969" s="19"/>
      <c r="G5969" s="19"/>
      <c r="H5969" s="82"/>
    </row>
    <row r="5970" spans="1:8" s="28" customFormat="1" x14ac:dyDescent="0.25">
      <c r="A5970" s="29"/>
      <c r="B5970" s="15"/>
      <c r="C5970" s="19"/>
      <c r="D5970" s="19"/>
      <c r="E5970" s="19"/>
      <c r="F5970" s="19"/>
      <c r="G5970" s="19"/>
      <c r="H5970" s="82"/>
    </row>
    <row r="5971" spans="1:8" s="28" customFormat="1" x14ac:dyDescent="0.25">
      <c r="A5971" s="29"/>
      <c r="B5971" s="15"/>
      <c r="C5971" s="19"/>
      <c r="D5971" s="19"/>
      <c r="E5971" s="19"/>
      <c r="F5971" s="19"/>
      <c r="G5971" s="19"/>
      <c r="H5971" s="82"/>
    </row>
    <row r="5972" spans="1:8" s="28" customFormat="1" x14ac:dyDescent="0.25">
      <c r="A5972" s="29"/>
      <c r="B5972" s="15"/>
      <c r="C5972" s="19"/>
      <c r="D5972" s="19"/>
      <c r="E5972" s="19"/>
      <c r="F5972" s="19"/>
      <c r="G5972" s="19"/>
      <c r="H5972" s="82"/>
    </row>
    <row r="5973" spans="1:8" s="28" customFormat="1" x14ac:dyDescent="0.25">
      <c r="A5973" s="29"/>
      <c r="B5973" s="15"/>
      <c r="C5973" s="19"/>
      <c r="D5973" s="19"/>
      <c r="E5973" s="19"/>
      <c r="F5973" s="19"/>
      <c r="G5973" s="19"/>
      <c r="H5973" s="82"/>
    </row>
    <row r="5974" spans="1:8" s="28" customFormat="1" x14ac:dyDescent="0.25">
      <c r="A5974" s="29"/>
      <c r="B5974" s="15"/>
      <c r="C5974" s="19"/>
      <c r="D5974" s="19"/>
      <c r="E5974" s="19"/>
      <c r="F5974" s="19"/>
      <c r="G5974" s="19"/>
      <c r="H5974" s="82"/>
    </row>
    <row r="5975" spans="1:8" s="28" customFormat="1" x14ac:dyDescent="0.25">
      <c r="A5975" s="29"/>
      <c r="B5975" s="15"/>
      <c r="C5975" s="19"/>
      <c r="D5975" s="19"/>
      <c r="E5975" s="19"/>
      <c r="F5975" s="19"/>
      <c r="G5975" s="19"/>
      <c r="H5975" s="82"/>
    </row>
    <row r="5976" spans="1:8" s="28" customFormat="1" x14ac:dyDescent="0.25">
      <c r="A5976" s="29"/>
      <c r="B5976" s="15"/>
      <c r="C5976" s="19"/>
      <c r="D5976" s="19"/>
      <c r="E5976" s="19"/>
      <c r="F5976" s="19"/>
      <c r="G5976" s="19"/>
      <c r="H5976" s="82"/>
    </row>
    <row r="5977" spans="1:8" s="28" customFormat="1" x14ac:dyDescent="0.25">
      <c r="A5977" s="29"/>
      <c r="B5977" s="15"/>
      <c r="C5977" s="19"/>
      <c r="D5977" s="19"/>
      <c r="E5977" s="19"/>
      <c r="F5977" s="19"/>
      <c r="G5977" s="19"/>
      <c r="H5977" s="82"/>
    </row>
    <row r="5978" spans="1:8" s="28" customFormat="1" x14ac:dyDescent="0.25">
      <c r="A5978" s="29"/>
      <c r="B5978" s="15"/>
      <c r="C5978" s="19"/>
      <c r="D5978" s="19"/>
      <c r="E5978" s="19"/>
      <c r="F5978" s="19"/>
      <c r="G5978" s="19"/>
      <c r="H5978" s="82"/>
    </row>
    <row r="5979" spans="1:8" s="28" customFormat="1" x14ac:dyDescent="0.25">
      <c r="A5979" s="29"/>
      <c r="B5979" s="15"/>
      <c r="C5979" s="19"/>
      <c r="D5979" s="19"/>
      <c r="E5979" s="19"/>
      <c r="F5979" s="19"/>
      <c r="G5979" s="19"/>
      <c r="H5979" s="82"/>
    </row>
    <row r="5980" spans="1:8" s="28" customFormat="1" x14ac:dyDescent="0.25">
      <c r="A5980" s="29"/>
      <c r="B5980" s="15"/>
      <c r="C5980" s="19"/>
      <c r="D5980" s="19"/>
      <c r="E5980" s="19"/>
      <c r="F5980" s="19"/>
      <c r="G5980" s="19"/>
      <c r="H5980" s="82"/>
    </row>
    <row r="5981" spans="1:8" s="28" customFormat="1" x14ac:dyDescent="0.25">
      <c r="A5981" s="29"/>
      <c r="B5981" s="15"/>
      <c r="C5981" s="19"/>
      <c r="D5981" s="19"/>
      <c r="E5981" s="19"/>
      <c r="F5981" s="19"/>
      <c r="G5981" s="19"/>
      <c r="H5981" s="82"/>
    </row>
    <row r="5982" spans="1:8" s="28" customFormat="1" x14ac:dyDescent="0.25">
      <c r="A5982" s="29"/>
      <c r="B5982" s="15"/>
      <c r="C5982" s="19"/>
      <c r="D5982" s="19"/>
      <c r="E5982" s="19"/>
      <c r="F5982" s="19"/>
      <c r="G5982" s="19"/>
      <c r="H5982" s="82"/>
    </row>
    <row r="5983" spans="1:8" s="28" customFormat="1" x14ac:dyDescent="0.25">
      <c r="A5983" s="29"/>
      <c r="B5983" s="15"/>
      <c r="C5983" s="19"/>
      <c r="D5983" s="19"/>
      <c r="E5983" s="19"/>
      <c r="F5983" s="19"/>
      <c r="G5983" s="19"/>
      <c r="H5983" s="82"/>
    </row>
    <row r="5984" spans="1:8" s="28" customFormat="1" x14ac:dyDescent="0.25">
      <c r="A5984" s="29"/>
      <c r="B5984" s="15"/>
      <c r="C5984" s="19"/>
      <c r="D5984" s="19"/>
      <c r="E5984" s="19"/>
      <c r="F5984" s="19"/>
      <c r="G5984" s="19"/>
      <c r="H5984" s="82"/>
    </row>
    <row r="5985" spans="1:8" s="28" customFormat="1" x14ac:dyDescent="0.25">
      <c r="A5985" s="29"/>
      <c r="B5985" s="15"/>
      <c r="C5985" s="19"/>
      <c r="D5985" s="19"/>
      <c r="E5985" s="19"/>
      <c r="F5985" s="19"/>
      <c r="G5985" s="19"/>
      <c r="H5985" s="82"/>
    </row>
    <row r="5986" spans="1:8" s="28" customFormat="1" x14ac:dyDescent="0.25">
      <c r="A5986" s="29"/>
      <c r="B5986" s="15"/>
      <c r="C5986" s="19"/>
      <c r="D5986" s="19"/>
      <c r="E5986" s="19"/>
      <c r="F5986" s="19"/>
      <c r="G5986" s="19"/>
      <c r="H5986" s="82"/>
    </row>
    <row r="5987" spans="1:8" s="28" customFormat="1" x14ac:dyDescent="0.25">
      <c r="A5987" s="29"/>
      <c r="B5987" s="15"/>
      <c r="C5987" s="19"/>
      <c r="D5987" s="19"/>
      <c r="E5987" s="19"/>
      <c r="F5987" s="19"/>
      <c r="G5987" s="19"/>
      <c r="H5987" s="82"/>
    </row>
    <row r="5988" spans="1:8" s="28" customFormat="1" x14ac:dyDescent="0.25">
      <c r="A5988" s="29"/>
      <c r="B5988" s="15"/>
      <c r="C5988" s="19"/>
      <c r="D5988" s="19"/>
      <c r="E5988" s="19"/>
      <c r="F5988" s="19"/>
      <c r="G5988" s="19"/>
      <c r="H5988" s="82"/>
    </row>
    <row r="5989" spans="1:8" s="28" customFormat="1" x14ac:dyDescent="0.25">
      <c r="A5989" s="29"/>
      <c r="B5989" s="15"/>
      <c r="C5989" s="19"/>
      <c r="D5989" s="19"/>
      <c r="E5989" s="19"/>
      <c r="F5989" s="19"/>
      <c r="G5989" s="19"/>
      <c r="H5989" s="82"/>
    </row>
    <row r="5990" spans="1:8" s="28" customFormat="1" x14ac:dyDescent="0.25">
      <c r="A5990" s="29"/>
      <c r="B5990" s="15"/>
      <c r="C5990" s="19"/>
      <c r="D5990" s="19"/>
      <c r="E5990" s="19"/>
      <c r="F5990" s="19"/>
      <c r="G5990" s="19"/>
      <c r="H5990" s="82"/>
    </row>
    <row r="5991" spans="1:8" s="28" customFormat="1" x14ac:dyDescent="0.25">
      <c r="A5991" s="29"/>
      <c r="B5991" s="15"/>
      <c r="C5991" s="19"/>
      <c r="D5991" s="19"/>
      <c r="E5991" s="19"/>
      <c r="F5991" s="19"/>
      <c r="G5991" s="19"/>
      <c r="H5991" s="82"/>
    </row>
    <row r="5992" spans="1:8" s="28" customFormat="1" x14ac:dyDescent="0.25">
      <c r="A5992" s="29"/>
      <c r="B5992" s="15"/>
      <c r="C5992" s="19"/>
      <c r="D5992" s="19"/>
      <c r="E5992" s="19"/>
      <c r="F5992" s="19"/>
      <c r="G5992" s="19"/>
      <c r="H5992" s="82"/>
    </row>
    <row r="5993" spans="1:8" s="28" customFormat="1" x14ac:dyDescent="0.25">
      <c r="A5993" s="29"/>
      <c r="B5993" s="15"/>
      <c r="C5993" s="19"/>
      <c r="D5993" s="19"/>
      <c r="E5993" s="19"/>
      <c r="F5993" s="19"/>
      <c r="G5993" s="19"/>
      <c r="H5993" s="82"/>
    </row>
    <row r="5994" spans="1:8" s="28" customFormat="1" x14ac:dyDescent="0.25">
      <c r="A5994" s="29"/>
      <c r="B5994" s="15"/>
      <c r="C5994" s="19"/>
      <c r="D5994" s="19"/>
      <c r="E5994" s="19"/>
      <c r="F5994" s="19"/>
      <c r="G5994" s="19"/>
      <c r="H5994" s="82"/>
    </row>
    <row r="5995" spans="1:8" s="28" customFormat="1" x14ac:dyDescent="0.25">
      <c r="A5995" s="29"/>
      <c r="B5995" s="15"/>
      <c r="C5995" s="19"/>
      <c r="D5995" s="19"/>
      <c r="E5995" s="19"/>
      <c r="F5995" s="19"/>
      <c r="G5995" s="19"/>
      <c r="H5995" s="82"/>
    </row>
    <row r="5996" spans="1:8" s="28" customFormat="1" x14ac:dyDescent="0.25">
      <c r="A5996" s="29"/>
      <c r="B5996" s="15"/>
      <c r="C5996" s="19"/>
      <c r="D5996" s="19"/>
      <c r="E5996" s="19"/>
      <c r="F5996" s="19"/>
      <c r="G5996" s="19"/>
      <c r="H5996" s="82"/>
    </row>
    <row r="5997" spans="1:8" s="28" customFormat="1" x14ac:dyDescent="0.25">
      <c r="A5997" s="29"/>
      <c r="B5997" s="15"/>
      <c r="C5997" s="19"/>
      <c r="D5997" s="19"/>
      <c r="E5997" s="19"/>
      <c r="F5997" s="19"/>
      <c r="G5997" s="19"/>
      <c r="H5997" s="82"/>
    </row>
    <row r="5998" spans="1:8" s="28" customFormat="1" x14ac:dyDescent="0.25">
      <c r="A5998" s="29"/>
      <c r="B5998" s="15"/>
      <c r="C5998" s="19"/>
      <c r="D5998" s="19"/>
      <c r="E5998" s="19"/>
      <c r="F5998" s="19"/>
      <c r="G5998" s="19"/>
      <c r="H5998" s="82"/>
    </row>
    <row r="5999" spans="1:8" s="28" customFormat="1" x14ac:dyDescent="0.25">
      <c r="A5999" s="29"/>
      <c r="B5999" s="15"/>
      <c r="C5999" s="19"/>
      <c r="D5999" s="19"/>
      <c r="E5999" s="19"/>
      <c r="F5999" s="19"/>
      <c r="G5999" s="19"/>
      <c r="H5999" s="82"/>
    </row>
    <row r="6000" spans="1:8" s="28" customFormat="1" x14ac:dyDescent="0.25">
      <c r="A6000" s="29"/>
      <c r="B6000" s="15"/>
      <c r="C6000" s="19"/>
      <c r="D6000" s="19"/>
      <c r="E6000" s="19"/>
      <c r="F6000" s="19"/>
      <c r="G6000" s="19"/>
      <c r="H6000" s="82"/>
    </row>
    <row r="6001" spans="1:8" s="28" customFormat="1" x14ac:dyDescent="0.25">
      <c r="A6001" s="29"/>
      <c r="B6001" s="15"/>
      <c r="C6001" s="19"/>
      <c r="D6001" s="19"/>
      <c r="E6001" s="19"/>
      <c r="F6001" s="19"/>
      <c r="G6001" s="19"/>
      <c r="H6001" s="82"/>
    </row>
    <row r="6002" spans="1:8" s="28" customFormat="1" x14ac:dyDescent="0.25">
      <c r="A6002" s="29"/>
      <c r="B6002" s="15"/>
      <c r="C6002" s="19"/>
      <c r="D6002" s="19"/>
      <c r="E6002" s="19"/>
      <c r="F6002" s="19"/>
      <c r="G6002" s="19"/>
      <c r="H6002" s="82"/>
    </row>
    <row r="6003" spans="1:8" s="28" customFormat="1" x14ac:dyDescent="0.25">
      <c r="A6003" s="29"/>
      <c r="B6003" s="15"/>
      <c r="C6003" s="19"/>
      <c r="D6003" s="19"/>
      <c r="E6003" s="19"/>
      <c r="F6003" s="19"/>
      <c r="G6003" s="19"/>
      <c r="H6003" s="82"/>
    </row>
    <row r="6004" spans="1:8" s="28" customFormat="1" x14ac:dyDescent="0.25">
      <c r="A6004" s="29"/>
      <c r="B6004" s="15"/>
      <c r="C6004" s="19"/>
      <c r="D6004" s="19"/>
      <c r="E6004" s="19"/>
      <c r="F6004" s="19"/>
      <c r="G6004" s="19"/>
      <c r="H6004" s="82"/>
    </row>
    <row r="6005" spans="1:8" s="28" customFormat="1" x14ac:dyDescent="0.25">
      <c r="A6005" s="29"/>
      <c r="B6005" s="15"/>
      <c r="C6005" s="19"/>
      <c r="D6005" s="19"/>
      <c r="E6005" s="19"/>
      <c r="F6005" s="19"/>
      <c r="G6005" s="19"/>
      <c r="H6005" s="82"/>
    </row>
    <row r="6006" spans="1:8" s="28" customFormat="1" x14ac:dyDescent="0.25">
      <c r="A6006" s="29"/>
      <c r="B6006" s="15"/>
      <c r="C6006" s="19"/>
      <c r="D6006" s="19"/>
      <c r="E6006" s="19"/>
      <c r="F6006" s="19"/>
      <c r="G6006" s="19"/>
      <c r="H6006" s="82"/>
    </row>
    <row r="6007" spans="1:8" s="28" customFormat="1" x14ac:dyDescent="0.25">
      <c r="A6007" s="29"/>
      <c r="B6007" s="15"/>
      <c r="C6007" s="19"/>
      <c r="D6007" s="19"/>
      <c r="E6007" s="19"/>
      <c r="F6007" s="19"/>
      <c r="G6007" s="19"/>
      <c r="H6007" s="82"/>
    </row>
    <row r="6008" spans="1:8" s="28" customFormat="1" x14ac:dyDescent="0.25">
      <c r="A6008" s="29"/>
      <c r="B6008" s="15"/>
      <c r="C6008" s="19"/>
      <c r="D6008" s="19"/>
      <c r="E6008" s="19"/>
      <c r="F6008" s="19"/>
      <c r="G6008" s="19"/>
      <c r="H6008" s="82"/>
    </row>
    <row r="6009" spans="1:8" s="28" customFormat="1" x14ac:dyDescent="0.25">
      <c r="A6009" s="29"/>
      <c r="B6009" s="15"/>
      <c r="C6009" s="19"/>
      <c r="D6009" s="19"/>
      <c r="E6009" s="19"/>
      <c r="F6009" s="19"/>
      <c r="G6009" s="19"/>
      <c r="H6009" s="82"/>
    </row>
    <row r="6010" spans="1:8" s="28" customFormat="1" x14ac:dyDescent="0.25">
      <c r="A6010" s="29"/>
      <c r="B6010" s="15"/>
      <c r="C6010" s="19"/>
      <c r="D6010" s="19"/>
      <c r="E6010" s="19"/>
      <c r="F6010" s="19"/>
      <c r="G6010" s="19"/>
      <c r="H6010" s="82"/>
    </row>
    <row r="6011" spans="1:8" s="28" customFormat="1" x14ac:dyDescent="0.25">
      <c r="A6011" s="29"/>
      <c r="B6011" s="15"/>
      <c r="C6011" s="19"/>
      <c r="D6011" s="19"/>
      <c r="E6011" s="19"/>
      <c r="F6011" s="19"/>
      <c r="G6011" s="19"/>
      <c r="H6011" s="82"/>
    </row>
    <row r="6012" spans="1:8" s="28" customFormat="1" x14ac:dyDescent="0.25">
      <c r="A6012" s="29"/>
      <c r="B6012" s="15"/>
      <c r="C6012" s="19"/>
      <c r="D6012" s="19"/>
      <c r="E6012" s="19"/>
      <c r="F6012" s="19"/>
      <c r="G6012" s="19"/>
      <c r="H6012" s="82"/>
    </row>
    <row r="6013" spans="1:8" s="28" customFormat="1" x14ac:dyDescent="0.25">
      <c r="A6013" s="29"/>
      <c r="B6013" s="15"/>
      <c r="C6013" s="19"/>
      <c r="D6013" s="19"/>
      <c r="E6013" s="19"/>
      <c r="F6013" s="19"/>
      <c r="G6013" s="19"/>
      <c r="H6013" s="82"/>
    </row>
    <row r="6014" spans="1:8" s="28" customFormat="1" x14ac:dyDescent="0.25">
      <c r="A6014" s="29"/>
      <c r="B6014" s="15"/>
      <c r="C6014" s="19"/>
      <c r="D6014" s="19"/>
      <c r="E6014" s="19"/>
      <c r="F6014" s="19"/>
      <c r="G6014" s="19"/>
      <c r="H6014" s="82"/>
    </row>
    <row r="6015" spans="1:8" s="28" customFormat="1" x14ac:dyDescent="0.25">
      <c r="A6015" s="29"/>
      <c r="B6015" s="15"/>
      <c r="C6015" s="19"/>
      <c r="D6015" s="19"/>
      <c r="E6015" s="19"/>
      <c r="F6015" s="19"/>
      <c r="G6015" s="19"/>
      <c r="H6015" s="82"/>
    </row>
    <row r="6016" spans="1:8" s="28" customFormat="1" x14ac:dyDescent="0.25">
      <c r="A6016" s="29"/>
      <c r="B6016" s="15"/>
      <c r="C6016" s="19"/>
      <c r="D6016" s="19"/>
      <c r="E6016" s="19"/>
      <c r="F6016" s="19"/>
      <c r="G6016" s="19"/>
      <c r="H6016" s="82"/>
    </row>
    <row r="6017" spans="1:8" s="28" customFormat="1" x14ac:dyDescent="0.25">
      <c r="A6017" s="29"/>
      <c r="B6017" s="15"/>
      <c r="C6017" s="19"/>
      <c r="D6017" s="19"/>
      <c r="E6017" s="19"/>
      <c r="F6017" s="19"/>
      <c r="G6017" s="19"/>
      <c r="H6017" s="82"/>
    </row>
    <row r="6018" spans="1:8" s="28" customFormat="1" x14ac:dyDescent="0.25">
      <c r="A6018" s="29"/>
      <c r="B6018" s="15"/>
      <c r="C6018" s="19"/>
      <c r="D6018" s="19"/>
      <c r="E6018" s="19"/>
      <c r="F6018" s="19"/>
      <c r="G6018" s="19"/>
      <c r="H6018" s="82"/>
    </row>
    <row r="6019" spans="1:8" s="28" customFormat="1" x14ac:dyDescent="0.25">
      <c r="A6019" s="29"/>
      <c r="B6019" s="15"/>
      <c r="C6019" s="19"/>
      <c r="D6019" s="19"/>
      <c r="E6019" s="19"/>
      <c r="F6019" s="19"/>
      <c r="G6019" s="19"/>
      <c r="H6019" s="82"/>
    </row>
    <row r="6020" spans="1:8" s="28" customFormat="1" x14ac:dyDescent="0.25">
      <c r="A6020" s="29"/>
      <c r="B6020" s="15"/>
      <c r="C6020" s="19"/>
      <c r="D6020" s="19"/>
      <c r="E6020" s="19"/>
      <c r="F6020" s="19"/>
      <c r="G6020" s="19"/>
      <c r="H6020" s="82"/>
    </row>
    <row r="6021" spans="1:8" s="28" customFormat="1" x14ac:dyDescent="0.25">
      <c r="A6021" s="29"/>
      <c r="B6021" s="15"/>
      <c r="C6021" s="19"/>
      <c r="D6021" s="19"/>
      <c r="E6021" s="19"/>
      <c r="F6021" s="19"/>
      <c r="G6021" s="19"/>
      <c r="H6021" s="82"/>
    </row>
    <row r="6022" spans="1:8" s="28" customFormat="1" x14ac:dyDescent="0.25">
      <c r="A6022" s="29"/>
      <c r="B6022" s="15"/>
      <c r="C6022" s="19"/>
      <c r="D6022" s="19"/>
      <c r="E6022" s="19"/>
      <c r="F6022" s="19"/>
      <c r="G6022" s="19"/>
      <c r="H6022" s="82"/>
    </row>
    <row r="6023" spans="1:8" s="28" customFormat="1" x14ac:dyDescent="0.25">
      <c r="A6023" s="29"/>
      <c r="B6023" s="15"/>
      <c r="C6023" s="19"/>
      <c r="D6023" s="19"/>
      <c r="E6023" s="19"/>
      <c r="F6023" s="19"/>
      <c r="G6023" s="19"/>
      <c r="H6023" s="82"/>
    </row>
    <row r="6024" spans="1:8" s="28" customFormat="1" x14ac:dyDescent="0.25">
      <c r="A6024" s="29"/>
      <c r="B6024" s="15"/>
      <c r="C6024" s="19"/>
      <c r="D6024" s="19"/>
      <c r="E6024" s="19"/>
      <c r="F6024" s="19"/>
      <c r="G6024" s="19"/>
      <c r="H6024" s="82"/>
    </row>
    <row r="6025" spans="1:8" s="28" customFormat="1" x14ac:dyDescent="0.25">
      <c r="A6025" s="29"/>
      <c r="B6025" s="15"/>
      <c r="C6025" s="19"/>
      <c r="D6025" s="19"/>
      <c r="E6025" s="19"/>
      <c r="F6025" s="19"/>
      <c r="G6025" s="19"/>
      <c r="H6025" s="82"/>
    </row>
    <row r="6026" spans="1:8" s="28" customFormat="1" x14ac:dyDescent="0.25">
      <c r="A6026" s="29"/>
      <c r="B6026" s="15"/>
      <c r="C6026" s="19"/>
      <c r="D6026" s="19"/>
      <c r="E6026" s="19"/>
      <c r="F6026" s="19"/>
      <c r="G6026" s="19"/>
      <c r="H6026" s="82"/>
    </row>
    <row r="6027" spans="1:8" s="28" customFormat="1" x14ac:dyDescent="0.25">
      <c r="A6027" s="29"/>
      <c r="B6027" s="15"/>
      <c r="C6027" s="19"/>
      <c r="D6027" s="19"/>
      <c r="E6027" s="19"/>
      <c r="F6027" s="19"/>
      <c r="G6027" s="19"/>
      <c r="H6027" s="82"/>
    </row>
    <row r="6028" spans="1:8" s="28" customFormat="1" x14ac:dyDescent="0.25">
      <c r="A6028" s="29"/>
      <c r="B6028" s="15"/>
      <c r="C6028" s="19"/>
      <c r="D6028" s="19"/>
      <c r="E6028" s="19"/>
      <c r="F6028" s="19"/>
      <c r="G6028" s="19"/>
      <c r="H6028" s="82"/>
    </row>
    <row r="6029" spans="1:8" s="28" customFormat="1" x14ac:dyDescent="0.25">
      <c r="A6029" s="29"/>
      <c r="B6029" s="15"/>
      <c r="C6029" s="19"/>
      <c r="D6029" s="19"/>
      <c r="E6029" s="19"/>
      <c r="F6029" s="19"/>
      <c r="G6029" s="19"/>
      <c r="H6029" s="82"/>
    </row>
    <row r="6030" spans="1:8" s="28" customFormat="1" x14ac:dyDescent="0.25">
      <c r="A6030" s="29"/>
      <c r="B6030" s="15"/>
      <c r="C6030" s="19"/>
      <c r="D6030" s="19"/>
      <c r="E6030" s="19"/>
      <c r="F6030" s="19"/>
      <c r="G6030" s="19"/>
      <c r="H6030" s="82"/>
    </row>
    <row r="6031" spans="1:8" s="28" customFormat="1" x14ac:dyDescent="0.25">
      <c r="A6031" s="29"/>
      <c r="B6031" s="15"/>
      <c r="C6031" s="19"/>
      <c r="D6031" s="19"/>
      <c r="E6031" s="19"/>
      <c r="F6031" s="19"/>
      <c r="G6031" s="19"/>
      <c r="H6031" s="82"/>
    </row>
    <row r="6032" spans="1:8" s="28" customFormat="1" x14ac:dyDescent="0.25">
      <c r="A6032" s="29"/>
      <c r="B6032" s="15"/>
      <c r="C6032" s="19"/>
      <c r="D6032" s="19"/>
      <c r="E6032" s="19"/>
      <c r="F6032" s="19"/>
      <c r="G6032" s="19"/>
      <c r="H6032" s="82"/>
    </row>
    <row r="6033" spans="1:8" s="28" customFormat="1" x14ac:dyDescent="0.25">
      <c r="A6033" s="29"/>
      <c r="B6033" s="15"/>
      <c r="C6033" s="19"/>
      <c r="D6033" s="19"/>
      <c r="E6033" s="19"/>
      <c r="F6033" s="19"/>
      <c r="G6033" s="19"/>
      <c r="H6033" s="82"/>
    </row>
    <row r="6034" spans="1:8" s="28" customFormat="1" x14ac:dyDescent="0.25">
      <c r="A6034" s="29"/>
      <c r="B6034" s="15"/>
      <c r="C6034" s="19"/>
      <c r="D6034" s="19"/>
      <c r="E6034" s="19"/>
      <c r="F6034" s="19"/>
      <c r="G6034" s="19"/>
      <c r="H6034" s="82"/>
    </row>
    <row r="6035" spans="1:8" s="28" customFormat="1" x14ac:dyDescent="0.25">
      <c r="A6035" s="29"/>
      <c r="B6035" s="15"/>
      <c r="C6035" s="19"/>
      <c r="D6035" s="19"/>
      <c r="E6035" s="19"/>
      <c r="F6035" s="19"/>
      <c r="G6035" s="19"/>
      <c r="H6035" s="82"/>
    </row>
    <row r="6036" spans="1:8" s="28" customFormat="1" x14ac:dyDescent="0.25">
      <c r="A6036" s="29"/>
      <c r="B6036" s="15"/>
      <c r="C6036" s="19"/>
      <c r="D6036" s="19"/>
      <c r="E6036" s="19"/>
      <c r="F6036" s="19"/>
      <c r="G6036" s="19"/>
      <c r="H6036" s="82"/>
    </row>
    <row r="6037" spans="1:8" s="28" customFormat="1" x14ac:dyDescent="0.25">
      <c r="A6037" s="29"/>
      <c r="B6037" s="15"/>
      <c r="C6037" s="19"/>
      <c r="D6037" s="19"/>
      <c r="E6037" s="19"/>
      <c r="F6037" s="19"/>
      <c r="G6037" s="19"/>
      <c r="H6037" s="82"/>
    </row>
    <row r="6038" spans="1:8" s="28" customFormat="1" x14ac:dyDescent="0.25">
      <c r="A6038" s="29"/>
      <c r="B6038" s="15"/>
      <c r="C6038" s="19"/>
      <c r="D6038" s="19"/>
      <c r="E6038" s="19"/>
      <c r="F6038" s="19"/>
      <c r="G6038" s="19"/>
      <c r="H6038" s="82"/>
    </row>
    <row r="6039" spans="1:8" s="28" customFormat="1" x14ac:dyDescent="0.25">
      <c r="A6039" s="29"/>
      <c r="B6039" s="15"/>
      <c r="C6039" s="19"/>
      <c r="D6039" s="19"/>
      <c r="E6039" s="19"/>
      <c r="F6039" s="19"/>
      <c r="G6039" s="19"/>
      <c r="H6039" s="82"/>
    </row>
    <row r="6040" spans="1:8" s="28" customFormat="1" x14ac:dyDescent="0.25">
      <c r="A6040" s="29"/>
      <c r="B6040" s="15"/>
      <c r="C6040" s="19"/>
      <c r="D6040" s="19"/>
      <c r="E6040" s="19"/>
      <c r="F6040" s="19"/>
      <c r="G6040" s="19"/>
      <c r="H6040" s="82"/>
    </row>
    <row r="6041" spans="1:8" s="28" customFormat="1" x14ac:dyDescent="0.25">
      <c r="A6041" s="29"/>
      <c r="B6041" s="15"/>
      <c r="C6041" s="19"/>
      <c r="D6041" s="19"/>
      <c r="E6041" s="19"/>
      <c r="F6041" s="19"/>
      <c r="G6041" s="19"/>
      <c r="H6041" s="82"/>
    </row>
    <row r="6042" spans="1:8" s="28" customFormat="1" x14ac:dyDescent="0.25">
      <c r="A6042" s="29"/>
      <c r="B6042" s="15"/>
      <c r="C6042" s="19"/>
      <c r="D6042" s="19"/>
      <c r="E6042" s="19"/>
      <c r="F6042" s="19"/>
      <c r="G6042" s="19"/>
      <c r="H6042" s="82"/>
    </row>
    <row r="6043" spans="1:8" s="28" customFormat="1" x14ac:dyDescent="0.25">
      <c r="A6043" s="29"/>
      <c r="B6043" s="15"/>
      <c r="C6043" s="19"/>
      <c r="D6043" s="19"/>
      <c r="E6043" s="19"/>
      <c r="F6043" s="19"/>
      <c r="G6043" s="19"/>
      <c r="H6043" s="82"/>
    </row>
    <row r="6044" spans="1:8" s="28" customFormat="1" x14ac:dyDescent="0.25">
      <c r="A6044" s="29"/>
      <c r="B6044" s="15"/>
      <c r="C6044" s="19"/>
      <c r="D6044" s="19"/>
      <c r="E6044" s="19"/>
      <c r="F6044" s="19"/>
      <c r="G6044" s="19"/>
      <c r="H6044" s="82"/>
    </row>
    <row r="6045" spans="1:8" s="28" customFormat="1" x14ac:dyDescent="0.25">
      <c r="A6045" s="29"/>
      <c r="B6045" s="15"/>
      <c r="C6045" s="19"/>
      <c r="D6045" s="19"/>
      <c r="E6045" s="19"/>
      <c r="F6045" s="19"/>
      <c r="G6045" s="19"/>
      <c r="H6045" s="82"/>
    </row>
    <row r="6046" spans="1:8" s="28" customFormat="1" x14ac:dyDescent="0.25">
      <c r="A6046" s="29"/>
      <c r="B6046" s="15"/>
      <c r="C6046" s="19"/>
      <c r="D6046" s="19"/>
      <c r="E6046" s="19"/>
      <c r="F6046" s="19"/>
      <c r="G6046" s="19"/>
      <c r="H6046" s="82"/>
    </row>
    <row r="6047" spans="1:8" s="28" customFormat="1" x14ac:dyDescent="0.25">
      <c r="A6047" s="29"/>
      <c r="B6047" s="15"/>
      <c r="C6047" s="19"/>
      <c r="D6047" s="19"/>
      <c r="E6047" s="19"/>
      <c r="F6047" s="19"/>
      <c r="G6047" s="19"/>
      <c r="H6047" s="82"/>
    </row>
    <row r="6048" spans="1:8" s="28" customFormat="1" x14ac:dyDescent="0.25">
      <c r="A6048" s="29"/>
      <c r="B6048" s="15"/>
      <c r="C6048" s="19"/>
      <c r="D6048" s="19"/>
      <c r="E6048" s="19"/>
      <c r="F6048" s="19"/>
      <c r="G6048" s="19"/>
      <c r="H6048" s="82"/>
    </row>
    <row r="6049" spans="1:8" s="28" customFormat="1" x14ac:dyDescent="0.25">
      <c r="A6049" s="29"/>
      <c r="B6049" s="15"/>
      <c r="C6049" s="19"/>
      <c r="D6049" s="19"/>
      <c r="E6049" s="19"/>
      <c r="F6049" s="19"/>
      <c r="G6049" s="19"/>
      <c r="H6049" s="82"/>
    </row>
    <row r="6050" spans="1:8" s="28" customFormat="1" x14ac:dyDescent="0.25">
      <c r="A6050" s="29"/>
      <c r="B6050" s="15"/>
      <c r="C6050" s="19"/>
      <c r="D6050" s="19"/>
      <c r="E6050" s="19"/>
      <c r="F6050" s="19"/>
      <c r="G6050" s="19"/>
      <c r="H6050" s="82"/>
    </row>
    <row r="6051" spans="1:8" s="28" customFormat="1" x14ac:dyDescent="0.25">
      <c r="A6051" s="29"/>
      <c r="B6051" s="15"/>
      <c r="C6051" s="19"/>
      <c r="D6051" s="19"/>
      <c r="E6051" s="19"/>
      <c r="F6051" s="19"/>
      <c r="G6051" s="19"/>
      <c r="H6051" s="82"/>
    </row>
    <row r="6052" spans="1:8" s="28" customFormat="1" x14ac:dyDescent="0.25">
      <c r="A6052" s="29"/>
      <c r="B6052" s="15"/>
      <c r="C6052" s="19"/>
      <c r="D6052" s="19"/>
      <c r="E6052" s="19"/>
      <c r="F6052" s="19"/>
      <c r="G6052" s="19"/>
      <c r="H6052" s="82"/>
    </row>
    <row r="6053" spans="1:8" s="28" customFormat="1" x14ac:dyDescent="0.25">
      <c r="A6053" s="29"/>
      <c r="B6053" s="15"/>
      <c r="C6053" s="19"/>
      <c r="D6053" s="19"/>
      <c r="E6053" s="19"/>
      <c r="F6053" s="19"/>
      <c r="G6053" s="19"/>
      <c r="H6053" s="82"/>
    </row>
    <row r="6054" spans="1:8" s="28" customFormat="1" x14ac:dyDescent="0.25">
      <c r="A6054" s="29"/>
      <c r="B6054" s="15"/>
      <c r="C6054" s="19"/>
      <c r="D6054" s="19"/>
      <c r="E6054" s="19"/>
      <c r="F6054" s="19"/>
      <c r="G6054" s="19"/>
      <c r="H6054" s="82"/>
    </row>
    <row r="6055" spans="1:8" s="28" customFormat="1" x14ac:dyDescent="0.25">
      <c r="A6055" s="29"/>
      <c r="B6055" s="15"/>
      <c r="C6055" s="19"/>
      <c r="D6055" s="19"/>
      <c r="E6055" s="19"/>
      <c r="F6055" s="19"/>
      <c r="G6055" s="19"/>
      <c r="H6055" s="82"/>
    </row>
    <row r="6056" spans="1:8" s="28" customFormat="1" x14ac:dyDescent="0.25">
      <c r="A6056" s="29"/>
      <c r="B6056" s="15"/>
      <c r="C6056" s="19"/>
      <c r="D6056" s="19"/>
      <c r="E6056" s="19"/>
      <c r="F6056" s="19"/>
      <c r="G6056" s="19"/>
      <c r="H6056" s="82"/>
    </row>
    <row r="6057" spans="1:8" s="28" customFormat="1" x14ac:dyDescent="0.25">
      <c r="A6057" s="29"/>
      <c r="B6057" s="15"/>
      <c r="C6057" s="19"/>
      <c r="D6057" s="19"/>
      <c r="E6057" s="19"/>
      <c r="F6057" s="19"/>
      <c r="G6057" s="19"/>
      <c r="H6057" s="82"/>
    </row>
    <row r="6058" spans="1:8" s="28" customFormat="1" x14ac:dyDescent="0.25">
      <c r="A6058" s="29"/>
      <c r="B6058" s="15"/>
      <c r="C6058" s="19"/>
      <c r="D6058" s="19"/>
      <c r="E6058" s="19"/>
      <c r="F6058" s="19"/>
      <c r="G6058" s="19"/>
      <c r="H6058" s="82"/>
    </row>
    <row r="6059" spans="1:8" s="28" customFormat="1" x14ac:dyDescent="0.25">
      <c r="A6059" s="29"/>
      <c r="B6059" s="15"/>
      <c r="C6059" s="19"/>
      <c r="D6059" s="19"/>
      <c r="E6059" s="19"/>
      <c r="F6059" s="19"/>
      <c r="G6059" s="19"/>
      <c r="H6059" s="82"/>
    </row>
    <row r="6060" spans="1:8" s="28" customFormat="1" x14ac:dyDescent="0.25">
      <c r="A6060" s="29"/>
      <c r="B6060" s="15"/>
      <c r="C6060" s="19"/>
      <c r="D6060" s="19"/>
      <c r="E6060" s="19"/>
      <c r="F6060" s="19"/>
      <c r="G6060" s="19"/>
      <c r="H6060" s="82"/>
    </row>
    <row r="6061" spans="1:8" s="28" customFormat="1" x14ac:dyDescent="0.25">
      <c r="A6061" s="29"/>
      <c r="B6061" s="15"/>
      <c r="C6061" s="19"/>
      <c r="D6061" s="19"/>
      <c r="E6061" s="19"/>
      <c r="F6061" s="19"/>
      <c r="G6061" s="19"/>
      <c r="H6061" s="82"/>
    </row>
    <row r="6062" spans="1:8" s="28" customFormat="1" x14ac:dyDescent="0.25">
      <c r="A6062" s="29"/>
      <c r="B6062" s="15"/>
      <c r="C6062" s="19"/>
      <c r="D6062" s="19"/>
      <c r="E6062" s="19"/>
      <c r="F6062" s="19"/>
      <c r="G6062" s="19"/>
      <c r="H6062" s="82"/>
    </row>
    <row r="6063" spans="1:8" s="28" customFormat="1" x14ac:dyDescent="0.25">
      <c r="A6063" s="29"/>
      <c r="B6063" s="15"/>
      <c r="C6063" s="19"/>
      <c r="D6063" s="19"/>
      <c r="E6063" s="19"/>
      <c r="F6063" s="19"/>
      <c r="G6063" s="19"/>
      <c r="H6063" s="82"/>
    </row>
    <row r="6064" spans="1:8" s="28" customFormat="1" x14ac:dyDescent="0.25">
      <c r="A6064" s="29"/>
      <c r="B6064" s="15"/>
      <c r="C6064" s="19"/>
      <c r="D6064" s="19"/>
      <c r="E6064" s="19"/>
      <c r="F6064" s="19"/>
      <c r="G6064" s="19"/>
      <c r="H6064" s="82"/>
    </row>
    <row r="6065" spans="1:8" s="28" customFormat="1" x14ac:dyDescent="0.25">
      <c r="A6065" s="29"/>
      <c r="B6065" s="15"/>
      <c r="C6065" s="19"/>
      <c r="D6065" s="19"/>
      <c r="E6065" s="19"/>
      <c r="F6065" s="19"/>
      <c r="G6065" s="19"/>
      <c r="H6065" s="82"/>
    </row>
    <row r="6066" spans="1:8" s="28" customFormat="1" x14ac:dyDescent="0.25">
      <c r="A6066" s="29"/>
      <c r="B6066" s="15"/>
      <c r="C6066" s="19"/>
      <c r="D6066" s="19"/>
      <c r="E6066" s="19"/>
      <c r="F6066" s="19"/>
      <c r="G6066" s="19"/>
      <c r="H6066" s="82"/>
    </row>
    <row r="6067" spans="1:8" s="28" customFormat="1" x14ac:dyDescent="0.25">
      <c r="A6067" s="29"/>
      <c r="B6067" s="15"/>
      <c r="C6067" s="19"/>
      <c r="D6067" s="19"/>
      <c r="E6067" s="19"/>
      <c r="F6067" s="19"/>
      <c r="G6067" s="19"/>
      <c r="H6067" s="82"/>
    </row>
    <row r="6068" spans="1:8" s="28" customFormat="1" x14ac:dyDescent="0.25">
      <c r="A6068" s="29"/>
      <c r="B6068" s="15"/>
      <c r="C6068" s="19"/>
      <c r="D6068" s="19"/>
      <c r="E6068" s="19"/>
      <c r="F6068" s="19"/>
      <c r="G6068" s="19"/>
      <c r="H6068" s="82"/>
    </row>
    <row r="6069" spans="1:8" s="28" customFormat="1" x14ac:dyDescent="0.25">
      <c r="A6069" s="29"/>
      <c r="B6069" s="15"/>
      <c r="C6069" s="19"/>
      <c r="D6069" s="19"/>
      <c r="E6069" s="19"/>
      <c r="F6069" s="19"/>
      <c r="G6069" s="19"/>
      <c r="H6069" s="82"/>
    </row>
    <row r="6070" spans="1:8" s="28" customFormat="1" x14ac:dyDescent="0.25">
      <c r="A6070" s="29"/>
      <c r="B6070" s="15"/>
      <c r="C6070" s="19"/>
      <c r="D6070" s="19"/>
      <c r="E6070" s="19"/>
      <c r="F6070" s="19"/>
      <c r="G6070" s="19"/>
      <c r="H6070" s="82"/>
    </row>
    <row r="6071" spans="1:8" s="28" customFormat="1" x14ac:dyDescent="0.25">
      <c r="A6071" s="29"/>
      <c r="B6071" s="15"/>
      <c r="C6071" s="19"/>
      <c r="D6071" s="19"/>
      <c r="E6071" s="19"/>
      <c r="F6071" s="19"/>
      <c r="G6071" s="19"/>
      <c r="H6071" s="82"/>
    </row>
    <row r="6072" spans="1:8" s="28" customFormat="1" x14ac:dyDescent="0.25">
      <c r="A6072" s="29"/>
      <c r="B6072" s="15"/>
      <c r="C6072" s="19"/>
      <c r="D6072" s="19"/>
      <c r="E6072" s="19"/>
      <c r="F6072" s="19"/>
      <c r="G6072" s="19"/>
      <c r="H6072" s="82"/>
    </row>
    <row r="6073" spans="1:8" s="28" customFormat="1" x14ac:dyDescent="0.25">
      <c r="A6073" s="29"/>
      <c r="B6073" s="15"/>
      <c r="C6073" s="19"/>
      <c r="D6073" s="19"/>
      <c r="E6073" s="19"/>
      <c r="F6073" s="19"/>
      <c r="G6073" s="19"/>
      <c r="H6073" s="82"/>
    </row>
    <row r="6074" spans="1:8" s="28" customFormat="1" x14ac:dyDescent="0.25">
      <c r="A6074" s="29"/>
      <c r="B6074" s="15"/>
      <c r="C6074" s="19"/>
      <c r="D6074" s="19"/>
      <c r="E6074" s="19"/>
      <c r="F6074" s="19"/>
      <c r="G6074" s="19"/>
      <c r="H6074" s="82"/>
    </row>
    <row r="6075" spans="1:8" s="28" customFormat="1" x14ac:dyDescent="0.25">
      <c r="A6075" s="29"/>
      <c r="B6075" s="15"/>
      <c r="C6075" s="19"/>
      <c r="D6075" s="19"/>
      <c r="E6075" s="19"/>
      <c r="F6075" s="19"/>
      <c r="G6075" s="19"/>
      <c r="H6075" s="82"/>
    </row>
    <row r="6076" spans="1:8" s="28" customFormat="1" x14ac:dyDescent="0.25">
      <c r="A6076" s="29"/>
      <c r="B6076" s="15"/>
      <c r="C6076" s="19"/>
      <c r="D6076" s="19"/>
      <c r="E6076" s="19"/>
      <c r="F6076" s="19"/>
      <c r="G6076" s="19"/>
      <c r="H6076" s="82"/>
    </row>
    <row r="6077" spans="1:8" s="28" customFormat="1" x14ac:dyDescent="0.25">
      <c r="A6077" s="29"/>
      <c r="B6077" s="15"/>
      <c r="C6077" s="19"/>
      <c r="D6077" s="19"/>
      <c r="E6077" s="19"/>
      <c r="F6077" s="19"/>
      <c r="G6077" s="19"/>
      <c r="H6077" s="82"/>
    </row>
    <row r="6078" spans="1:8" s="28" customFormat="1" x14ac:dyDescent="0.25">
      <c r="A6078" s="29"/>
      <c r="B6078" s="15"/>
      <c r="C6078" s="19"/>
      <c r="D6078" s="19"/>
      <c r="E6078" s="19"/>
      <c r="F6078" s="19"/>
      <c r="G6078" s="19"/>
      <c r="H6078" s="82"/>
    </row>
    <row r="6079" spans="1:8" s="28" customFormat="1" x14ac:dyDescent="0.25">
      <c r="A6079" s="29"/>
      <c r="B6079" s="15"/>
      <c r="C6079" s="19"/>
      <c r="D6079" s="19"/>
      <c r="E6079" s="19"/>
      <c r="F6079" s="19"/>
      <c r="G6079" s="19"/>
      <c r="H6079" s="82"/>
    </row>
    <row r="6080" spans="1:8" s="28" customFormat="1" x14ac:dyDescent="0.25">
      <c r="A6080" s="29"/>
      <c r="B6080" s="15"/>
      <c r="C6080" s="19"/>
      <c r="D6080" s="19"/>
      <c r="E6080" s="19"/>
      <c r="F6080" s="19"/>
      <c r="G6080" s="19"/>
      <c r="H6080" s="82"/>
    </row>
    <row r="6081" spans="1:8" s="28" customFormat="1" x14ac:dyDescent="0.25">
      <c r="A6081" s="29"/>
      <c r="B6081" s="15"/>
      <c r="C6081" s="19"/>
      <c r="D6081" s="19"/>
      <c r="E6081" s="19"/>
      <c r="F6081" s="19"/>
      <c r="G6081" s="19"/>
      <c r="H6081" s="82"/>
    </row>
    <row r="6082" spans="1:8" s="28" customFormat="1" x14ac:dyDescent="0.25">
      <c r="A6082" s="29"/>
      <c r="B6082" s="15"/>
      <c r="C6082" s="19"/>
      <c r="D6082" s="19"/>
      <c r="E6082" s="19"/>
      <c r="F6082" s="19"/>
      <c r="G6082" s="19"/>
      <c r="H6082" s="82"/>
    </row>
    <row r="6083" spans="1:8" s="28" customFormat="1" x14ac:dyDescent="0.25">
      <c r="A6083" s="29"/>
      <c r="B6083" s="15"/>
      <c r="C6083" s="19"/>
      <c r="D6083" s="19"/>
      <c r="E6083" s="19"/>
      <c r="F6083" s="19"/>
      <c r="G6083" s="19"/>
      <c r="H6083" s="82"/>
    </row>
    <row r="6084" spans="1:8" s="28" customFormat="1" x14ac:dyDescent="0.25">
      <c r="A6084" s="29"/>
      <c r="B6084" s="15"/>
      <c r="C6084" s="19"/>
      <c r="D6084" s="19"/>
      <c r="E6084" s="19"/>
      <c r="F6084" s="19"/>
      <c r="G6084" s="19"/>
      <c r="H6084" s="82"/>
    </row>
    <row r="6085" spans="1:8" s="28" customFormat="1" x14ac:dyDescent="0.25">
      <c r="A6085" s="29"/>
      <c r="B6085" s="15"/>
      <c r="C6085" s="19"/>
      <c r="D6085" s="19"/>
      <c r="E6085" s="19"/>
      <c r="F6085" s="19"/>
      <c r="G6085" s="19"/>
      <c r="H6085" s="82"/>
    </row>
    <row r="6086" spans="1:8" s="28" customFormat="1" x14ac:dyDescent="0.25">
      <c r="A6086" s="29"/>
      <c r="B6086" s="15"/>
      <c r="C6086" s="19"/>
      <c r="D6086" s="19"/>
      <c r="E6086" s="19"/>
      <c r="F6086" s="19"/>
      <c r="G6086" s="19"/>
      <c r="H6086" s="82"/>
    </row>
    <row r="6087" spans="1:8" s="28" customFormat="1" x14ac:dyDescent="0.25">
      <c r="A6087" s="29"/>
      <c r="B6087" s="15"/>
      <c r="C6087" s="19"/>
      <c r="D6087" s="19"/>
      <c r="E6087" s="19"/>
      <c r="F6087" s="19"/>
      <c r="G6087" s="19"/>
      <c r="H6087" s="82"/>
    </row>
    <row r="6088" spans="1:8" s="28" customFormat="1" x14ac:dyDescent="0.25">
      <c r="A6088" s="29"/>
      <c r="B6088" s="15"/>
      <c r="C6088" s="19"/>
      <c r="D6088" s="19"/>
      <c r="E6088" s="19"/>
      <c r="F6088" s="19"/>
      <c r="G6088" s="19"/>
      <c r="H6088" s="82"/>
    </row>
    <row r="6089" spans="1:8" s="28" customFormat="1" x14ac:dyDescent="0.25">
      <c r="A6089" s="29"/>
      <c r="B6089" s="15"/>
      <c r="C6089" s="19"/>
      <c r="D6089" s="19"/>
      <c r="E6089" s="19"/>
      <c r="F6089" s="19"/>
      <c r="G6089" s="19"/>
      <c r="H6089" s="82"/>
    </row>
    <row r="6090" spans="1:8" s="28" customFormat="1" x14ac:dyDescent="0.25">
      <c r="A6090" s="29"/>
      <c r="B6090" s="15"/>
      <c r="C6090" s="19"/>
      <c r="D6090" s="19"/>
      <c r="E6090" s="19"/>
      <c r="F6090" s="19"/>
      <c r="G6090" s="19"/>
      <c r="H6090" s="82"/>
    </row>
    <row r="6091" spans="1:8" s="28" customFormat="1" x14ac:dyDescent="0.25">
      <c r="A6091" s="29"/>
      <c r="B6091" s="15"/>
      <c r="C6091" s="19"/>
      <c r="D6091" s="19"/>
      <c r="E6091" s="19"/>
      <c r="F6091" s="19"/>
      <c r="G6091" s="19"/>
      <c r="H6091" s="82"/>
    </row>
    <row r="6092" spans="1:8" s="28" customFormat="1" x14ac:dyDescent="0.25">
      <c r="A6092" s="29"/>
      <c r="B6092" s="15"/>
      <c r="C6092" s="19"/>
      <c r="D6092" s="19"/>
      <c r="E6092" s="19"/>
      <c r="F6092" s="19"/>
      <c r="G6092" s="19"/>
      <c r="H6092" s="82"/>
    </row>
    <row r="6093" spans="1:8" s="28" customFormat="1" x14ac:dyDescent="0.25">
      <c r="A6093" s="29"/>
      <c r="B6093" s="15"/>
      <c r="C6093" s="19"/>
      <c r="D6093" s="19"/>
      <c r="E6093" s="19"/>
      <c r="F6093" s="19"/>
      <c r="G6093" s="19"/>
      <c r="H6093" s="82"/>
    </row>
    <row r="6094" spans="1:8" s="28" customFormat="1" x14ac:dyDescent="0.25">
      <c r="A6094" s="29"/>
      <c r="B6094" s="15"/>
      <c r="C6094" s="19"/>
      <c r="D6094" s="19"/>
      <c r="E6094" s="19"/>
      <c r="F6094" s="19"/>
      <c r="G6094" s="19"/>
      <c r="H6094" s="82"/>
    </row>
    <row r="6095" spans="1:8" s="28" customFormat="1" x14ac:dyDescent="0.25">
      <c r="A6095" s="29"/>
      <c r="B6095" s="15"/>
      <c r="C6095" s="19"/>
      <c r="D6095" s="19"/>
      <c r="E6095" s="19"/>
      <c r="F6095" s="19"/>
      <c r="G6095" s="19"/>
      <c r="H6095" s="82"/>
    </row>
    <row r="6096" spans="1:8" s="28" customFormat="1" x14ac:dyDescent="0.25">
      <c r="A6096" s="29"/>
      <c r="B6096" s="15"/>
      <c r="C6096" s="19"/>
      <c r="D6096" s="19"/>
      <c r="E6096" s="19"/>
      <c r="F6096" s="19"/>
      <c r="G6096" s="19"/>
      <c r="H6096" s="82"/>
    </row>
    <row r="6097" spans="1:8" s="28" customFormat="1" x14ac:dyDescent="0.25">
      <c r="A6097" s="29"/>
      <c r="B6097" s="15"/>
      <c r="C6097" s="19"/>
      <c r="D6097" s="19"/>
      <c r="E6097" s="19"/>
      <c r="F6097" s="19"/>
      <c r="G6097" s="19"/>
      <c r="H6097" s="82"/>
    </row>
    <row r="6098" spans="1:8" s="28" customFormat="1" x14ac:dyDescent="0.25">
      <c r="A6098" s="29"/>
      <c r="B6098" s="15"/>
      <c r="C6098" s="19"/>
      <c r="D6098" s="19"/>
      <c r="E6098" s="19"/>
      <c r="F6098" s="19"/>
      <c r="G6098" s="19"/>
      <c r="H6098" s="82"/>
    </row>
    <row r="6099" spans="1:8" s="28" customFormat="1" x14ac:dyDescent="0.25">
      <c r="A6099" s="29"/>
      <c r="B6099" s="15"/>
      <c r="C6099" s="19"/>
      <c r="D6099" s="19"/>
      <c r="E6099" s="19"/>
      <c r="F6099" s="19"/>
      <c r="G6099" s="19"/>
      <c r="H6099" s="82"/>
    </row>
    <row r="6100" spans="1:8" s="28" customFormat="1" x14ac:dyDescent="0.25">
      <c r="A6100" s="29"/>
      <c r="B6100" s="15"/>
      <c r="C6100" s="19"/>
      <c r="D6100" s="19"/>
      <c r="E6100" s="19"/>
      <c r="F6100" s="19"/>
      <c r="G6100" s="19"/>
      <c r="H6100" s="82"/>
    </row>
    <row r="6101" spans="1:8" s="28" customFormat="1" x14ac:dyDescent="0.25">
      <c r="A6101" s="29"/>
      <c r="B6101" s="15"/>
      <c r="C6101" s="19"/>
      <c r="D6101" s="19"/>
      <c r="E6101" s="19"/>
      <c r="F6101" s="19"/>
      <c r="G6101" s="19"/>
      <c r="H6101" s="82"/>
    </row>
    <row r="6102" spans="1:8" s="28" customFormat="1" x14ac:dyDescent="0.25">
      <c r="A6102" s="29"/>
      <c r="B6102" s="15"/>
      <c r="C6102" s="19"/>
      <c r="D6102" s="19"/>
      <c r="E6102" s="19"/>
      <c r="F6102" s="19"/>
      <c r="G6102" s="19"/>
      <c r="H6102" s="82"/>
    </row>
    <row r="6103" spans="1:8" s="28" customFormat="1" x14ac:dyDescent="0.25">
      <c r="A6103" s="29"/>
      <c r="B6103" s="15"/>
      <c r="C6103" s="19"/>
      <c r="D6103" s="19"/>
      <c r="E6103" s="19"/>
      <c r="F6103" s="19"/>
      <c r="G6103" s="19"/>
      <c r="H6103" s="82"/>
    </row>
    <row r="6104" spans="1:8" s="28" customFormat="1" x14ac:dyDescent="0.25">
      <c r="A6104" s="29"/>
      <c r="B6104" s="15"/>
      <c r="C6104" s="19"/>
      <c r="D6104" s="19"/>
      <c r="E6104" s="19"/>
      <c r="F6104" s="19"/>
      <c r="G6104" s="19"/>
      <c r="H6104" s="82"/>
    </row>
    <row r="6105" spans="1:8" s="28" customFormat="1" x14ac:dyDescent="0.25">
      <c r="A6105" s="29"/>
      <c r="B6105" s="15"/>
      <c r="C6105" s="19"/>
      <c r="D6105" s="19"/>
      <c r="E6105" s="19"/>
      <c r="F6105" s="19"/>
      <c r="G6105" s="19"/>
      <c r="H6105" s="82"/>
    </row>
    <row r="6106" spans="1:8" s="28" customFormat="1" x14ac:dyDescent="0.25">
      <c r="A6106" s="29"/>
      <c r="B6106" s="15"/>
      <c r="C6106" s="19"/>
      <c r="D6106" s="19"/>
      <c r="E6106" s="19"/>
      <c r="F6106" s="19"/>
      <c r="G6106" s="19"/>
      <c r="H6106" s="82"/>
    </row>
    <row r="6107" spans="1:8" s="28" customFormat="1" x14ac:dyDescent="0.25">
      <c r="A6107" s="29"/>
      <c r="B6107" s="15"/>
      <c r="C6107" s="19"/>
      <c r="D6107" s="19"/>
      <c r="E6107" s="19"/>
      <c r="F6107" s="19"/>
      <c r="G6107" s="19"/>
      <c r="H6107" s="82"/>
    </row>
    <row r="6108" spans="1:8" s="28" customFormat="1" x14ac:dyDescent="0.25">
      <c r="A6108" s="29"/>
      <c r="B6108" s="15"/>
      <c r="C6108" s="19"/>
      <c r="D6108" s="19"/>
      <c r="E6108" s="19"/>
      <c r="F6108" s="19"/>
      <c r="G6108" s="19"/>
      <c r="H6108" s="82"/>
    </row>
    <row r="6109" spans="1:8" s="28" customFormat="1" x14ac:dyDescent="0.25">
      <c r="A6109" s="29"/>
      <c r="B6109" s="15"/>
      <c r="C6109" s="19"/>
      <c r="D6109" s="19"/>
      <c r="E6109" s="19"/>
      <c r="F6109" s="19"/>
      <c r="G6109" s="19"/>
      <c r="H6109" s="82"/>
    </row>
    <row r="6110" spans="1:8" s="28" customFormat="1" x14ac:dyDescent="0.25">
      <c r="A6110" s="29"/>
      <c r="B6110" s="15"/>
      <c r="C6110" s="19"/>
      <c r="D6110" s="19"/>
      <c r="E6110" s="19"/>
      <c r="F6110" s="19"/>
      <c r="G6110" s="19"/>
      <c r="H6110" s="82"/>
    </row>
    <row r="6111" spans="1:8" s="28" customFormat="1" x14ac:dyDescent="0.25">
      <c r="A6111" s="29"/>
      <c r="B6111" s="15"/>
      <c r="C6111" s="19"/>
      <c r="D6111" s="19"/>
      <c r="E6111" s="19"/>
      <c r="F6111" s="19"/>
      <c r="G6111" s="19"/>
      <c r="H6111" s="82"/>
    </row>
    <row r="6112" spans="1:8" s="28" customFormat="1" x14ac:dyDescent="0.25">
      <c r="A6112" s="29"/>
      <c r="B6112" s="15"/>
      <c r="C6112" s="19"/>
      <c r="D6112" s="19"/>
      <c r="E6112" s="19"/>
      <c r="F6112" s="19"/>
      <c r="G6112" s="19"/>
      <c r="H6112" s="82"/>
    </row>
    <row r="6113" spans="1:8" s="28" customFormat="1" x14ac:dyDescent="0.25">
      <c r="A6113" s="29"/>
      <c r="B6113" s="15"/>
      <c r="C6113" s="19"/>
      <c r="D6113" s="19"/>
      <c r="E6113" s="19"/>
      <c r="F6113" s="19"/>
      <c r="G6113" s="19"/>
      <c r="H6113" s="82"/>
    </row>
    <row r="6114" spans="1:8" s="28" customFormat="1" x14ac:dyDescent="0.25">
      <c r="A6114" s="29"/>
      <c r="B6114" s="15"/>
      <c r="C6114" s="19"/>
      <c r="D6114" s="19"/>
      <c r="E6114" s="19"/>
      <c r="F6114" s="19"/>
      <c r="G6114" s="19"/>
      <c r="H6114" s="82"/>
    </row>
    <row r="6115" spans="1:8" s="28" customFormat="1" x14ac:dyDescent="0.25">
      <c r="A6115" s="29"/>
      <c r="B6115" s="15"/>
      <c r="C6115" s="19"/>
      <c r="D6115" s="19"/>
      <c r="E6115" s="19"/>
      <c r="F6115" s="19"/>
      <c r="G6115" s="19"/>
      <c r="H6115" s="82"/>
    </row>
    <row r="6116" spans="1:8" s="28" customFormat="1" x14ac:dyDescent="0.25">
      <c r="A6116" s="29"/>
      <c r="B6116" s="15"/>
      <c r="C6116" s="19"/>
      <c r="D6116" s="19"/>
      <c r="E6116" s="19"/>
      <c r="F6116" s="19"/>
      <c r="G6116" s="19"/>
      <c r="H6116" s="82"/>
    </row>
    <row r="6117" spans="1:8" s="28" customFormat="1" x14ac:dyDescent="0.25">
      <c r="A6117" s="29"/>
      <c r="B6117" s="15"/>
      <c r="C6117" s="19"/>
      <c r="D6117" s="19"/>
      <c r="E6117" s="19"/>
      <c r="F6117" s="19"/>
      <c r="G6117" s="19"/>
      <c r="H6117" s="82"/>
    </row>
    <row r="6118" spans="1:8" s="28" customFormat="1" x14ac:dyDescent="0.25">
      <c r="A6118" s="29"/>
      <c r="B6118" s="15"/>
      <c r="C6118" s="19"/>
      <c r="D6118" s="19"/>
      <c r="E6118" s="19"/>
      <c r="F6118" s="19"/>
      <c r="G6118" s="19"/>
      <c r="H6118" s="82"/>
    </row>
    <row r="6119" spans="1:8" s="28" customFormat="1" x14ac:dyDescent="0.25">
      <c r="A6119" s="29"/>
      <c r="B6119" s="15"/>
      <c r="C6119" s="19"/>
      <c r="D6119" s="19"/>
      <c r="E6119" s="19"/>
      <c r="F6119" s="19"/>
      <c r="G6119" s="19"/>
      <c r="H6119" s="82"/>
    </row>
    <row r="6120" spans="1:8" s="28" customFormat="1" x14ac:dyDescent="0.25">
      <c r="A6120" s="29"/>
      <c r="B6120" s="15"/>
      <c r="C6120" s="19"/>
      <c r="D6120" s="19"/>
      <c r="E6120" s="19"/>
      <c r="F6120" s="19"/>
      <c r="G6120" s="19"/>
      <c r="H6120" s="82"/>
    </row>
    <row r="6121" spans="1:8" s="28" customFormat="1" x14ac:dyDescent="0.25">
      <c r="A6121" s="29"/>
      <c r="B6121" s="15"/>
      <c r="C6121" s="19"/>
      <c r="D6121" s="19"/>
      <c r="E6121" s="19"/>
      <c r="F6121" s="19"/>
      <c r="G6121" s="19"/>
      <c r="H6121" s="82"/>
    </row>
    <row r="6122" spans="1:8" s="28" customFormat="1" x14ac:dyDescent="0.25">
      <c r="A6122" s="29"/>
      <c r="B6122" s="15"/>
      <c r="C6122" s="19"/>
      <c r="D6122" s="19"/>
      <c r="E6122" s="19"/>
      <c r="F6122" s="19"/>
      <c r="G6122" s="19"/>
      <c r="H6122" s="82"/>
    </row>
    <row r="6123" spans="1:8" s="28" customFormat="1" x14ac:dyDescent="0.25">
      <c r="A6123" s="29"/>
      <c r="B6123" s="15"/>
      <c r="C6123" s="19"/>
      <c r="D6123" s="19"/>
      <c r="E6123" s="19"/>
      <c r="F6123" s="19"/>
      <c r="G6123" s="19"/>
      <c r="H6123" s="82"/>
    </row>
    <row r="6124" spans="1:8" s="28" customFormat="1" x14ac:dyDescent="0.25">
      <c r="A6124" s="29"/>
      <c r="B6124" s="15"/>
      <c r="C6124" s="19"/>
      <c r="D6124" s="19"/>
      <c r="E6124" s="19"/>
      <c r="F6124" s="19"/>
      <c r="G6124" s="19"/>
      <c r="H6124" s="82"/>
    </row>
    <row r="6125" spans="1:8" s="28" customFormat="1" x14ac:dyDescent="0.25">
      <c r="A6125" s="29"/>
      <c r="B6125" s="15"/>
      <c r="C6125" s="19"/>
      <c r="D6125" s="19"/>
      <c r="E6125" s="19"/>
      <c r="F6125" s="19"/>
      <c r="G6125" s="19"/>
      <c r="H6125" s="82"/>
    </row>
    <row r="6126" spans="1:8" s="28" customFormat="1" x14ac:dyDescent="0.25">
      <c r="A6126" s="29"/>
      <c r="B6126" s="15"/>
      <c r="C6126" s="19"/>
      <c r="D6126" s="19"/>
      <c r="E6126" s="19"/>
      <c r="F6126" s="19"/>
      <c r="G6126" s="19"/>
      <c r="H6126" s="82"/>
    </row>
    <row r="6127" spans="1:8" s="28" customFormat="1" x14ac:dyDescent="0.25">
      <c r="A6127" s="29"/>
      <c r="B6127" s="15"/>
      <c r="C6127" s="19"/>
      <c r="D6127" s="19"/>
      <c r="E6127" s="19"/>
      <c r="F6127" s="19"/>
      <c r="G6127" s="19"/>
      <c r="H6127" s="82"/>
    </row>
    <row r="6128" spans="1:8" s="28" customFormat="1" x14ac:dyDescent="0.25">
      <c r="A6128" s="29"/>
      <c r="B6128" s="15"/>
      <c r="C6128" s="19"/>
      <c r="D6128" s="19"/>
      <c r="E6128" s="19"/>
      <c r="F6128" s="19"/>
      <c r="G6128" s="19"/>
      <c r="H6128" s="82"/>
    </row>
    <row r="6129" spans="1:8" s="28" customFormat="1" x14ac:dyDescent="0.25">
      <c r="A6129" s="29"/>
      <c r="B6129" s="15"/>
      <c r="C6129" s="19"/>
      <c r="D6129" s="19"/>
      <c r="E6129" s="19"/>
      <c r="F6129" s="19"/>
      <c r="G6129" s="19"/>
      <c r="H6129" s="82"/>
    </row>
    <row r="6130" spans="1:8" s="28" customFormat="1" x14ac:dyDescent="0.25">
      <c r="A6130" s="29"/>
      <c r="B6130" s="15"/>
      <c r="C6130" s="19"/>
      <c r="D6130" s="19"/>
      <c r="E6130" s="19"/>
      <c r="F6130" s="19"/>
      <c r="G6130" s="19"/>
      <c r="H6130" s="82"/>
    </row>
    <row r="6131" spans="1:8" s="28" customFormat="1" x14ac:dyDescent="0.25">
      <c r="A6131" s="29"/>
      <c r="B6131" s="15"/>
      <c r="C6131" s="19"/>
      <c r="D6131" s="19"/>
      <c r="E6131" s="19"/>
      <c r="F6131" s="19"/>
      <c r="G6131" s="19"/>
      <c r="H6131" s="82"/>
    </row>
    <row r="6132" spans="1:8" s="28" customFormat="1" x14ac:dyDescent="0.25">
      <c r="A6132" s="29"/>
      <c r="B6132" s="15"/>
      <c r="C6132" s="19"/>
      <c r="D6132" s="19"/>
      <c r="E6132" s="19"/>
      <c r="F6132" s="19"/>
      <c r="G6132" s="19"/>
      <c r="H6132" s="82"/>
    </row>
    <row r="6133" spans="1:8" s="28" customFormat="1" x14ac:dyDescent="0.25">
      <c r="A6133" s="29"/>
      <c r="B6133" s="15"/>
      <c r="C6133" s="19"/>
      <c r="D6133" s="19"/>
      <c r="E6133" s="19"/>
      <c r="F6133" s="19"/>
      <c r="G6133" s="19"/>
      <c r="H6133" s="82"/>
    </row>
    <row r="6134" spans="1:8" s="28" customFormat="1" x14ac:dyDescent="0.25">
      <c r="A6134" s="29"/>
      <c r="B6134" s="15"/>
      <c r="C6134" s="19"/>
      <c r="D6134" s="19"/>
      <c r="E6134" s="19"/>
      <c r="F6134" s="19"/>
      <c r="G6134" s="19"/>
      <c r="H6134" s="82"/>
    </row>
    <row r="6135" spans="1:8" s="28" customFormat="1" x14ac:dyDescent="0.25">
      <c r="A6135" s="29"/>
      <c r="B6135" s="15"/>
      <c r="C6135" s="19"/>
      <c r="D6135" s="19"/>
      <c r="E6135" s="19"/>
      <c r="F6135" s="19"/>
      <c r="G6135" s="19"/>
      <c r="H6135" s="82"/>
    </row>
    <row r="6136" spans="1:8" s="28" customFormat="1" x14ac:dyDescent="0.25">
      <c r="A6136" s="29"/>
      <c r="B6136" s="15"/>
      <c r="C6136" s="19"/>
      <c r="D6136" s="19"/>
      <c r="E6136" s="19"/>
      <c r="F6136" s="19"/>
      <c r="G6136" s="19"/>
      <c r="H6136" s="82"/>
    </row>
    <row r="6137" spans="1:8" s="28" customFormat="1" x14ac:dyDescent="0.25">
      <c r="A6137" s="29"/>
      <c r="B6137" s="15"/>
      <c r="C6137" s="19"/>
      <c r="D6137" s="19"/>
      <c r="E6137" s="19"/>
      <c r="F6137" s="19"/>
      <c r="G6137" s="19"/>
      <c r="H6137" s="82"/>
    </row>
    <row r="6138" spans="1:8" s="28" customFormat="1" x14ac:dyDescent="0.25">
      <c r="A6138" s="29"/>
      <c r="B6138" s="15"/>
      <c r="C6138" s="19"/>
      <c r="D6138" s="19"/>
      <c r="E6138" s="19"/>
      <c r="F6138" s="19"/>
      <c r="G6138" s="19"/>
      <c r="H6138" s="82"/>
    </row>
    <row r="6139" spans="1:8" s="28" customFormat="1" x14ac:dyDescent="0.25">
      <c r="A6139" s="29"/>
      <c r="B6139" s="15"/>
      <c r="C6139" s="19"/>
      <c r="D6139" s="19"/>
      <c r="E6139" s="19"/>
      <c r="F6139" s="19"/>
      <c r="G6139" s="19"/>
      <c r="H6139" s="82"/>
    </row>
    <row r="6140" spans="1:8" s="28" customFormat="1" x14ac:dyDescent="0.25">
      <c r="A6140" s="29"/>
      <c r="B6140" s="15"/>
      <c r="C6140" s="19"/>
      <c r="D6140" s="19"/>
      <c r="E6140" s="19"/>
      <c r="F6140" s="19"/>
      <c r="G6140" s="19"/>
      <c r="H6140" s="82"/>
    </row>
    <row r="6141" spans="1:8" s="28" customFormat="1" x14ac:dyDescent="0.25">
      <c r="A6141" s="29"/>
      <c r="B6141" s="15"/>
      <c r="C6141" s="19"/>
      <c r="D6141" s="19"/>
      <c r="E6141" s="19"/>
      <c r="F6141" s="19"/>
      <c r="G6141" s="19"/>
      <c r="H6141" s="82"/>
    </row>
    <row r="6142" spans="1:8" s="28" customFormat="1" x14ac:dyDescent="0.25">
      <c r="A6142" s="29"/>
      <c r="B6142" s="15"/>
      <c r="C6142" s="19"/>
      <c r="D6142" s="19"/>
      <c r="E6142" s="19"/>
      <c r="F6142" s="19"/>
      <c r="G6142" s="19"/>
      <c r="H6142" s="82"/>
    </row>
    <row r="6143" spans="1:8" s="28" customFormat="1" x14ac:dyDescent="0.25">
      <c r="A6143" s="29"/>
      <c r="B6143" s="15"/>
      <c r="C6143" s="19"/>
      <c r="D6143" s="19"/>
      <c r="E6143" s="19"/>
      <c r="F6143" s="19"/>
      <c r="G6143" s="19"/>
      <c r="H6143" s="82"/>
    </row>
    <row r="6144" spans="1:8" s="28" customFormat="1" x14ac:dyDescent="0.25">
      <c r="A6144" s="29"/>
      <c r="B6144" s="15"/>
      <c r="C6144" s="19"/>
      <c r="D6144" s="19"/>
      <c r="E6144" s="19"/>
      <c r="F6144" s="19"/>
      <c r="G6144" s="19"/>
      <c r="H6144" s="82"/>
    </row>
    <row r="6145" spans="1:8" s="28" customFormat="1" x14ac:dyDescent="0.25">
      <c r="A6145" s="29"/>
      <c r="B6145" s="15"/>
      <c r="C6145" s="19"/>
      <c r="D6145" s="19"/>
      <c r="E6145" s="19"/>
      <c r="F6145" s="19"/>
      <c r="G6145" s="19"/>
      <c r="H6145" s="82"/>
    </row>
    <row r="6146" spans="1:8" s="28" customFormat="1" x14ac:dyDescent="0.25">
      <c r="A6146" s="29"/>
      <c r="B6146" s="15"/>
      <c r="C6146" s="19"/>
      <c r="D6146" s="19"/>
      <c r="E6146" s="19"/>
      <c r="F6146" s="19"/>
      <c r="G6146" s="19"/>
      <c r="H6146" s="82"/>
    </row>
    <row r="6147" spans="1:8" s="28" customFormat="1" x14ac:dyDescent="0.25">
      <c r="A6147" s="29"/>
      <c r="B6147" s="15"/>
      <c r="C6147" s="19"/>
      <c r="D6147" s="19"/>
      <c r="E6147" s="19"/>
      <c r="F6147" s="19"/>
      <c r="G6147" s="19"/>
      <c r="H6147" s="82"/>
    </row>
    <row r="6148" spans="1:8" s="28" customFormat="1" x14ac:dyDescent="0.25">
      <c r="A6148" s="29"/>
      <c r="B6148" s="15"/>
      <c r="C6148" s="19"/>
      <c r="D6148" s="19"/>
      <c r="E6148" s="19"/>
      <c r="F6148" s="19"/>
      <c r="G6148" s="19"/>
      <c r="H6148" s="82"/>
    </row>
    <row r="6149" spans="1:8" s="28" customFormat="1" x14ac:dyDescent="0.25">
      <c r="A6149" s="29"/>
      <c r="B6149" s="15"/>
      <c r="C6149" s="19"/>
      <c r="D6149" s="19"/>
      <c r="E6149" s="19"/>
      <c r="F6149" s="19"/>
      <c r="G6149" s="19"/>
      <c r="H6149" s="82"/>
    </row>
    <row r="6150" spans="1:8" s="28" customFormat="1" x14ac:dyDescent="0.25">
      <c r="A6150" s="29"/>
      <c r="B6150" s="15"/>
      <c r="C6150" s="19"/>
      <c r="D6150" s="19"/>
      <c r="E6150" s="19"/>
      <c r="F6150" s="19"/>
      <c r="G6150" s="19"/>
      <c r="H6150" s="82"/>
    </row>
    <row r="6151" spans="1:8" s="28" customFormat="1" x14ac:dyDescent="0.25">
      <c r="A6151" s="29"/>
      <c r="B6151" s="15"/>
      <c r="C6151" s="19"/>
      <c r="D6151" s="19"/>
      <c r="E6151" s="19"/>
      <c r="F6151" s="19"/>
      <c r="G6151" s="19"/>
      <c r="H6151" s="82"/>
    </row>
    <row r="6152" spans="1:8" s="28" customFormat="1" x14ac:dyDescent="0.25">
      <c r="A6152" s="29"/>
      <c r="B6152" s="15"/>
      <c r="C6152" s="19"/>
      <c r="D6152" s="19"/>
      <c r="E6152" s="19"/>
      <c r="F6152" s="19"/>
      <c r="G6152" s="19"/>
      <c r="H6152" s="82"/>
    </row>
    <row r="6153" spans="1:8" s="28" customFormat="1" x14ac:dyDescent="0.25">
      <c r="A6153" s="29"/>
      <c r="B6153" s="15"/>
      <c r="C6153" s="19"/>
      <c r="D6153" s="19"/>
      <c r="E6153" s="19"/>
      <c r="F6153" s="19"/>
      <c r="G6153" s="19"/>
      <c r="H6153" s="82"/>
    </row>
    <row r="6154" spans="1:8" s="28" customFormat="1" x14ac:dyDescent="0.25">
      <c r="A6154" s="29"/>
      <c r="B6154" s="15"/>
      <c r="C6154" s="19"/>
      <c r="D6154" s="19"/>
      <c r="E6154" s="19"/>
      <c r="F6154" s="19"/>
      <c r="G6154" s="19"/>
      <c r="H6154" s="82"/>
    </row>
    <row r="6155" spans="1:8" s="28" customFormat="1" x14ac:dyDescent="0.25">
      <c r="A6155" s="29"/>
      <c r="B6155" s="15"/>
      <c r="C6155" s="19"/>
      <c r="D6155" s="19"/>
      <c r="E6155" s="19"/>
      <c r="F6155" s="19"/>
      <c r="G6155" s="19"/>
      <c r="H6155" s="82"/>
    </row>
    <row r="6156" spans="1:8" s="28" customFormat="1" x14ac:dyDescent="0.25">
      <c r="A6156" s="29"/>
      <c r="B6156" s="15"/>
      <c r="C6156" s="19"/>
      <c r="D6156" s="19"/>
      <c r="E6156" s="19"/>
      <c r="F6156" s="19"/>
      <c r="G6156" s="19"/>
      <c r="H6156" s="82"/>
    </row>
    <row r="6157" spans="1:8" s="28" customFormat="1" x14ac:dyDescent="0.25">
      <c r="A6157" s="29"/>
      <c r="B6157" s="15"/>
      <c r="C6157" s="19"/>
      <c r="D6157" s="19"/>
      <c r="E6157" s="19"/>
      <c r="F6157" s="19"/>
      <c r="G6157" s="19"/>
      <c r="H6157" s="82"/>
    </row>
    <row r="6158" spans="1:8" s="28" customFormat="1" x14ac:dyDescent="0.25">
      <c r="A6158" s="29"/>
      <c r="B6158" s="15"/>
      <c r="C6158" s="19"/>
      <c r="D6158" s="19"/>
      <c r="E6158" s="19"/>
      <c r="F6158" s="19"/>
      <c r="G6158" s="19"/>
      <c r="H6158" s="82"/>
    </row>
    <row r="6159" spans="1:8" s="28" customFormat="1" x14ac:dyDescent="0.25">
      <c r="A6159" s="29"/>
      <c r="B6159" s="15"/>
      <c r="C6159" s="19"/>
      <c r="D6159" s="19"/>
      <c r="E6159" s="19"/>
      <c r="F6159" s="19"/>
      <c r="G6159" s="19"/>
      <c r="H6159" s="82"/>
    </row>
    <row r="6160" spans="1:8" s="28" customFormat="1" x14ac:dyDescent="0.25">
      <c r="A6160" s="29"/>
      <c r="B6160" s="15"/>
      <c r="C6160" s="19"/>
      <c r="D6160" s="19"/>
      <c r="E6160" s="19"/>
      <c r="F6160" s="19"/>
      <c r="G6160" s="19"/>
      <c r="H6160" s="82"/>
    </row>
    <row r="6161" spans="1:8" s="28" customFormat="1" x14ac:dyDescent="0.25">
      <c r="A6161" s="29"/>
      <c r="B6161" s="15"/>
      <c r="C6161" s="19"/>
      <c r="D6161" s="19"/>
      <c r="E6161" s="19"/>
      <c r="F6161" s="19"/>
      <c r="G6161" s="19"/>
      <c r="H6161" s="82"/>
    </row>
    <row r="6162" spans="1:8" s="28" customFormat="1" x14ac:dyDescent="0.25">
      <c r="A6162" s="29"/>
      <c r="B6162" s="15"/>
      <c r="C6162" s="19"/>
      <c r="D6162" s="19"/>
      <c r="E6162" s="19"/>
      <c r="F6162" s="19"/>
      <c r="G6162" s="19"/>
      <c r="H6162" s="82"/>
    </row>
    <row r="6163" spans="1:8" s="28" customFormat="1" x14ac:dyDescent="0.25">
      <c r="A6163" s="29"/>
      <c r="B6163" s="15"/>
      <c r="C6163" s="19"/>
      <c r="D6163" s="19"/>
      <c r="E6163" s="19"/>
      <c r="F6163" s="19"/>
      <c r="G6163" s="19"/>
      <c r="H6163" s="82"/>
    </row>
    <row r="6164" spans="1:8" s="28" customFormat="1" x14ac:dyDescent="0.25">
      <c r="A6164" s="29"/>
      <c r="B6164" s="15"/>
      <c r="C6164" s="19"/>
      <c r="D6164" s="19"/>
      <c r="E6164" s="19"/>
      <c r="F6164" s="19"/>
      <c r="G6164" s="19"/>
      <c r="H6164" s="82"/>
    </row>
    <row r="6165" spans="1:8" s="28" customFormat="1" x14ac:dyDescent="0.25">
      <c r="A6165" s="29"/>
      <c r="B6165" s="15"/>
      <c r="C6165" s="19"/>
      <c r="D6165" s="19"/>
      <c r="E6165" s="19"/>
      <c r="F6165" s="19"/>
      <c r="G6165" s="19"/>
      <c r="H6165" s="82"/>
    </row>
    <row r="6166" spans="1:8" s="28" customFormat="1" x14ac:dyDescent="0.25">
      <c r="A6166" s="29"/>
      <c r="B6166" s="15"/>
      <c r="C6166" s="19"/>
      <c r="D6166" s="19"/>
      <c r="E6166" s="19"/>
      <c r="F6166" s="19"/>
      <c r="G6166" s="19"/>
      <c r="H6166" s="82"/>
    </row>
    <row r="6167" spans="1:8" s="28" customFormat="1" x14ac:dyDescent="0.25">
      <c r="A6167" s="29"/>
      <c r="B6167" s="15"/>
      <c r="C6167" s="19"/>
      <c r="D6167" s="19"/>
      <c r="E6167" s="19"/>
      <c r="F6167" s="19"/>
      <c r="G6167" s="19"/>
      <c r="H6167" s="82"/>
    </row>
    <row r="6168" spans="1:8" s="28" customFormat="1" x14ac:dyDescent="0.25">
      <c r="A6168" s="29"/>
      <c r="B6168" s="15"/>
      <c r="C6168" s="19"/>
      <c r="D6168" s="19"/>
      <c r="E6168" s="19"/>
      <c r="F6168" s="19"/>
      <c r="G6168" s="19"/>
      <c r="H6168" s="82"/>
    </row>
    <row r="6169" spans="1:8" s="28" customFormat="1" x14ac:dyDescent="0.25">
      <c r="A6169" s="29"/>
      <c r="B6169" s="15"/>
      <c r="C6169" s="19"/>
      <c r="D6169" s="19"/>
      <c r="E6169" s="19"/>
      <c r="F6169" s="19"/>
      <c r="G6169" s="19"/>
      <c r="H6169" s="82"/>
    </row>
    <row r="6170" spans="1:8" s="28" customFormat="1" x14ac:dyDescent="0.25">
      <c r="A6170" s="29"/>
      <c r="B6170" s="15"/>
      <c r="C6170" s="19"/>
      <c r="D6170" s="19"/>
      <c r="E6170" s="19"/>
      <c r="F6170" s="19"/>
      <c r="G6170" s="19"/>
      <c r="H6170" s="82"/>
    </row>
    <row r="6171" spans="1:8" s="28" customFormat="1" x14ac:dyDescent="0.25">
      <c r="A6171" s="29"/>
      <c r="B6171" s="15"/>
      <c r="C6171" s="19"/>
      <c r="D6171" s="19"/>
      <c r="E6171" s="19"/>
      <c r="F6171" s="19"/>
      <c r="G6171" s="19"/>
      <c r="H6171" s="82"/>
    </row>
    <row r="6172" spans="1:8" s="28" customFormat="1" x14ac:dyDescent="0.25">
      <c r="A6172" s="29"/>
      <c r="B6172" s="15"/>
      <c r="C6172" s="19"/>
      <c r="D6172" s="19"/>
      <c r="E6172" s="19"/>
      <c r="F6172" s="19"/>
      <c r="G6172" s="19"/>
      <c r="H6172" s="82"/>
    </row>
    <row r="6173" spans="1:8" s="28" customFormat="1" x14ac:dyDescent="0.25">
      <c r="A6173" s="29"/>
      <c r="B6173" s="15"/>
      <c r="C6173" s="19"/>
      <c r="D6173" s="19"/>
      <c r="E6173" s="19"/>
      <c r="F6173" s="19"/>
      <c r="G6173" s="19"/>
      <c r="H6173" s="82"/>
    </row>
    <row r="6174" spans="1:8" s="28" customFormat="1" x14ac:dyDescent="0.25">
      <c r="A6174" s="29"/>
      <c r="B6174" s="15"/>
      <c r="C6174" s="19"/>
      <c r="D6174" s="19"/>
      <c r="E6174" s="19"/>
      <c r="F6174" s="19"/>
      <c r="G6174" s="19"/>
      <c r="H6174" s="82"/>
    </row>
    <row r="6175" spans="1:8" s="28" customFormat="1" x14ac:dyDescent="0.25">
      <c r="A6175" s="29"/>
      <c r="B6175" s="15"/>
      <c r="C6175" s="19"/>
      <c r="D6175" s="19"/>
      <c r="E6175" s="19"/>
      <c r="F6175" s="19"/>
      <c r="G6175" s="19"/>
      <c r="H6175" s="82"/>
    </row>
    <row r="6176" spans="1:8" s="28" customFormat="1" x14ac:dyDescent="0.25">
      <c r="A6176" s="29"/>
      <c r="B6176" s="15"/>
      <c r="C6176" s="19"/>
      <c r="D6176" s="19"/>
      <c r="E6176" s="19"/>
      <c r="F6176" s="19"/>
      <c r="G6176" s="19"/>
      <c r="H6176" s="82"/>
    </row>
    <row r="6177" spans="1:8" s="28" customFormat="1" x14ac:dyDescent="0.25">
      <c r="A6177" s="29"/>
      <c r="B6177" s="15"/>
      <c r="C6177" s="19"/>
      <c r="D6177" s="19"/>
      <c r="E6177" s="19"/>
      <c r="F6177" s="19"/>
      <c r="G6177" s="19"/>
      <c r="H6177" s="82"/>
    </row>
    <row r="6178" spans="1:8" s="28" customFormat="1" x14ac:dyDescent="0.25">
      <c r="A6178" s="29"/>
      <c r="B6178" s="15"/>
      <c r="C6178" s="19"/>
      <c r="D6178" s="19"/>
      <c r="E6178" s="19"/>
      <c r="F6178" s="19"/>
      <c r="G6178" s="19"/>
      <c r="H6178" s="82"/>
    </row>
    <row r="6179" spans="1:8" s="28" customFormat="1" x14ac:dyDescent="0.25">
      <c r="A6179" s="29"/>
      <c r="B6179" s="15"/>
      <c r="C6179" s="19"/>
      <c r="D6179" s="19"/>
      <c r="E6179" s="19"/>
      <c r="F6179" s="19"/>
      <c r="G6179" s="19"/>
      <c r="H6179" s="82"/>
    </row>
    <row r="6180" spans="1:8" s="28" customFormat="1" x14ac:dyDescent="0.25">
      <c r="A6180" s="29"/>
      <c r="B6180" s="15"/>
      <c r="C6180" s="19"/>
      <c r="D6180" s="19"/>
      <c r="E6180" s="19"/>
      <c r="F6180" s="19"/>
      <c r="G6180" s="19"/>
      <c r="H6180" s="82"/>
    </row>
    <row r="6181" spans="1:8" s="28" customFormat="1" x14ac:dyDescent="0.25">
      <c r="A6181" s="29"/>
      <c r="B6181" s="15"/>
      <c r="C6181" s="19"/>
      <c r="D6181" s="19"/>
      <c r="E6181" s="19"/>
      <c r="F6181" s="19"/>
      <c r="G6181" s="19"/>
      <c r="H6181" s="82"/>
    </row>
    <row r="6182" spans="1:8" s="28" customFormat="1" x14ac:dyDescent="0.25">
      <c r="A6182" s="29"/>
      <c r="B6182" s="15"/>
      <c r="C6182" s="19"/>
      <c r="D6182" s="19"/>
      <c r="E6182" s="19"/>
      <c r="F6182" s="19"/>
      <c r="G6182" s="19"/>
      <c r="H6182" s="82"/>
    </row>
    <row r="6183" spans="1:8" s="28" customFormat="1" x14ac:dyDescent="0.25">
      <c r="A6183" s="29"/>
      <c r="B6183" s="15"/>
      <c r="C6183" s="19"/>
      <c r="D6183" s="19"/>
      <c r="E6183" s="19"/>
      <c r="F6183" s="19"/>
      <c r="G6183" s="19"/>
      <c r="H6183" s="82"/>
    </row>
    <row r="6184" spans="1:8" s="28" customFormat="1" x14ac:dyDescent="0.25">
      <c r="A6184" s="29"/>
      <c r="B6184" s="15"/>
      <c r="C6184" s="19"/>
      <c r="D6184" s="19"/>
      <c r="E6184" s="19"/>
      <c r="F6184" s="19"/>
      <c r="G6184" s="19"/>
      <c r="H6184" s="82"/>
    </row>
    <row r="6185" spans="1:8" s="28" customFormat="1" x14ac:dyDescent="0.25">
      <c r="A6185" s="29"/>
      <c r="B6185" s="15"/>
      <c r="C6185" s="19"/>
      <c r="D6185" s="19"/>
      <c r="E6185" s="19"/>
      <c r="F6185" s="19"/>
      <c r="G6185" s="19"/>
      <c r="H6185" s="82"/>
    </row>
    <row r="6186" spans="1:8" s="28" customFormat="1" x14ac:dyDescent="0.25">
      <c r="A6186" s="29"/>
      <c r="B6186" s="15"/>
      <c r="C6186" s="19"/>
      <c r="D6186" s="19"/>
      <c r="E6186" s="19"/>
      <c r="F6186" s="19"/>
      <c r="G6186" s="19"/>
      <c r="H6186" s="82"/>
    </row>
    <row r="6187" spans="1:8" s="28" customFormat="1" x14ac:dyDescent="0.25">
      <c r="A6187" s="29"/>
      <c r="B6187" s="15"/>
      <c r="C6187" s="19"/>
      <c r="D6187" s="19"/>
      <c r="E6187" s="19"/>
      <c r="F6187" s="19"/>
      <c r="G6187" s="19"/>
      <c r="H6187" s="82"/>
    </row>
    <row r="6188" spans="1:8" s="28" customFormat="1" x14ac:dyDescent="0.25">
      <c r="A6188" s="29"/>
      <c r="B6188" s="15"/>
      <c r="C6188" s="19"/>
      <c r="D6188" s="19"/>
      <c r="E6188" s="19"/>
      <c r="F6188" s="19"/>
      <c r="G6188" s="19"/>
      <c r="H6188" s="82"/>
    </row>
    <row r="6189" spans="1:8" s="28" customFormat="1" x14ac:dyDescent="0.25">
      <c r="A6189" s="29"/>
      <c r="B6189" s="15"/>
      <c r="C6189" s="19"/>
      <c r="D6189" s="19"/>
      <c r="E6189" s="19"/>
      <c r="F6189" s="19"/>
      <c r="G6189" s="19"/>
      <c r="H6189" s="82"/>
    </row>
    <row r="6190" spans="1:8" s="28" customFormat="1" x14ac:dyDescent="0.25">
      <c r="A6190" s="29"/>
      <c r="B6190" s="15"/>
      <c r="C6190" s="19"/>
      <c r="D6190" s="19"/>
      <c r="E6190" s="19"/>
      <c r="F6190" s="19"/>
      <c r="G6190" s="19"/>
      <c r="H6190" s="82"/>
    </row>
    <row r="6191" spans="1:8" s="28" customFormat="1" x14ac:dyDescent="0.25">
      <c r="A6191" s="29"/>
      <c r="B6191" s="15"/>
      <c r="C6191" s="19"/>
      <c r="D6191" s="19"/>
      <c r="E6191" s="19"/>
      <c r="F6191" s="19"/>
      <c r="G6191" s="19"/>
      <c r="H6191" s="82"/>
    </row>
    <row r="6192" spans="1:8" s="28" customFormat="1" x14ac:dyDescent="0.25">
      <c r="A6192" s="29"/>
      <c r="B6192" s="15"/>
      <c r="C6192" s="19"/>
      <c r="D6192" s="19"/>
      <c r="E6192" s="19"/>
      <c r="F6192" s="19"/>
      <c r="G6192" s="19"/>
      <c r="H6192" s="82"/>
    </row>
    <row r="6193" spans="1:8" s="28" customFormat="1" x14ac:dyDescent="0.25">
      <c r="A6193" s="29"/>
      <c r="B6193" s="15"/>
      <c r="C6193" s="19"/>
      <c r="D6193" s="19"/>
      <c r="E6193" s="19"/>
      <c r="F6193" s="19"/>
      <c r="G6193" s="19"/>
      <c r="H6193" s="82"/>
    </row>
    <row r="6194" spans="1:8" s="28" customFormat="1" x14ac:dyDescent="0.25">
      <c r="A6194" s="29"/>
      <c r="B6194" s="15"/>
      <c r="C6194" s="19"/>
      <c r="D6194" s="19"/>
      <c r="E6194" s="19"/>
      <c r="F6194" s="19"/>
      <c r="G6194" s="19"/>
      <c r="H6194" s="82"/>
    </row>
    <row r="6195" spans="1:8" s="28" customFormat="1" x14ac:dyDescent="0.25">
      <c r="A6195" s="29"/>
      <c r="B6195" s="15"/>
      <c r="C6195" s="19"/>
      <c r="D6195" s="19"/>
      <c r="E6195" s="19"/>
      <c r="F6195" s="19"/>
      <c r="G6195" s="19"/>
      <c r="H6195" s="82"/>
    </row>
    <row r="6196" spans="1:8" s="28" customFormat="1" x14ac:dyDescent="0.25">
      <c r="A6196" s="29"/>
      <c r="B6196" s="15"/>
      <c r="C6196" s="19"/>
      <c r="D6196" s="19"/>
      <c r="E6196" s="19"/>
      <c r="F6196" s="19"/>
      <c r="G6196" s="19"/>
      <c r="H6196" s="82"/>
    </row>
    <row r="6197" spans="1:8" s="28" customFormat="1" x14ac:dyDescent="0.25">
      <c r="A6197" s="29"/>
      <c r="B6197" s="15"/>
      <c r="C6197" s="19"/>
      <c r="D6197" s="19"/>
      <c r="E6197" s="19"/>
      <c r="F6197" s="19"/>
      <c r="G6197" s="19"/>
      <c r="H6197" s="82"/>
    </row>
    <row r="6198" spans="1:8" s="28" customFormat="1" x14ac:dyDescent="0.25">
      <c r="A6198" s="29"/>
      <c r="B6198" s="15"/>
      <c r="C6198" s="19"/>
      <c r="D6198" s="19"/>
      <c r="E6198" s="19"/>
      <c r="F6198" s="19"/>
      <c r="G6198" s="19"/>
      <c r="H6198" s="82"/>
    </row>
    <row r="6199" spans="1:8" s="28" customFormat="1" x14ac:dyDescent="0.25">
      <c r="A6199" s="29"/>
      <c r="B6199" s="15"/>
      <c r="C6199" s="19"/>
      <c r="D6199" s="19"/>
      <c r="E6199" s="19"/>
      <c r="F6199" s="19"/>
      <c r="G6199" s="19"/>
      <c r="H6199" s="82"/>
    </row>
    <row r="6200" spans="1:8" s="28" customFormat="1" x14ac:dyDescent="0.25">
      <c r="A6200" s="29"/>
      <c r="B6200" s="15"/>
      <c r="C6200" s="19"/>
      <c r="D6200" s="19"/>
      <c r="E6200" s="19"/>
      <c r="F6200" s="19"/>
      <c r="G6200" s="19"/>
      <c r="H6200" s="82"/>
    </row>
    <row r="6201" spans="1:8" s="28" customFormat="1" x14ac:dyDescent="0.25">
      <c r="A6201" s="29"/>
      <c r="B6201" s="15"/>
      <c r="C6201" s="19"/>
      <c r="D6201" s="19"/>
      <c r="E6201" s="19"/>
      <c r="F6201" s="19"/>
      <c r="G6201" s="19"/>
      <c r="H6201" s="82"/>
    </row>
    <row r="6202" spans="1:8" s="28" customFormat="1" x14ac:dyDescent="0.25">
      <c r="A6202" s="29"/>
      <c r="B6202" s="15"/>
      <c r="C6202" s="19"/>
      <c r="D6202" s="19"/>
      <c r="E6202" s="19"/>
      <c r="F6202" s="19"/>
      <c r="G6202" s="19"/>
      <c r="H6202" s="82"/>
    </row>
    <row r="6203" spans="1:8" s="28" customFormat="1" x14ac:dyDescent="0.25">
      <c r="A6203" s="29"/>
      <c r="B6203" s="15"/>
      <c r="C6203" s="19"/>
      <c r="D6203" s="19"/>
      <c r="E6203" s="19"/>
      <c r="F6203" s="19"/>
      <c r="G6203" s="19"/>
      <c r="H6203" s="82"/>
    </row>
    <row r="6204" spans="1:8" s="28" customFormat="1" x14ac:dyDescent="0.25">
      <c r="A6204" s="29"/>
      <c r="B6204" s="15"/>
      <c r="C6204" s="19"/>
      <c r="D6204" s="19"/>
      <c r="E6204" s="19"/>
      <c r="F6204" s="19"/>
      <c r="G6204" s="19"/>
      <c r="H6204" s="82"/>
    </row>
    <row r="6205" spans="1:8" s="28" customFormat="1" x14ac:dyDescent="0.25">
      <c r="A6205" s="29"/>
      <c r="B6205" s="15"/>
      <c r="C6205" s="19"/>
      <c r="D6205" s="19"/>
      <c r="E6205" s="19"/>
      <c r="F6205" s="19"/>
      <c r="G6205" s="19"/>
      <c r="H6205" s="82"/>
    </row>
    <row r="6206" spans="1:8" s="28" customFormat="1" x14ac:dyDescent="0.25">
      <c r="A6206" s="29"/>
      <c r="B6206" s="15"/>
      <c r="C6206" s="19"/>
      <c r="D6206" s="19"/>
      <c r="E6206" s="19"/>
      <c r="F6206" s="19"/>
      <c r="G6206" s="19"/>
      <c r="H6206" s="82"/>
    </row>
    <row r="6207" spans="1:8" s="28" customFormat="1" x14ac:dyDescent="0.25">
      <c r="A6207" s="29"/>
      <c r="B6207" s="15"/>
      <c r="C6207" s="19"/>
      <c r="D6207" s="19"/>
      <c r="E6207" s="19"/>
      <c r="F6207" s="19"/>
      <c r="G6207" s="19"/>
      <c r="H6207" s="82"/>
    </row>
    <row r="6208" spans="1:8" s="28" customFormat="1" x14ac:dyDescent="0.25">
      <c r="A6208" s="29"/>
      <c r="B6208" s="15"/>
      <c r="C6208" s="19"/>
      <c r="D6208" s="19"/>
      <c r="E6208" s="19"/>
      <c r="F6208" s="19"/>
      <c r="G6208" s="19"/>
      <c r="H6208" s="82"/>
    </row>
    <row r="6209" spans="1:8" s="28" customFormat="1" x14ac:dyDescent="0.25">
      <c r="A6209" s="29"/>
      <c r="B6209" s="15"/>
      <c r="C6209" s="19"/>
      <c r="D6209" s="19"/>
      <c r="E6209" s="19"/>
      <c r="F6209" s="19"/>
      <c r="G6209" s="19"/>
      <c r="H6209" s="82"/>
    </row>
    <row r="6210" spans="1:8" s="28" customFormat="1" x14ac:dyDescent="0.25">
      <c r="A6210" s="29"/>
      <c r="B6210" s="15"/>
      <c r="C6210" s="19"/>
      <c r="D6210" s="19"/>
      <c r="E6210" s="19"/>
      <c r="F6210" s="19"/>
      <c r="G6210" s="19"/>
      <c r="H6210" s="82"/>
    </row>
    <row r="6211" spans="1:8" s="28" customFormat="1" x14ac:dyDescent="0.25">
      <c r="A6211" s="29"/>
      <c r="B6211" s="15"/>
      <c r="C6211" s="19"/>
      <c r="D6211" s="19"/>
      <c r="E6211" s="19"/>
      <c r="F6211" s="19"/>
      <c r="G6211" s="19"/>
      <c r="H6211" s="82"/>
    </row>
    <row r="6212" spans="1:8" s="28" customFormat="1" x14ac:dyDescent="0.25">
      <c r="A6212" s="29"/>
      <c r="B6212" s="15"/>
      <c r="C6212" s="19"/>
      <c r="D6212" s="19"/>
      <c r="E6212" s="19"/>
      <c r="F6212" s="19"/>
      <c r="G6212" s="19"/>
      <c r="H6212" s="82"/>
    </row>
    <row r="6213" spans="1:8" s="28" customFormat="1" x14ac:dyDescent="0.25">
      <c r="A6213" s="29"/>
      <c r="B6213" s="15"/>
      <c r="C6213" s="19"/>
      <c r="D6213" s="19"/>
      <c r="E6213" s="19"/>
      <c r="F6213" s="19"/>
      <c r="G6213" s="19"/>
      <c r="H6213" s="82"/>
    </row>
    <row r="6214" spans="1:8" s="28" customFormat="1" x14ac:dyDescent="0.25">
      <c r="A6214" s="29"/>
      <c r="B6214" s="15"/>
      <c r="C6214" s="19"/>
      <c r="D6214" s="19"/>
      <c r="E6214" s="19"/>
      <c r="F6214" s="19"/>
      <c r="G6214" s="19"/>
      <c r="H6214" s="82"/>
    </row>
    <row r="6215" spans="1:8" s="28" customFormat="1" x14ac:dyDescent="0.25">
      <c r="A6215" s="29"/>
      <c r="B6215" s="15"/>
      <c r="C6215" s="19"/>
      <c r="D6215" s="19"/>
      <c r="E6215" s="19"/>
      <c r="F6215" s="19"/>
      <c r="G6215" s="19"/>
      <c r="H6215" s="82"/>
    </row>
    <row r="6216" spans="1:8" s="28" customFormat="1" x14ac:dyDescent="0.25">
      <c r="A6216" s="29"/>
      <c r="B6216" s="15"/>
      <c r="C6216" s="19"/>
      <c r="D6216" s="19"/>
      <c r="E6216" s="19"/>
      <c r="F6216" s="19"/>
      <c r="G6216" s="19"/>
      <c r="H6216" s="82"/>
    </row>
    <row r="6217" spans="1:8" s="28" customFormat="1" x14ac:dyDescent="0.25">
      <c r="A6217" s="29"/>
      <c r="B6217" s="15"/>
      <c r="C6217" s="19"/>
      <c r="D6217" s="19"/>
      <c r="E6217" s="19"/>
      <c r="F6217" s="19"/>
      <c r="G6217" s="19"/>
      <c r="H6217" s="82"/>
    </row>
    <row r="6218" spans="1:8" s="28" customFormat="1" x14ac:dyDescent="0.25">
      <c r="A6218" s="29"/>
      <c r="B6218" s="15"/>
      <c r="C6218" s="19"/>
      <c r="D6218" s="19"/>
      <c r="E6218" s="19"/>
      <c r="F6218" s="19"/>
      <c r="G6218" s="19"/>
      <c r="H6218" s="82"/>
    </row>
    <row r="6219" spans="1:8" s="28" customFormat="1" x14ac:dyDescent="0.25">
      <c r="A6219" s="29"/>
      <c r="B6219" s="15"/>
      <c r="C6219" s="19"/>
      <c r="D6219" s="19"/>
      <c r="E6219" s="19"/>
      <c r="F6219" s="19"/>
      <c r="G6219" s="19"/>
      <c r="H6219" s="82"/>
    </row>
    <row r="6220" spans="1:8" s="28" customFormat="1" x14ac:dyDescent="0.25">
      <c r="A6220" s="29"/>
      <c r="B6220" s="15"/>
      <c r="C6220" s="19"/>
      <c r="D6220" s="19"/>
      <c r="E6220" s="19"/>
      <c r="F6220" s="19"/>
      <c r="G6220" s="19"/>
      <c r="H6220" s="82"/>
    </row>
    <row r="6221" spans="1:8" s="28" customFormat="1" x14ac:dyDescent="0.25">
      <c r="A6221" s="29"/>
      <c r="B6221" s="15"/>
      <c r="C6221" s="19"/>
      <c r="D6221" s="19"/>
      <c r="E6221" s="19"/>
      <c r="F6221" s="19"/>
      <c r="G6221" s="19"/>
      <c r="H6221" s="82"/>
    </row>
    <row r="6222" spans="1:8" s="28" customFormat="1" x14ac:dyDescent="0.25">
      <c r="A6222" s="29"/>
      <c r="B6222" s="15"/>
      <c r="C6222" s="19"/>
      <c r="D6222" s="19"/>
      <c r="E6222" s="19"/>
      <c r="F6222" s="19"/>
      <c r="G6222" s="19"/>
      <c r="H6222" s="82"/>
    </row>
    <row r="6223" spans="1:8" s="28" customFormat="1" x14ac:dyDescent="0.25">
      <c r="A6223" s="29"/>
      <c r="B6223" s="15"/>
      <c r="C6223" s="19"/>
      <c r="D6223" s="19"/>
      <c r="E6223" s="19"/>
      <c r="F6223" s="19"/>
      <c r="G6223" s="19"/>
      <c r="H6223" s="82"/>
    </row>
    <row r="6224" spans="1:8" s="28" customFormat="1" x14ac:dyDescent="0.25">
      <c r="A6224" s="29"/>
      <c r="B6224" s="15"/>
      <c r="C6224" s="19"/>
      <c r="D6224" s="19"/>
      <c r="E6224" s="19"/>
      <c r="F6224" s="19"/>
      <c r="G6224" s="19"/>
      <c r="H6224" s="82"/>
    </row>
    <row r="6225" spans="1:8" s="28" customFormat="1" x14ac:dyDescent="0.25">
      <c r="A6225" s="29"/>
      <c r="B6225" s="15"/>
      <c r="C6225" s="19"/>
      <c r="D6225" s="19"/>
      <c r="E6225" s="19"/>
      <c r="F6225" s="19"/>
      <c r="G6225" s="19"/>
      <c r="H6225" s="82"/>
    </row>
    <row r="6226" spans="1:8" s="28" customFormat="1" x14ac:dyDescent="0.25">
      <c r="A6226" s="29"/>
      <c r="B6226" s="15"/>
      <c r="C6226" s="19"/>
      <c r="D6226" s="19"/>
      <c r="E6226" s="19"/>
      <c r="F6226" s="19"/>
      <c r="G6226" s="19"/>
      <c r="H6226" s="82"/>
    </row>
    <row r="6227" spans="1:8" s="28" customFormat="1" x14ac:dyDescent="0.25">
      <c r="A6227" s="29"/>
      <c r="B6227" s="15"/>
      <c r="C6227" s="19"/>
      <c r="D6227" s="19"/>
      <c r="E6227" s="19"/>
      <c r="F6227" s="19"/>
      <c r="G6227" s="19"/>
      <c r="H6227" s="82"/>
    </row>
    <row r="6228" spans="1:8" s="28" customFormat="1" x14ac:dyDescent="0.25">
      <c r="A6228" s="29"/>
      <c r="B6228" s="15"/>
      <c r="C6228" s="19"/>
      <c r="D6228" s="19"/>
      <c r="E6228" s="19"/>
      <c r="F6228" s="19"/>
      <c r="G6228" s="19"/>
      <c r="H6228" s="82"/>
    </row>
    <row r="6229" spans="1:8" s="28" customFormat="1" x14ac:dyDescent="0.25">
      <c r="A6229" s="29"/>
      <c r="B6229" s="15"/>
      <c r="C6229" s="19"/>
      <c r="D6229" s="19"/>
      <c r="E6229" s="19"/>
      <c r="F6229" s="19"/>
      <c r="G6229" s="19"/>
      <c r="H6229" s="82"/>
    </row>
    <row r="6230" spans="1:8" s="28" customFormat="1" x14ac:dyDescent="0.25">
      <c r="A6230" s="29"/>
      <c r="B6230" s="15"/>
      <c r="C6230" s="19"/>
      <c r="D6230" s="19"/>
      <c r="E6230" s="19"/>
      <c r="F6230" s="19"/>
      <c r="G6230" s="19"/>
      <c r="H6230" s="82"/>
    </row>
    <row r="6231" spans="1:8" s="28" customFormat="1" x14ac:dyDescent="0.25">
      <c r="A6231" s="29"/>
      <c r="B6231" s="15"/>
      <c r="C6231" s="19"/>
      <c r="D6231" s="19"/>
      <c r="E6231" s="19"/>
      <c r="F6231" s="19"/>
      <c r="G6231" s="19"/>
      <c r="H6231" s="82"/>
    </row>
    <row r="6232" spans="1:8" s="28" customFormat="1" x14ac:dyDescent="0.25">
      <c r="A6232" s="29"/>
      <c r="B6232" s="15"/>
      <c r="C6232" s="19"/>
      <c r="D6232" s="19"/>
      <c r="E6232" s="19"/>
      <c r="F6232" s="19"/>
      <c r="G6232" s="19"/>
      <c r="H6232" s="82"/>
    </row>
    <row r="6233" spans="1:8" s="28" customFormat="1" x14ac:dyDescent="0.25">
      <c r="A6233" s="29"/>
      <c r="B6233" s="15"/>
      <c r="C6233" s="19"/>
      <c r="D6233" s="19"/>
      <c r="E6233" s="19"/>
      <c r="F6233" s="19"/>
      <c r="G6233" s="19"/>
      <c r="H6233" s="82"/>
    </row>
    <row r="6234" spans="1:8" s="28" customFormat="1" x14ac:dyDescent="0.25">
      <c r="A6234" s="29"/>
      <c r="B6234" s="15"/>
      <c r="C6234" s="19"/>
      <c r="D6234" s="19"/>
      <c r="E6234" s="19"/>
      <c r="F6234" s="19"/>
      <c r="G6234" s="19"/>
      <c r="H6234" s="82"/>
    </row>
    <row r="6235" spans="1:8" s="28" customFormat="1" x14ac:dyDescent="0.25">
      <c r="A6235" s="29"/>
      <c r="B6235" s="15"/>
      <c r="C6235" s="19"/>
      <c r="D6235" s="19"/>
      <c r="E6235" s="19"/>
      <c r="F6235" s="19"/>
      <c r="G6235" s="19"/>
      <c r="H6235" s="82"/>
    </row>
    <row r="6236" spans="1:8" s="28" customFormat="1" x14ac:dyDescent="0.25">
      <c r="A6236" s="29"/>
      <c r="B6236" s="15"/>
      <c r="C6236" s="19"/>
      <c r="D6236" s="19"/>
      <c r="E6236" s="19"/>
      <c r="F6236" s="19"/>
      <c r="G6236" s="19"/>
      <c r="H6236" s="82"/>
    </row>
    <row r="6237" spans="1:8" s="28" customFormat="1" x14ac:dyDescent="0.25">
      <c r="A6237" s="29"/>
      <c r="B6237" s="15"/>
      <c r="C6237" s="19"/>
      <c r="D6237" s="19"/>
      <c r="E6237" s="19"/>
      <c r="F6237" s="19"/>
      <c r="G6237" s="19"/>
      <c r="H6237" s="82"/>
    </row>
    <row r="6238" spans="1:8" s="28" customFormat="1" x14ac:dyDescent="0.25">
      <c r="A6238" s="29"/>
      <c r="B6238" s="15"/>
      <c r="C6238" s="19"/>
      <c r="D6238" s="19"/>
      <c r="E6238" s="19"/>
      <c r="F6238" s="19"/>
      <c r="G6238" s="19"/>
      <c r="H6238" s="82"/>
    </row>
    <row r="6239" spans="1:8" s="28" customFormat="1" x14ac:dyDescent="0.25">
      <c r="A6239" s="29"/>
      <c r="B6239" s="15"/>
      <c r="C6239" s="19"/>
      <c r="D6239" s="19"/>
      <c r="E6239" s="19"/>
      <c r="F6239" s="19"/>
      <c r="G6239" s="19"/>
      <c r="H6239" s="82"/>
    </row>
    <row r="6240" spans="1:8" s="28" customFormat="1" x14ac:dyDescent="0.25">
      <c r="A6240" s="29"/>
      <c r="B6240" s="15"/>
      <c r="C6240" s="19"/>
      <c r="D6240" s="19"/>
      <c r="E6240" s="19"/>
      <c r="F6240" s="19"/>
      <c r="G6240" s="19"/>
      <c r="H6240" s="82"/>
    </row>
    <row r="6241" spans="1:8" s="28" customFormat="1" x14ac:dyDescent="0.25">
      <c r="A6241" s="29"/>
      <c r="B6241" s="15"/>
      <c r="C6241" s="19"/>
      <c r="D6241" s="19"/>
      <c r="E6241" s="19"/>
      <c r="F6241" s="19"/>
      <c r="G6241" s="19"/>
      <c r="H6241" s="82"/>
    </row>
    <row r="6242" spans="1:8" s="28" customFormat="1" x14ac:dyDescent="0.25">
      <c r="A6242" s="29"/>
      <c r="B6242" s="15"/>
      <c r="C6242" s="19"/>
      <c r="D6242" s="19"/>
      <c r="E6242" s="19"/>
      <c r="F6242" s="19"/>
      <c r="G6242" s="19"/>
      <c r="H6242" s="82"/>
    </row>
    <row r="6243" spans="1:8" s="28" customFormat="1" x14ac:dyDescent="0.25">
      <c r="A6243" s="29"/>
      <c r="B6243" s="15"/>
      <c r="C6243" s="19"/>
      <c r="D6243" s="19"/>
      <c r="E6243" s="19"/>
      <c r="F6243" s="19"/>
      <c r="G6243" s="19"/>
      <c r="H6243" s="82"/>
    </row>
    <row r="6244" spans="1:8" s="28" customFormat="1" x14ac:dyDescent="0.25">
      <c r="A6244" s="29"/>
      <c r="B6244" s="15"/>
      <c r="C6244" s="19"/>
      <c r="D6244" s="19"/>
      <c r="E6244" s="19"/>
      <c r="F6244" s="19"/>
      <c r="G6244" s="19"/>
      <c r="H6244" s="82"/>
    </row>
    <row r="6245" spans="1:8" s="28" customFormat="1" x14ac:dyDescent="0.25">
      <c r="A6245" s="29"/>
      <c r="B6245" s="15"/>
      <c r="C6245" s="19"/>
      <c r="D6245" s="19"/>
      <c r="E6245" s="19"/>
      <c r="F6245" s="19"/>
      <c r="G6245" s="19"/>
      <c r="H6245" s="82"/>
    </row>
    <row r="6246" spans="1:8" s="28" customFormat="1" x14ac:dyDescent="0.25">
      <c r="A6246" s="29"/>
      <c r="B6246" s="15"/>
      <c r="C6246" s="19"/>
      <c r="D6246" s="19"/>
      <c r="E6246" s="19"/>
      <c r="F6246" s="19"/>
      <c r="G6246" s="19"/>
      <c r="H6246" s="82"/>
    </row>
    <row r="6247" spans="1:8" s="28" customFormat="1" x14ac:dyDescent="0.25">
      <c r="A6247" s="29"/>
      <c r="B6247" s="15"/>
      <c r="C6247" s="19"/>
      <c r="D6247" s="19"/>
      <c r="E6247" s="19"/>
      <c r="F6247" s="19"/>
      <c r="G6247" s="19"/>
      <c r="H6247" s="82"/>
    </row>
    <row r="6248" spans="1:8" s="28" customFormat="1" x14ac:dyDescent="0.25">
      <c r="A6248" s="29"/>
      <c r="B6248" s="15"/>
      <c r="C6248" s="19"/>
      <c r="D6248" s="19"/>
      <c r="E6248" s="19"/>
      <c r="F6248" s="19"/>
      <c r="G6248" s="19"/>
      <c r="H6248" s="82"/>
    </row>
    <row r="6249" spans="1:8" s="28" customFormat="1" x14ac:dyDescent="0.25">
      <c r="A6249" s="29"/>
      <c r="B6249" s="15"/>
      <c r="C6249" s="19"/>
      <c r="D6249" s="19"/>
      <c r="E6249" s="19"/>
      <c r="F6249" s="19"/>
      <c r="G6249" s="19"/>
      <c r="H6249" s="82"/>
    </row>
    <row r="6250" spans="1:8" s="28" customFormat="1" x14ac:dyDescent="0.25">
      <c r="A6250" s="29"/>
      <c r="B6250" s="15"/>
      <c r="C6250" s="19"/>
      <c r="D6250" s="19"/>
      <c r="E6250" s="19"/>
      <c r="F6250" s="19"/>
      <c r="G6250" s="19"/>
      <c r="H6250" s="82"/>
    </row>
    <row r="6251" spans="1:8" s="28" customFormat="1" x14ac:dyDescent="0.25">
      <c r="A6251" s="29"/>
      <c r="B6251" s="15"/>
      <c r="C6251" s="19"/>
      <c r="D6251" s="19"/>
      <c r="E6251" s="19"/>
      <c r="F6251" s="19"/>
      <c r="G6251" s="19"/>
      <c r="H6251" s="82"/>
    </row>
    <row r="6252" spans="1:8" s="28" customFormat="1" x14ac:dyDescent="0.25">
      <c r="A6252" s="29"/>
      <c r="B6252" s="15"/>
      <c r="C6252" s="19"/>
      <c r="D6252" s="19"/>
      <c r="E6252" s="19"/>
      <c r="F6252" s="19"/>
      <c r="G6252" s="19"/>
      <c r="H6252" s="82"/>
    </row>
    <row r="6253" spans="1:8" s="28" customFormat="1" x14ac:dyDescent="0.25">
      <c r="A6253" s="29"/>
      <c r="B6253" s="15"/>
      <c r="C6253" s="19"/>
      <c r="D6253" s="19"/>
      <c r="E6253" s="19"/>
      <c r="F6253" s="19"/>
      <c r="G6253" s="19"/>
      <c r="H6253" s="82"/>
    </row>
    <row r="6254" spans="1:8" s="28" customFormat="1" x14ac:dyDescent="0.25">
      <c r="A6254" s="29"/>
      <c r="B6254" s="15"/>
      <c r="C6254" s="19"/>
      <c r="D6254" s="19"/>
      <c r="E6254" s="19"/>
      <c r="F6254" s="19"/>
      <c r="G6254" s="19"/>
      <c r="H6254" s="82"/>
    </row>
    <row r="6255" spans="1:8" s="28" customFormat="1" x14ac:dyDescent="0.25">
      <c r="A6255" s="29"/>
      <c r="B6255" s="15"/>
      <c r="C6255" s="19"/>
      <c r="D6255" s="19"/>
      <c r="E6255" s="19"/>
      <c r="F6255" s="19"/>
      <c r="G6255" s="19"/>
      <c r="H6255" s="82"/>
    </row>
    <row r="6256" spans="1:8" s="28" customFormat="1" x14ac:dyDescent="0.25">
      <c r="A6256" s="29"/>
      <c r="B6256" s="15"/>
      <c r="C6256" s="19"/>
      <c r="D6256" s="19"/>
      <c r="E6256" s="19"/>
      <c r="F6256" s="19"/>
      <c r="G6256" s="19"/>
      <c r="H6256" s="82"/>
    </row>
    <row r="6257" spans="1:8" s="28" customFormat="1" x14ac:dyDescent="0.25">
      <c r="A6257" s="29"/>
      <c r="B6257" s="15"/>
      <c r="C6257" s="19"/>
      <c r="D6257" s="19"/>
      <c r="E6257" s="19"/>
      <c r="F6257" s="19"/>
      <c r="G6257" s="19"/>
      <c r="H6257" s="82"/>
    </row>
    <row r="6258" spans="1:8" s="28" customFormat="1" x14ac:dyDescent="0.25">
      <c r="A6258" s="29"/>
      <c r="B6258" s="15"/>
      <c r="C6258" s="19"/>
      <c r="D6258" s="19"/>
      <c r="E6258" s="19"/>
      <c r="F6258" s="19"/>
      <c r="G6258" s="19"/>
      <c r="H6258" s="82"/>
    </row>
    <row r="6259" spans="1:8" s="28" customFormat="1" x14ac:dyDescent="0.25">
      <c r="A6259" s="29"/>
      <c r="B6259" s="15"/>
      <c r="C6259" s="19"/>
      <c r="D6259" s="19"/>
      <c r="E6259" s="19"/>
      <c r="F6259" s="19"/>
      <c r="G6259" s="19"/>
      <c r="H6259" s="82"/>
    </row>
    <row r="6260" spans="1:8" s="28" customFormat="1" x14ac:dyDescent="0.25">
      <c r="A6260" s="29"/>
      <c r="B6260" s="15"/>
      <c r="C6260" s="19"/>
      <c r="D6260" s="19"/>
      <c r="E6260" s="19"/>
      <c r="F6260" s="19"/>
      <c r="G6260" s="19"/>
      <c r="H6260" s="82"/>
    </row>
    <row r="6261" spans="1:8" s="28" customFormat="1" x14ac:dyDescent="0.25">
      <c r="A6261" s="29"/>
      <c r="B6261" s="15"/>
      <c r="C6261" s="19"/>
      <c r="D6261" s="19"/>
      <c r="E6261" s="19"/>
      <c r="F6261" s="19"/>
      <c r="G6261" s="19"/>
      <c r="H6261" s="82"/>
    </row>
    <row r="6262" spans="1:8" s="28" customFormat="1" x14ac:dyDescent="0.25">
      <c r="A6262" s="29"/>
      <c r="B6262" s="15"/>
      <c r="C6262" s="19"/>
      <c r="D6262" s="19"/>
      <c r="E6262" s="19"/>
      <c r="F6262" s="19"/>
      <c r="G6262" s="19"/>
      <c r="H6262" s="82"/>
    </row>
    <row r="6263" spans="1:8" s="28" customFormat="1" x14ac:dyDescent="0.25">
      <c r="A6263" s="29"/>
      <c r="B6263" s="15"/>
      <c r="C6263" s="19"/>
      <c r="D6263" s="19"/>
      <c r="E6263" s="19"/>
      <c r="F6263" s="19"/>
      <c r="G6263" s="19"/>
      <c r="H6263" s="82"/>
    </row>
    <row r="6264" spans="1:8" s="28" customFormat="1" x14ac:dyDescent="0.25">
      <c r="A6264" s="29"/>
      <c r="B6264" s="15"/>
      <c r="C6264" s="19"/>
      <c r="D6264" s="19"/>
      <c r="E6264" s="19"/>
      <c r="F6264" s="19"/>
      <c r="G6264" s="19"/>
      <c r="H6264" s="82"/>
    </row>
    <row r="6265" spans="1:8" s="28" customFormat="1" x14ac:dyDescent="0.25">
      <c r="A6265" s="29"/>
      <c r="B6265" s="15"/>
      <c r="C6265" s="19"/>
      <c r="D6265" s="19"/>
      <c r="E6265" s="19"/>
      <c r="F6265" s="19"/>
      <c r="G6265" s="19"/>
      <c r="H6265" s="82"/>
    </row>
    <row r="6266" spans="1:8" s="28" customFormat="1" x14ac:dyDescent="0.25">
      <c r="A6266" s="29"/>
      <c r="B6266" s="15"/>
      <c r="C6266" s="19"/>
      <c r="D6266" s="19"/>
      <c r="E6266" s="19"/>
      <c r="F6266" s="19"/>
      <c r="G6266" s="19"/>
      <c r="H6266" s="82"/>
    </row>
    <row r="6267" spans="1:8" s="28" customFormat="1" x14ac:dyDescent="0.25">
      <c r="A6267" s="29"/>
      <c r="B6267" s="15"/>
      <c r="C6267" s="19"/>
      <c r="D6267" s="19"/>
      <c r="E6267" s="19"/>
      <c r="F6267" s="19"/>
      <c r="G6267" s="19"/>
      <c r="H6267" s="82"/>
    </row>
    <row r="6268" spans="1:8" s="28" customFormat="1" x14ac:dyDescent="0.25">
      <c r="A6268" s="29"/>
      <c r="B6268" s="15"/>
      <c r="C6268" s="19"/>
      <c r="D6268" s="19"/>
      <c r="E6268" s="19"/>
      <c r="F6268" s="19"/>
      <c r="G6268" s="19"/>
      <c r="H6268" s="82"/>
    </row>
    <row r="6269" spans="1:8" s="28" customFormat="1" x14ac:dyDescent="0.25">
      <c r="A6269" s="29"/>
      <c r="B6269" s="15"/>
      <c r="C6269" s="19"/>
      <c r="D6269" s="19"/>
      <c r="E6269" s="19"/>
      <c r="F6269" s="19"/>
      <c r="G6269" s="19"/>
      <c r="H6269" s="82"/>
    </row>
    <row r="6270" spans="1:8" s="28" customFormat="1" x14ac:dyDescent="0.25">
      <c r="A6270" s="29"/>
      <c r="B6270" s="15"/>
      <c r="C6270" s="19"/>
      <c r="D6270" s="19"/>
      <c r="E6270" s="19"/>
      <c r="F6270" s="19"/>
      <c r="G6270" s="19"/>
      <c r="H6270" s="82"/>
    </row>
    <row r="6271" spans="1:8" s="28" customFormat="1" x14ac:dyDescent="0.25">
      <c r="A6271" s="29"/>
      <c r="B6271" s="15"/>
      <c r="C6271" s="19"/>
      <c r="D6271" s="19"/>
      <c r="E6271" s="19"/>
      <c r="F6271" s="19"/>
      <c r="G6271" s="19"/>
      <c r="H6271" s="82"/>
    </row>
    <row r="6272" spans="1:8" s="28" customFormat="1" x14ac:dyDescent="0.25">
      <c r="A6272" s="29"/>
      <c r="B6272" s="15"/>
      <c r="C6272" s="19"/>
      <c r="D6272" s="19"/>
      <c r="E6272" s="19"/>
      <c r="F6272" s="19"/>
      <c r="G6272" s="19"/>
      <c r="H6272" s="82"/>
    </row>
    <row r="6273" spans="1:8" s="28" customFormat="1" x14ac:dyDescent="0.25">
      <c r="A6273" s="29"/>
      <c r="B6273" s="15"/>
      <c r="C6273" s="19"/>
      <c r="D6273" s="19"/>
      <c r="E6273" s="19"/>
      <c r="F6273" s="19"/>
      <c r="G6273" s="19"/>
      <c r="H6273" s="82"/>
    </row>
    <row r="6274" spans="1:8" s="28" customFormat="1" x14ac:dyDescent="0.25">
      <c r="A6274" s="29"/>
      <c r="B6274" s="15"/>
      <c r="C6274" s="19"/>
      <c r="D6274" s="19"/>
      <c r="E6274" s="19"/>
      <c r="F6274" s="19"/>
      <c r="G6274" s="19"/>
      <c r="H6274" s="82"/>
    </row>
    <row r="6275" spans="1:8" s="28" customFormat="1" x14ac:dyDescent="0.25">
      <c r="A6275" s="29"/>
      <c r="B6275" s="15"/>
      <c r="C6275" s="19"/>
      <c r="D6275" s="19"/>
      <c r="E6275" s="19"/>
      <c r="F6275" s="19"/>
      <c r="G6275" s="19"/>
      <c r="H6275" s="82"/>
    </row>
    <row r="6276" spans="1:8" s="28" customFormat="1" x14ac:dyDescent="0.25">
      <c r="A6276" s="29"/>
      <c r="B6276" s="15"/>
      <c r="C6276" s="19"/>
      <c r="D6276" s="19"/>
      <c r="E6276" s="19"/>
      <c r="F6276" s="19"/>
      <c r="G6276" s="19"/>
      <c r="H6276" s="82"/>
    </row>
    <row r="6277" spans="1:8" s="28" customFormat="1" x14ac:dyDescent="0.25">
      <c r="A6277" s="29"/>
      <c r="B6277" s="15"/>
      <c r="C6277" s="19"/>
      <c r="D6277" s="19"/>
      <c r="E6277" s="19"/>
      <c r="F6277" s="19"/>
      <c r="G6277" s="19"/>
      <c r="H6277" s="82"/>
    </row>
    <row r="6278" spans="1:8" s="28" customFormat="1" x14ac:dyDescent="0.25">
      <c r="A6278" s="29"/>
      <c r="B6278" s="15"/>
      <c r="C6278" s="19"/>
      <c r="D6278" s="19"/>
      <c r="E6278" s="19"/>
      <c r="F6278" s="19"/>
      <c r="G6278" s="19"/>
      <c r="H6278" s="82"/>
    </row>
    <row r="6279" spans="1:8" s="28" customFormat="1" x14ac:dyDescent="0.25">
      <c r="A6279" s="29"/>
      <c r="B6279" s="15"/>
      <c r="C6279" s="19"/>
      <c r="D6279" s="19"/>
      <c r="E6279" s="19"/>
      <c r="F6279" s="19"/>
      <c r="G6279" s="19"/>
      <c r="H6279" s="82"/>
    </row>
    <row r="6280" spans="1:8" s="28" customFormat="1" x14ac:dyDescent="0.25">
      <c r="A6280" s="29"/>
      <c r="B6280" s="15"/>
      <c r="C6280" s="19"/>
      <c r="D6280" s="19"/>
      <c r="E6280" s="19"/>
      <c r="F6280" s="19"/>
      <c r="G6280" s="19"/>
      <c r="H6280" s="82"/>
    </row>
    <row r="6281" spans="1:8" s="28" customFormat="1" x14ac:dyDescent="0.25">
      <c r="A6281" s="29"/>
      <c r="B6281" s="15"/>
      <c r="C6281" s="19"/>
      <c r="D6281" s="19"/>
      <c r="E6281" s="19"/>
      <c r="F6281" s="19"/>
      <c r="G6281" s="19"/>
      <c r="H6281" s="82"/>
    </row>
    <row r="6282" spans="1:8" s="28" customFormat="1" x14ac:dyDescent="0.25">
      <c r="A6282" s="29"/>
      <c r="B6282" s="15"/>
      <c r="C6282" s="19"/>
      <c r="D6282" s="19"/>
      <c r="E6282" s="19"/>
      <c r="F6282" s="19"/>
      <c r="G6282" s="19"/>
      <c r="H6282" s="82"/>
    </row>
    <row r="6283" spans="1:8" s="28" customFormat="1" x14ac:dyDescent="0.25">
      <c r="A6283" s="29"/>
      <c r="B6283" s="15"/>
      <c r="C6283" s="19"/>
      <c r="D6283" s="19"/>
      <c r="E6283" s="19"/>
      <c r="F6283" s="19"/>
      <c r="G6283" s="19"/>
      <c r="H6283" s="82"/>
    </row>
    <row r="6284" spans="1:8" s="28" customFormat="1" x14ac:dyDescent="0.25">
      <c r="A6284" s="29"/>
      <c r="B6284" s="15"/>
      <c r="C6284" s="19"/>
      <c r="D6284" s="19"/>
      <c r="E6284" s="19"/>
      <c r="F6284" s="19"/>
      <c r="G6284" s="19"/>
      <c r="H6284" s="82"/>
    </row>
    <row r="6285" spans="1:8" s="28" customFormat="1" x14ac:dyDescent="0.25">
      <c r="A6285" s="29"/>
      <c r="B6285" s="15"/>
      <c r="C6285" s="19"/>
      <c r="D6285" s="19"/>
      <c r="E6285" s="19"/>
      <c r="F6285" s="19"/>
      <c r="G6285" s="19"/>
      <c r="H6285" s="82"/>
    </row>
    <row r="6286" spans="1:8" s="28" customFormat="1" x14ac:dyDescent="0.25">
      <c r="A6286" s="29"/>
      <c r="B6286" s="15"/>
      <c r="C6286" s="19"/>
      <c r="D6286" s="19"/>
      <c r="E6286" s="19"/>
      <c r="F6286" s="19"/>
      <c r="G6286" s="19"/>
      <c r="H6286" s="82"/>
    </row>
    <row r="6287" spans="1:8" s="28" customFormat="1" x14ac:dyDescent="0.25">
      <c r="A6287" s="29"/>
      <c r="B6287" s="15"/>
      <c r="C6287" s="19"/>
      <c r="D6287" s="19"/>
      <c r="E6287" s="19"/>
      <c r="F6287" s="19"/>
      <c r="G6287" s="19"/>
      <c r="H6287" s="82"/>
    </row>
    <row r="6288" spans="1:8" s="28" customFormat="1" x14ac:dyDescent="0.25">
      <c r="A6288" s="29"/>
      <c r="B6288" s="15"/>
      <c r="C6288" s="19"/>
      <c r="D6288" s="19"/>
      <c r="E6288" s="19"/>
      <c r="F6288" s="19"/>
      <c r="G6288" s="19"/>
      <c r="H6288" s="82"/>
    </row>
    <row r="6289" spans="1:8" s="28" customFormat="1" x14ac:dyDescent="0.25">
      <c r="A6289" s="29"/>
      <c r="B6289" s="15"/>
      <c r="C6289" s="19"/>
      <c r="D6289" s="19"/>
      <c r="E6289" s="19"/>
      <c r="F6289" s="19"/>
      <c r="G6289" s="19"/>
      <c r="H6289" s="82"/>
    </row>
    <row r="6290" spans="1:8" s="28" customFormat="1" x14ac:dyDescent="0.25">
      <c r="A6290" s="29"/>
      <c r="B6290" s="15"/>
      <c r="C6290" s="19"/>
      <c r="D6290" s="19"/>
      <c r="E6290" s="19"/>
      <c r="F6290" s="19"/>
      <c r="G6290" s="19"/>
      <c r="H6290" s="82"/>
    </row>
    <row r="6291" spans="1:8" s="28" customFormat="1" x14ac:dyDescent="0.25">
      <c r="A6291" s="29"/>
      <c r="B6291" s="15"/>
      <c r="C6291" s="19"/>
      <c r="D6291" s="19"/>
      <c r="E6291" s="19"/>
      <c r="F6291" s="19"/>
      <c r="G6291" s="19"/>
      <c r="H6291" s="82"/>
    </row>
    <row r="6292" spans="1:8" s="28" customFormat="1" x14ac:dyDescent="0.25">
      <c r="A6292" s="29"/>
      <c r="B6292" s="15"/>
      <c r="C6292" s="19"/>
      <c r="D6292" s="19"/>
      <c r="E6292" s="19"/>
      <c r="F6292" s="19"/>
      <c r="G6292" s="19"/>
      <c r="H6292" s="82"/>
    </row>
    <row r="6293" spans="1:8" s="28" customFormat="1" x14ac:dyDescent="0.25">
      <c r="A6293" s="29"/>
      <c r="B6293" s="15"/>
      <c r="C6293" s="19"/>
      <c r="D6293" s="19"/>
      <c r="E6293" s="19"/>
      <c r="F6293" s="19"/>
      <c r="G6293" s="19"/>
      <c r="H6293" s="82"/>
    </row>
    <row r="6294" spans="1:8" s="28" customFormat="1" x14ac:dyDescent="0.25">
      <c r="A6294" s="29"/>
      <c r="B6294" s="15"/>
      <c r="C6294" s="19"/>
      <c r="D6294" s="19"/>
      <c r="E6294" s="19"/>
      <c r="F6294" s="19"/>
      <c r="G6294" s="19"/>
      <c r="H6294" s="82"/>
    </row>
    <row r="6295" spans="1:8" s="28" customFormat="1" x14ac:dyDescent="0.25">
      <c r="A6295" s="29"/>
      <c r="B6295" s="15"/>
      <c r="C6295" s="19"/>
      <c r="D6295" s="19"/>
      <c r="E6295" s="19"/>
      <c r="F6295" s="19"/>
      <c r="G6295" s="19"/>
      <c r="H6295" s="82"/>
    </row>
    <row r="6296" spans="1:8" s="28" customFormat="1" x14ac:dyDescent="0.25">
      <c r="A6296" s="29"/>
      <c r="B6296" s="15"/>
      <c r="C6296" s="19"/>
      <c r="D6296" s="19"/>
      <c r="E6296" s="19"/>
      <c r="F6296" s="19"/>
      <c r="G6296" s="19"/>
      <c r="H6296" s="82"/>
    </row>
    <row r="6297" spans="1:8" s="28" customFormat="1" x14ac:dyDescent="0.25">
      <c r="A6297" s="29"/>
      <c r="B6297" s="15"/>
      <c r="C6297" s="19"/>
      <c r="D6297" s="19"/>
      <c r="E6297" s="19"/>
      <c r="F6297" s="19"/>
      <c r="G6297" s="19"/>
      <c r="H6297" s="82"/>
    </row>
    <row r="6298" spans="1:8" s="28" customFormat="1" x14ac:dyDescent="0.25">
      <c r="A6298" s="29"/>
      <c r="B6298" s="15"/>
      <c r="C6298" s="19"/>
      <c r="D6298" s="19"/>
      <c r="E6298" s="19"/>
      <c r="F6298" s="19"/>
      <c r="G6298" s="19"/>
      <c r="H6298" s="82"/>
    </row>
    <row r="6299" spans="1:8" s="28" customFormat="1" x14ac:dyDescent="0.25">
      <c r="A6299" s="29"/>
      <c r="B6299" s="15"/>
      <c r="C6299" s="19"/>
      <c r="D6299" s="19"/>
      <c r="E6299" s="19"/>
      <c r="F6299" s="19"/>
      <c r="G6299" s="19"/>
      <c r="H6299" s="82"/>
    </row>
    <row r="6300" spans="1:8" s="28" customFormat="1" x14ac:dyDescent="0.25">
      <c r="A6300" s="29"/>
      <c r="B6300" s="15"/>
      <c r="C6300" s="19"/>
      <c r="D6300" s="19"/>
      <c r="E6300" s="19"/>
      <c r="F6300" s="19"/>
      <c r="G6300" s="19"/>
      <c r="H6300" s="82"/>
    </row>
    <row r="6301" spans="1:8" s="28" customFormat="1" x14ac:dyDescent="0.25">
      <c r="A6301" s="29"/>
      <c r="B6301" s="15"/>
      <c r="C6301" s="19"/>
      <c r="D6301" s="19"/>
      <c r="E6301" s="19"/>
      <c r="F6301" s="19"/>
      <c r="G6301" s="19"/>
      <c r="H6301" s="82"/>
    </row>
    <row r="6302" spans="1:8" s="28" customFormat="1" x14ac:dyDescent="0.25">
      <c r="A6302" s="29"/>
      <c r="B6302" s="15"/>
      <c r="C6302" s="19"/>
      <c r="D6302" s="19"/>
      <c r="E6302" s="19"/>
      <c r="F6302" s="19"/>
      <c r="G6302" s="19"/>
      <c r="H6302" s="82"/>
    </row>
    <row r="6303" spans="1:8" s="28" customFormat="1" x14ac:dyDescent="0.25">
      <c r="A6303" s="29"/>
      <c r="B6303" s="15"/>
      <c r="C6303" s="19"/>
      <c r="D6303" s="19"/>
      <c r="E6303" s="19"/>
      <c r="F6303" s="19"/>
      <c r="G6303" s="19"/>
      <c r="H6303" s="82"/>
    </row>
    <row r="6304" spans="1:8" s="28" customFormat="1" x14ac:dyDescent="0.25">
      <c r="A6304" s="29"/>
      <c r="B6304" s="15"/>
      <c r="C6304" s="19"/>
      <c r="D6304" s="19"/>
      <c r="E6304" s="19"/>
      <c r="F6304" s="19"/>
      <c r="G6304" s="19"/>
      <c r="H6304" s="82"/>
    </row>
    <row r="6305" spans="1:8" s="28" customFormat="1" x14ac:dyDescent="0.25">
      <c r="A6305" s="29"/>
      <c r="B6305" s="15"/>
      <c r="C6305" s="19"/>
      <c r="D6305" s="19"/>
      <c r="E6305" s="19"/>
      <c r="F6305" s="19"/>
      <c r="G6305" s="19"/>
      <c r="H6305" s="82"/>
    </row>
    <row r="6306" spans="1:8" s="28" customFormat="1" x14ac:dyDescent="0.25">
      <c r="A6306" s="29"/>
      <c r="B6306" s="15"/>
      <c r="C6306" s="19"/>
      <c r="D6306" s="19"/>
      <c r="E6306" s="19"/>
      <c r="F6306" s="19"/>
      <c r="G6306" s="19"/>
      <c r="H6306" s="82"/>
    </row>
    <row r="6307" spans="1:8" s="28" customFormat="1" x14ac:dyDescent="0.25">
      <c r="A6307" s="29"/>
      <c r="B6307" s="15"/>
      <c r="C6307" s="19"/>
      <c r="D6307" s="19"/>
      <c r="E6307" s="19"/>
      <c r="F6307" s="19"/>
      <c r="G6307" s="19"/>
      <c r="H6307" s="82"/>
    </row>
    <row r="6308" spans="1:8" s="28" customFormat="1" x14ac:dyDescent="0.25">
      <c r="A6308" s="29"/>
      <c r="B6308" s="15"/>
      <c r="C6308" s="19"/>
      <c r="D6308" s="19"/>
      <c r="E6308" s="19"/>
      <c r="F6308" s="19"/>
      <c r="G6308" s="19"/>
      <c r="H6308" s="82"/>
    </row>
    <row r="6309" spans="1:8" s="28" customFormat="1" x14ac:dyDescent="0.25">
      <c r="A6309" s="29"/>
      <c r="B6309" s="15"/>
      <c r="C6309" s="19"/>
      <c r="D6309" s="19"/>
      <c r="E6309" s="19"/>
      <c r="F6309" s="19"/>
      <c r="G6309" s="19"/>
      <c r="H6309" s="82"/>
    </row>
    <row r="6310" spans="1:8" s="28" customFormat="1" x14ac:dyDescent="0.25">
      <c r="A6310" s="29"/>
      <c r="B6310" s="15"/>
      <c r="C6310" s="19"/>
      <c r="D6310" s="19"/>
      <c r="E6310" s="19"/>
      <c r="F6310" s="19"/>
      <c r="G6310" s="19"/>
      <c r="H6310" s="82"/>
    </row>
    <row r="6311" spans="1:8" s="28" customFormat="1" x14ac:dyDescent="0.25">
      <c r="A6311" s="29"/>
      <c r="B6311" s="15"/>
      <c r="C6311" s="19"/>
      <c r="D6311" s="19"/>
      <c r="E6311" s="19"/>
      <c r="F6311" s="19"/>
      <c r="G6311" s="19"/>
      <c r="H6311" s="82"/>
    </row>
    <row r="6312" spans="1:8" s="28" customFormat="1" x14ac:dyDescent="0.25">
      <c r="A6312" s="29"/>
      <c r="B6312" s="15"/>
      <c r="C6312" s="19"/>
      <c r="D6312" s="19"/>
      <c r="E6312" s="19"/>
      <c r="F6312" s="19"/>
      <c r="G6312" s="19"/>
      <c r="H6312" s="82"/>
    </row>
    <row r="6313" spans="1:8" s="28" customFormat="1" x14ac:dyDescent="0.25">
      <c r="A6313" s="29"/>
      <c r="B6313" s="15"/>
      <c r="C6313" s="19"/>
      <c r="D6313" s="19"/>
      <c r="E6313" s="19"/>
      <c r="F6313" s="19"/>
      <c r="G6313" s="19"/>
      <c r="H6313" s="82"/>
    </row>
    <row r="6314" spans="1:8" s="28" customFormat="1" x14ac:dyDescent="0.25">
      <c r="A6314" s="29"/>
      <c r="B6314" s="15"/>
      <c r="C6314" s="19"/>
      <c r="D6314" s="19"/>
      <c r="E6314" s="19"/>
      <c r="F6314" s="19"/>
      <c r="G6314" s="19"/>
      <c r="H6314" s="82"/>
    </row>
    <row r="6315" spans="1:8" s="28" customFormat="1" x14ac:dyDescent="0.25">
      <c r="A6315" s="29"/>
      <c r="B6315" s="15"/>
      <c r="C6315" s="19"/>
      <c r="D6315" s="19"/>
      <c r="E6315" s="19"/>
      <c r="F6315" s="19"/>
      <c r="G6315" s="19"/>
      <c r="H6315" s="82"/>
    </row>
    <row r="6316" spans="1:8" s="28" customFormat="1" x14ac:dyDescent="0.25">
      <c r="A6316" s="29"/>
      <c r="B6316" s="15"/>
      <c r="C6316" s="19"/>
      <c r="D6316" s="19"/>
      <c r="E6316" s="19"/>
      <c r="F6316" s="19"/>
      <c r="G6316" s="19"/>
      <c r="H6316" s="82"/>
    </row>
    <row r="6317" spans="1:8" s="28" customFormat="1" x14ac:dyDescent="0.25">
      <c r="A6317" s="29"/>
      <c r="B6317" s="15"/>
      <c r="C6317" s="19"/>
      <c r="D6317" s="19"/>
      <c r="E6317" s="19"/>
      <c r="F6317" s="19"/>
      <c r="G6317" s="19"/>
      <c r="H6317" s="82"/>
    </row>
    <row r="6318" spans="1:8" s="28" customFormat="1" x14ac:dyDescent="0.25">
      <c r="A6318" s="29"/>
      <c r="B6318" s="15"/>
      <c r="C6318" s="19"/>
      <c r="D6318" s="19"/>
      <c r="E6318" s="19"/>
      <c r="F6318" s="19"/>
      <c r="G6318" s="19"/>
      <c r="H6318" s="82"/>
    </row>
    <row r="6319" spans="1:8" s="28" customFormat="1" x14ac:dyDescent="0.25">
      <c r="A6319" s="29"/>
      <c r="B6319" s="15"/>
      <c r="C6319" s="19"/>
      <c r="D6319" s="19"/>
      <c r="E6319" s="19"/>
      <c r="F6319" s="19"/>
      <c r="G6319" s="19"/>
      <c r="H6319" s="82"/>
    </row>
    <row r="6320" spans="1:8" s="28" customFormat="1" x14ac:dyDescent="0.25">
      <c r="A6320" s="29"/>
      <c r="B6320" s="15"/>
      <c r="C6320" s="19"/>
      <c r="D6320" s="19"/>
      <c r="E6320" s="19"/>
      <c r="F6320" s="19"/>
      <c r="G6320" s="19"/>
      <c r="H6320" s="82"/>
    </row>
    <row r="6321" spans="1:8" s="28" customFormat="1" x14ac:dyDescent="0.25">
      <c r="A6321" s="29"/>
      <c r="B6321" s="15"/>
      <c r="C6321" s="19"/>
      <c r="D6321" s="19"/>
      <c r="E6321" s="19"/>
      <c r="F6321" s="19"/>
      <c r="G6321" s="19"/>
      <c r="H6321" s="82"/>
    </row>
    <row r="6322" spans="1:8" s="28" customFormat="1" x14ac:dyDescent="0.25">
      <c r="A6322" s="29"/>
      <c r="B6322" s="15"/>
      <c r="C6322" s="19"/>
      <c r="D6322" s="19"/>
      <c r="E6322" s="19"/>
      <c r="F6322" s="19"/>
      <c r="G6322" s="19"/>
      <c r="H6322" s="82"/>
    </row>
    <row r="6323" spans="1:8" s="28" customFormat="1" x14ac:dyDescent="0.25">
      <c r="A6323" s="29"/>
      <c r="B6323" s="15"/>
      <c r="C6323" s="19"/>
      <c r="D6323" s="19"/>
      <c r="E6323" s="19"/>
      <c r="F6323" s="19"/>
      <c r="G6323" s="19"/>
      <c r="H6323" s="82"/>
    </row>
    <row r="6324" spans="1:8" s="28" customFormat="1" x14ac:dyDescent="0.25">
      <c r="A6324" s="29"/>
      <c r="B6324" s="15"/>
      <c r="C6324" s="19"/>
      <c r="D6324" s="19"/>
      <c r="E6324" s="19"/>
      <c r="F6324" s="19"/>
      <c r="G6324" s="19"/>
      <c r="H6324" s="82"/>
    </row>
    <row r="6325" spans="1:8" s="28" customFormat="1" x14ac:dyDescent="0.25">
      <c r="A6325" s="29"/>
      <c r="B6325" s="15"/>
      <c r="C6325" s="19"/>
      <c r="D6325" s="19"/>
      <c r="E6325" s="19"/>
      <c r="F6325" s="19"/>
      <c r="G6325" s="19"/>
      <c r="H6325" s="82"/>
    </row>
    <row r="6326" spans="1:8" s="28" customFormat="1" x14ac:dyDescent="0.25">
      <c r="A6326" s="29"/>
      <c r="B6326" s="15"/>
      <c r="C6326" s="19"/>
      <c r="D6326" s="19"/>
      <c r="E6326" s="19"/>
      <c r="F6326" s="19"/>
      <c r="G6326" s="19"/>
      <c r="H6326" s="82"/>
    </row>
    <row r="6327" spans="1:8" s="28" customFormat="1" x14ac:dyDescent="0.25">
      <c r="A6327" s="29"/>
      <c r="B6327" s="15"/>
      <c r="C6327" s="19"/>
      <c r="D6327" s="19"/>
      <c r="E6327" s="19"/>
      <c r="F6327" s="19"/>
      <c r="G6327" s="19"/>
      <c r="H6327" s="82"/>
    </row>
    <row r="6328" spans="1:8" s="28" customFormat="1" x14ac:dyDescent="0.25">
      <c r="A6328" s="29"/>
      <c r="B6328" s="15"/>
      <c r="C6328" s="19"/>
      <c r="D6328" s="19"/>
      <c r="E6328" s="19"/>
      <c r="F6328" s="19"/>
      <c r="G6328" s="19"/>
      <c r="H6328" s="82"/>
    </row>
    <row r="6329" spans="1:8" s="28" customFormat="1" x14ac:dyDescent="0.25">
      <c r="A6329" s="29"/>
      <c r="B6329" s="15"/>
      <c r="C6329" s="19"/>
      <c r="D6329" s="19"/>
      <c r="E6329" s="19"/>
      <c r="F6329" s="19"/>
      <c r="G6329" s="19"/>
      <c r="H6329" s="82"/>
    </row>
    <row r="6330" spans="1:8" s="28" customFormat="1" x14ac:dyDescent="0.25">
      <c r="A6330" s="29"/>
      <c r="B6330" s="15"/>
      <c r="C6330" s="19"/>
      <c r="D6330" s="19"/>
      <c r="E6330" s="19"/>
      <c r="F6330" s="19"/>
      <c r="G6330" s="19"/>
      <c r="H6330" s="82"/>
    </row>
    <row r="6331" spans="1:8" s="28" customFormat="1" x14ac:dyDescent="0.25">
      <c r="A6331" s="29"/>
      <c r="B6331" s="15"/>
      <c r="C6331" s="19"/>
      <c r="D6331" s="19"/>
      <c r="E6331" s="19"/>
      <c r="F6331" s="19"/>
      <c r="G6331" s="19"/>
      <c r="H6331" s="82"/>
    </row>
    <row r="6332" spans="1:8" s="28" customFormat="1" x14ac:dyDescent="0.25">
      <c r="A6332" s="29"/>
      <c r="B6332" s="15"/>
      <c r="C6332" s="19"/>
      <c r="D6332" s="19"/>
      <c r="E6332" s="19"/>
      <c r="F6332" s="19"/>
      <c r="G6332" s="19"/>
      <c r="H6332" s="82"/>
    </row>
    <row r="6333" spans="1:8" s="28" customFormat="1" x14ac:dyDescent="0.25">
      <c r="A6333" s="29"/>
      <c r="B6333" s="15"/>
      <c r="C6333" s="19"/>
      <c r="D6333" s="19"/>
      <c r="E6333" s="19"/>
      <c r="F6333" s="19"/>
      <c r="G6333" s="19"/>
      <c r="H6333" s="82"/>
    </row>
    <row r="6334" spans="1:8" s="28" customFormat="1" x14ac:dyDescent="0.25">
      <c r="A6334" s="29"/>
      <c r="B6334" s="15"/>
      <c r="C6334" s="19"/>
      <c r="D6334" s="19"/>
      <c r="E6334" s="19"/>
      <c r="F6334" s="19"/>
      <c r="G6334" s="19"/>
      <c r="H6334" s="82"/>
    </row>
    <row r="6335" spans="1:8" s="28" customFormat="1" x14ac:dyDescent="0.25">
      <c r="A6335" s="29"/>
      <c r="B6335" s="15"/>
      <c r="C6335" s="19"/>
      <c r="D6335" s="19"/>
      <c r="E6335" s="19"/>
      <c r="F6335" s="19"/>
      <c r="G6335" s="19"/>
      <c r="H6335" s="82"/>
    </row>
    <row r="6336" spans="1:8" s="28" customFormat="1" x14ac:dyDescent="0.25">
      <c r="A6336" s="29"/>
      <c r="B6336" s="15"/>
      <c r="C6336" s="19"/>
      <c r="D6336" s="19"/>
      <c r="E6336" s="19"/>
      <c r="F6336" s="19"/>
      <c r="G6336" s="19"/>
      <c r="H6336" s="82"/>
    </row>
    <row r="6337" spans="1:8" s="28" customFormat="1" x14ac:dyDescent="0.25">
      <c r="A6337" s="29"/>
      <c r="B6337" s="15"/>
      <c r="C6337" s="19"/>
      <c r="D6337" s="19"/>
      <c r="E6337" s="19"/>
      <c r="F6337" s="19"/>
      <c r="G6337" s="19"/>
      <c r="H6337" s="82"/>
    </row>
    <row r="6338" spans="1:8" s="28" customFormat="1" x14ac:dyDescent="0.25">
      <c r="A6338" s="29"/>
      <c r="B6338" s="15"/>
      <c r="C6338" s="19"/>
      <c r="D6338" s="19"/>
      <c r="E6338" s="19"/>
      <c r="F6338" s="19"/>
      <c r="G6338" s="19"/>
      <c r="H6338" s="82"/>
    </row>
    <row r="6339" spans="1:8" s="28" customFormat="1" x14ac:dyDescent="0.25">
      <c r="A6339" s="29"/>
      <c r="B6339" s="15"/>
      <c r="C6339" s="19"/>
      <c r="D6339" s="19"/>
      <c r="E6339" s="19"/>
      <c r="F6339" s="19"/>
      <c r="G6339" s="19"/>
      <c r="H6339" s="82"/>
    </row>
    <row r="6340" spans="1:8" s="28" customFormat="1" x14ac:dyDescent="0.25">
      <c r="A6340" s="29"/>
      <c r="B6340" s="15"/>
      <c r="C6340" s="19"/>
      <c r="D6340" s="19"/>
      <c r="E6340" s="19"/>
      <c r="F6340" s="19"/>
      <c r="G6340" s="19"/>
      <c r="H6340" s="82"/>
    </row>
    <row r="6341" spans="1:8" s="28" customFormat="1" x14ac:dyDescent="0.25">
      <c r="A6341" s="29"/>
      <c r="B6341" s="15"/>
      <c r="C6341" s="19"/>
      <c r="D6341" s="19"/>
      <c r="E6341" s="19"/>
      <c r="F6341" s="19"/>
      <c r="G6341" s="19"/>
      <c r="H6341" s="82"/>
    </row>
    <row r="6342" spans="1:8" s="28" customFormat="1" x14ac:dyDescent="0.25">
      <c r="A6342" s="29"/>
      <c r="B6342" s="15"/>
      <c r="C6342" s="19"/>
      <c r="D6342" s="19"/>
      <c r="E6342" s="19"/>
      <c r="F6342" s="19"/>
      <c r="G6342" s="19"/>
      <c r="H6342" s="82"/>
    </row>
    <row r="6343" spans="1:8" s="28" customFormat="1" x14ac:dyDescent="0.25">
      <c r="A6343" s="29"/>
      <c r="B6343" s="15"/>
      <c r="C6343" s="19"/>
      <c r="D6343" s="19"/>
      <c r="E6343" s="19"/>
      <c r="F6343" s="19"/>
      <c r="G6343" s="19"/>
      <c r="H6343" s="82"/>
    </row>
    <row r="6344" spans="1:8" s="28" customFormat="1" x14ac:dyDescent="0.25">
      <c r="A6344" s="29"/>
      <c r="B6344" s="15"/>
      <c r="C6344" s="19"/>
      <c r="D6344" s="19"/>
      <c r="E6344" s="19"/>
      <c r="F6344" s="19"/>
      <c r="G6344" s="19"/>
      <c r="H6344" s="82"/>
    </row>
    <row r="6345" spans="1:8" s="28" customFormat="1" x14ac:dyDescent="0.25">
      <c r="A6345" s="29"/>
      <c r="B6345" s="15"/>
      <c r="C6345" s="19"/>
      <c r="D6345" s="19"/>
      <c r="E6345" s="19"/>
      <c r="F6345" s="19"/>
      <c r="G6345" s="19"/>
      <c r="H6345" s="82"/>
    </row>
    <row r="6346" spans="1:8" s="28" customFormat="1" x14ac:dyDescent="0.25">
      <c r="A6346" s="29"/>
      <c r="B6346" s="15"/>
      <c r="C6346" s="19"/>
      <c r="D6346" s="19"/>
      <c r="E6346" s="19"/>
      <c r="F6346" s="19"/>
      <c r="G6346" s="19"/>
      <c r="H6346" s="82"/>
    </row>
    <row r="6347" spans="1:8" s="28" customFormat="1" x14ac:dyDescent="0.25">
      <c r="A6347" s="29"/>
      <c r="B6347" s="15"/>
      <c r="C6347" s="19"/>
      <c r="D6347" s="19"/>
      <c r="E6347" s="19"/>
      <c r="F6347" s="19"/>
      <c r="G6347" s="19"/>
      <c r="H6347" s="82"/>
    </row>
    <row r="6348" spans="1:8" s="28" customFormat="1" x14ac:dyDescent="0.25">
      <c r="A6348" s="29"/>
      <c r="B6348" s="15"/>
      <c r="C6348" s="19"/>
      <c r="D6348" s="19"/>
      <c r="E6348" s="19"/>
      <c r="F6348" s="19"/>
      <c r="G6348" s="19"/>
      <c r="H6348" s="82"/>
    </row>
    <row r="6349" spans="1:8" s="28" customFormat="1" x14ac:dyDescent="0.25">
      <c r="A6349" s="29"/>
      <c r="B6349" s="15"/>
      <c r="C6349" s="19"/>
      <c r="D6349" s="19"/>
      <c r="E6349" s="19"/>
      <c r="F6349" s="19"/>
      <c r="G6349" s="19"/>
      <c r="H6349" s="82"/>
    </row>
    <row r="6350" spans="1:8" s="28" customFormat="1" x14ac:dyDescent="0.25">
      <c r="A6350" s="29"/>
      <c r="B6350" s="15"/>
      <c r="C6350" s="19"/>
      <c r="D6350" s="19"/>
      <c r="E6350" s="19"/>
      <c r="F6350" s="19"/>
      <c r="G6350" s="19"/>
      <c r="H6350" s="82"/>
    </row>
    <row r="6351" spans="1:8" s="28" customFormat="1" x14ac:dyDescent="0.25">
      <c r="A6351" s="29"/>
      <c r="B6351" s="15"/>
      <c r="C6351" s="19"/>
      <c r="D6351" s="19"/>
      <c r="E6351" s="19"/>
      <c r="F6351" s="19"/>
      <c r="G6351" s="19"/>
      <c r="H6351" s="82"/>
    </row>
    <row r="6352" spans="1:8" s="28" customFormat="1" x14ac:dyDescent="0.25">
      <c r="A6352" s="29"/>
      <c r="B6352" s="15"/>
      <c r="C6352" s="19"/>
      <c r="D6352" s="19"/>
      <c r="E6352" s="19"/>
      <c r="F6352" s="19"/>
      <c r="G6352" s="19"/>
      <c r="H6352" s="82"/>
    </row>
    <row r="6353" spans="1:8" s="28" customFormat="1" x14ac:dyDescent="0.25">
      <c r="A6353" s="29"/>
      <c r="B6353" s="15"/>
      <c r="C6353" s="19"/>
      <c r="D6353" s="19"/>
      <c r="E6353" s="19"/>
      <c r="F6353" s="19"/>
      <c r="G6353" s="19"/>
      <c r="H6353" s="82"/>
    </row>
    <row r="6354" spans="1:8" s="28" customFormat="1" x14ac:dyDescent="0.25">
      <c r="A6354" s="29"/>
      <c r="B6354" s="15"/>
      <c r="C6354" s="19"/>
      <c r="D6354" s="19"/>
      <c r="E6354" s="19"/>
      <c r="F6354" s="19"/>
      <c r="G6354" s="19"/>
      <c r="H6354" s="82"/>
    </row>
    <row r="6355" spans="1:8" s="28" customFormat="1" x14ac:dyDescent="0.25">
      <c r="A6355" s="29"/>
      <c r="B6355" s="15"/>
      <c r="C6355" s="19"/>
      <c r="D6355" s="19"/>
      <c r="E6355" s="19"/>
      <c r="F6355" s="19"/>
      <c r="G6355" s="19"/>
      <c r="H6355" s="82"/>
    </row>
    <row r="6356" spans="1:8" s="28" customFormat="1" x14ac:dyDescent="0.25">
      <c r="A6356" s="29"/>
      <c r="B6356" s="15"/>
      <c r="C6356" s="19"/>
      <c r="D6356" s="19"/>
      <c r="E6356" s="19"/>
      <c r="F6356" s="19"/>
      <c r="G6356" s="19"/>
      <c r="H6356" s="82"/>
    </row>
    <row r="6357" spans="1:8" s="28" customFormat="1" x14ac:dyDescent="0.25">
      <c r="A6357" s="29"/>
      <c r="B6357" s="15"/>
      <c r="C6357" s="19"/>
      <c r="D6357" s="19"/>
      <c r="E6357" s="19"/>
      <c r="F6357" s="19"/>
      <c r="G6357" s="19"/>
      <c r="H6357" s="82"/>
    </row>
    <row r="6358" spans="1:8" s="28" customFormat="1" x14ac:dyDescent="0.25">
      <c r="A6358" s="29"/>
      <c r="B6358" s="15"/>
      <c r="C6358" s="19"/>
      <c r="D6358" s="19"/>
      <c r="E6358" s="19"/>
      <c r="F6358" s="19"/>
      <c r="G6358" s="19"/>
      <c r="H6358" s="82"/>
    </row>
    <row r="6359" spans="1:8" s="28" customFormat="1" x14ac:dyDescent="0.25">
      <c r="A6359" s="29"/>
      <c r="B6359" s="15"/>
      <c r="C6359" s="19"/>
      <c r="D6359" s="19"/>
      <c r="E6359" s="19"/>
      <c r="F6359" s="19"/>
      <c r="G6359" s="19"/>
      <c r="H6359" s="82"/>
    </row>
    <row r="6360" spans="1:8" s="28" customFormat="1" x14ac:dyDescent="0.25">
      <c r="A6360" s="29"/>
      <c r="B6360" s="15"/>
      <c r="C6360" s="19"/>
      <c r="D6360" s="19"/>
      <c r="E6360" s="19"/>
      <c r="F6360" s="19"/>
      <c r="G6360" s="19"/>
      <c r="H6360" s="82"/>
    </row>
    <row r="6361" spans="1:8" s="28" customFormat="1" x14ac:dyDescent="0.25">
      <c r="A6361" s="29"/>
      <c r="B6361" s="15"/>
      <c r="C6361" s="19"/>
      <c r="D6361" s="19"/>
      <c r="E6361" s="19"/>
      <c r="F6361" s="19"/>
      <c r="G6361" s="19"/>
      <c r="H6361" s="82"/>
    </row>
    <row r="6362" spans="1:8" s="28" customFormat="1" x14ac:dyDescent="0.25">
      <c r="A6362" s="29"/>
      <c r="B6362" s="15"/>
      <c r="C6362" s="19"/>
      <c r="D6362" s="19"/>
      <c r="E6362" s="19"/>
      <c r="F6362" s="19"/>
      <c r="G6362" s="19"/>
      <c r="H6362" s="82"/>
    </row>
    <row r="6363" spans="1:8" s="28" customFormat="1" x14ac:dyDescent="0.25">
      <c r="A6363" s="29"/>
      <c r="B6363" s="15"/>
      <c r="C6363" s="19"/>
      <c r="D6363" s="19"/>
      <c r="E6363" s="19"/>
      <c r="F6363" s="19"/>
      <c r="G6363" s="19"/>
      <c r="H6363" s="82"/>
    </row>
    <row r="6364" spans="1:8" s="28" customFormat="1" x14ac:dyDescent="0.25">
      <c r="A6364" s="29"/>
      <c r="B6364" s="15"/>
      <c r="C6364" s="19"/>
      <c r="D6364" s="19"/>
      <c r="E6364" s="19"/>
      <c r="F6364" s="19"/>
      <c r="G6364" s="19"/>
      <c r="H6364" s="82"/>
    </row>
    <row r="6365" spans="1:8" s="28" customFormat="1" x14ac:dyDescent="0.25">
      <c r="A6365" s="29"/>
      <c r="B6365" s="15"/>
      <c r="C6365" s="19"/>
      <c r="D6365" s="19"/>
      <c r="E6365" s="19"/>
      <c r="F6365" s="19"/>
      <c r="G6365" s="19"/>
      <c r="H6365" s="82"/>
    </row>
    <row r="6366" spans="1:8" s="28" customFormat="1" x14ac:dyDescent="0.25">
      <c r="A6366" s="29"/>
      <c r="B6366" s="15"/>
      <c r="C6366" s="19"/>
      <c r="D6366" s="19"/>
      <c r="E6366" s="19"/>
      <c r="F6366" s="19"/>
      <c r="G6366" s="19"/>
      <c r="H6366" s="82"/>
    </row>
    <row r="6367" spans="1:8" s="28" customFormat="1" x14ac:dyDescent="0.25">
      <c r="A6367" s="29"/>
      <c r="B6367" s="15"/>
      <c r="C6367" s="19"/>
      <c r="D6367" s="19"/>
      <c r="E6367" s="19"/>
      <c r="F6367" s="19"/>
      <c r="G6367" s="19"/>
      <c r="H6367" s="82"/>
    </row>
    <row r="6368" spans="1:8" s="28" customFormat="1" x14ac:dyDescent="0.25">
      <c r="A6368" s="29"/>
      <c r="B6368" s="15"/>
      <c r="C6368" s="19"/>
      <c r="D6368" s="19"/>
      <c r="E6368" s="19"/>
      <c r="F6368" s="19"/>
      <c r="G6368" s="19"/>
      <c r="H6368" s="82"/>
    </row>
    <row r="6369" spans="1:8" s="28" customFormat="1" x14ac:dyDescent="0.25">
      <c r="A6369" s="29"/>
      <c r="B6369" s="15"/>
      <c r="C6369" s="19"/>
      <c r="D6369" s="19"/>
      <c r="E6369" s="19"/>
      <c r="F6369" s="19"/>
      <c r="G6369" s="19"/>
      <c r="H6369" s="82"/>
    </row>
    <row r="6370" spans="1:8" s="28" customFormat="1" x14ac:dyDescent="0.25">
      <c r="A6370" s="29"/>
      <c r="B6370" s="15"/>
      <c r="C6370" s="19"/>
      <c r="D6370" s="19"/>
      <c r="E6370" s="19"/>
      <c r="F6370" s="19"/>
      <c r="G6370" s="19"/>
      <c r="H6370" s="82"/>
    </row>
    <row r="6371" spans="1:8" s="28" customFormat="1" x14ac:dyDescent="0.25">
      <c r="A6371" s="29"/>
      <c r="B6371" s="15"/>
      <c r="C6371" s="19"/>
      <c r="D6371" s="19"/>
      <c r="E6371" s="19"/>
      <c r="F6371" s="19"/>
      <c r="G6371" s="19"/>
      <c r="H6371" s="82"/>
    </row>
    <row r="6372" spans="1:8" s="28" customFormat="1" x14ac:dyDescent="0.25">
      <c r="A6372" s="29"/>
      <c r="B6372" s="15"/>
      <c r="C6372" s="19"/>
      <c r="D6372" s="19"/>
      <c r="E6372" s="19"/>
      <c r="F6372" s="19"/>
      <c r="G6372" s="19"/>
      <c r="H6372" s="82"/>
    </row>
    <row r="6373" spans="1:8" s="28" customFormat="1" x14ac:dyDescent="0.25">
      <c r="A6373" s="29"/>
      <c r="B6373" s="15"/>
      <c r="C6373" s="19"/>
      <c r="D6373" s="19"/>
      <c r="E6373" s="19"/>
      <c r="F6373" s="19"/>
      <c r="G6373" s="19"/>
      <c r="H6373" s="82"/>
    </row>
    <row r="6374" spans="1:8" s="28" customFormat="1" x14ac:dyDescent="0.25">
      <c r="A6374" s="29"/>
      <c r="B6374" s="15"/>
      <c r="C6374" s="19"/>
      <c r="D6374" s="19"/>
      <c r="E6374" s="19"/>
      <c r="F6374" s="19"/>
      <c r="G6374" s="19"/>
      <c r="H6374" s="82"/>
    </row>
    <row r="6375" spans="1:8" s="28" customFormat="1" x14ac:dyDescent="0.25">
      <c r="A6375" s="29"/>
      <c r="B6375" s="15"/>
      <c r="C6375" s="19"/>
      <c r="D6375" s="19"/>
      <c r="E6375" s="19"/>
      <c r="F6375" s="19"/>
      <c r="G6375" s="19"/>
      <c r="H6375" s="82"/>
    </row>
    <row r="6376" spans="1:8" s="28" customFormat="1" x14ac:dyDescent="0.25">
      <c r="A6376" s="29"/>
      <c r="B6376" s="15"/>
      <c r="C6376" s="19"/>
      <c r="D6376" s="19"/>
      <c r="E6376" s="19"/>
      <c r="F6376" s="19"/>
      <c r="G6376" s="19"/>
      <c r="H6376" s="82"/>
    </row>
    <row r="6377" spans="1:8" s="28" customFormat="1" x14ac:dyDescent="0.25">
      <c r="A6377" s="29"/>
      <c r="B6377" s="15"/>
      <c r="C6377" s="19"/>
      <c r="D6377" s="19"/>
      <c r="E6377" s="19"/>
      <c r="F6377" s="19"/>
      <c r="G6377" s="19"/>
      <c r="H6377" s="82"/>
    </row>
    <row r="6378" spans="1:8" s="28" customFormat="1" x14ac:dyDescent="0.25">
      <c r="A6378" s="29"/>
      <c r="B6378" s="15"/>
      <c r="C6378" s="19"/>
      <c r="D6378" s="19"/>
      <c r="E6378" s="19"/>
      <c r="F6378" s="19"/>
      <c r="G6378" s="19"/>
      <c r="H6378" s="82"/>
    </row>
    <row r="6379" spans="1:8" s="28" customFormat="1" x14ac:dyDescent="0.25">
      <c r="A6379" s="29"/>
      <c r="B6379" s="15"/>
      <c r="C6379" s="19"/>
      <c r="D6379" s="19"/>
      <c r="E6379" s="19"/>
      <c r="F6379" s="19"/>
      <c r="G6379" s="19"/>
      <c r="H6379" s="82"/>
    </row>
    <row r="6380" spans="1:8" s="28" customFormat="1" x14ac:dyDescent="0.25">
      <c r="A6380" s="29"/>
      <c r="B6380" s="15"/>
      <c r="C6380" s="19"/>
      <c r="D6380" s="19"/>
      <c r="E6380" s="19"/>
      <c r="F6380" s="19"/>
      <c r="G6380" s="19"/>
      <c r="H6380" s="82"/>
    </row>
    <row r="6381" spans="1:8" s="28" customFormat="1" x14ac:dyDescent="0.25">
      <c r="A6381" s="29"/>
      <c r="B6381" s="15"/>
      <c r="C6381" s="19"/>
      <c r="D6381" s="19"/>
      <c r="E6381" s="19"/>
      <c r="F6381" s="19"/>
      <c r="G6381" s="19"/>
      <c r="H6381" s="82"/>
    </row>
    <row r="6382" spans="1:8" s="28" customFormat="1" x14ac:dyDescent="0.25">
      <c r="A6382" s="29"/>
      <c r="B6382" s="15"/>
      <c r="C6382" s="19"/>
      <c r="D6382" s="19"/>
      <c r="E6382" s="19"/>
      <c r="F6382" s="19"/>
      <c r="G6382" s="19"/>
      <c r="H6382" s="82"/>
    </row>
    <row r="6383" spans="1:8" s="28" customFormat="1" x14ac:dyDescent="0.25">
      <c r="A6383" s="29"/>
      <c r="B6383" s="15"/>
      <c r="C6383" s="19"/>
      <c r="D6383" s="19"/>
      <c r="E6383" s="19"/>
      <c r="F6383" s="19"/>
      <c r="G6383" s="19"/>
      <c r="H6383" s="82"/>
    </row>
    <row r="6384" spans="1:8" s="28" customFormat="1" x14ac:dyDescent="0.25">
      <c r="A6384" s="29"/>
      <c r="B6384" s="15"/>
      <c r="C6384" s="19"/>
      <c r="D6384" s="19"/>
      <c r="E6384" s="19"/>
      <c r="F6384" s="19"/>
      <c r="G6384" s="19"/>
      <c r="H6384" s="82"/>
    </row>
    <row r="6385" spans="1:8" s="28" customFormat="1" x14ac:dyDescent="0.25">
      <c r="A6385" s="29"/>
      <c r="B6385" s="15"/>
      <c r="C6385" s="19"/>
      <c r="D6385" s="19"/>
      <c r="E6385" s="19"/>
      <c r="F6385" s="19"/>
      <c r="G6385" s="19"/>
      <c r="H6385" s="82"/>
    </row>
    <row r="6386" spans="1:8" s="28" customFormat="1" x14ac:dyDescent="0.25">
      <c r="A6386" s="29"/>
      <c r="B6386" s="15"/>
      <c r="C6386" s="19"/>
      <c r="D6386" s="19"/>
      <c r="E6386" s="19"/>
      <c r="F6386" s="19"/>
      <c r="G6386" s="19"/>
      <c r="H6386" s="82"/>
    </row>
    <row r="6387" spans="1:8" s="28" customFormat="1" x14ac:dyDescent="0.25">
      <c r="A6387" s="29"/>
      <c r="B6387" s="15"/>
      <c r="C6387" s="19"/>
      <c r="D6387" s="19"/>
      <c r="E6387" s="19"/>
      <c r="F6387" s="19"/>
      <c r="G6387" s="19"/>
      <c r="H6387" s="82"/>
    </row>
    <row r="6388" spans="1:8" s="28" customFormat="1" x14ac:dyDescent="0.25">
      <c r="A6388" s="29"/>
      <c r="B6388" s="15"/>
      <c r="C6388" s="19"/>
      <c r="D6388" s="19"/>
      <c r="E6388" s="19"/>
      <c r="F6388" s="19"/>
      <c r="G6388" s="19"/>
      <c r="H6388" s="82"/>
    </row>
    <row r="6389" spans="1:8" s="28" customFormat="1" x14ac:dyDescent="0.25">
      <c r="A6389" s="29"/>
      <c r="B6389" s="15"/>
      <c r="C6389" s="19"/>
      <c r="D6389" s="19"/>
      <c r="E6389" s="19"/>
      <c r="F6389" s="19"/>
      <c r="G6389" s="19"/>
      <c r="H6389" s="82"/>
    </row>
    <row r="6390" spans="1:8" s="28" customFormat="1" x14ac:dyDescent="0.25">
      <c r="A6390" s="29"/>
      <c r="B6390" s="15"/>
      <c r="C6390" s="19"/>
      <c r="D6390" s="19"/>
      <c r="E6390" s="19"/>
      <c r="F6390" s="19"/>
      <c r="G6390" s="19"/>
      <c r="H6390" s="82"/>
    </row>
    <row r="6391" spans="1:8" s="28" customFormat="1" x14ac:dyDescent="0.25">
      <c r="A6391" s="29"/>
      <c r="B6391" s="15"/>
      <c r="C6391" s="19"/>
      <c r="D6391" s="19"/>
      <c r="E6391" s="19"/>
      <c r="F6391" s="19"/>
      <c r="G6391" s="19"/>
      <c r="H6391" s="82"/>
    </row>
    <row r="6392" spans="1:8" s="28" customFormat="1" x14ac:dyDescent="0.25">
      <c r="A6392" s="29"/>
      <c r="B6392" s="15"/>
      <c r="C6392" s="19"/>
      <c r="D6392" s="19"/>
      <c r="E6392" s="19"/>
      <c r="F6392" s="19"/>
      <c r="G6392" s="19"/>
      <c r="H6392" s="82"/>
    </row>
    <row r="6393" spans="1:8" s="28" customFormat="1" x14ac:dyDescent="0.25">
      <c r="A6393" s="29"/>
      <c r="B6393" s="15"/>
      <c r="C6393" s="19"/>
      <c r="D6393" s="19"/>
      <c r="E6393" s="19"/>
      <c r="F6393" s="19"/>
      <c r="G6393" s="19"/>
      <c r="H6393" s="82"/>
    </row>
    <row r="6394" spans="1:8" s="28" customFormat="1" x14ac:dyDescent="0.25">
      <c r="A6394" s="29"/>
      <c r="B6394" s="15"/>
      <c r="C6394" s="19"/>
      <c r="D6394" s="19"/>
      <c r="E6394" s="19"/>
      <c r="F6394" s="19"/>
      <c r="G6394" s="19"/>
      <c r="H6394" s="82"/>
    </row>
    <row r="6395" spans="1:8" s="28" customFormat="1" x14ac:dyDescent="0.25">
      <c r="A6395" s="29"/>
      <c r="B6395" s="15"/>
      <c r="C6395" s="19"/>
      <c r="D6395" s="19"/>
      <c r="E6395" s="19"/>
      <c r="F6395" s="19"/>
      <c r="G6395" s="19"/>
      <c r="H6395" s="82"/>
    </row>
    <row r="6396" spans="1:8" s="28" customFormat="1" x14ac:dyDescent="0.25">
      <c r="A6396" s="29"/>
      <c r="B6396" s="15"/>
      <c r="C6396" s="19"/>
      <c r="D6396" s="19"/>
      <c r="E6396" s="19"/>
      <c r="F6396" s="19"/>
      <c r="G6396" s="19"/>
      <c r="H6396" s="82"/>
    </row>
    <row r="6397" spans="1:8" s="28" customFormat="1" x14ac:dyDescent="0.25">
      <c r="A6397" s="29"/>
      <c r="B6397" s="15"/>
      <c r="C6397" s="19"/>
      <c r="D6397" s="19"/>
      <c r="E6397" s="19"/>
      <c r="F6397" s="19"/>
      <c r="G6397" s="19"/>
      <c r="H6397" s="82"/>
    </row>
    <row r="6398" spans="1:8" s="28" customFormat="1" x14ac:dyDescent="0.25">
      <c r="A6398" s="29"/>
      <c r="B6398" s="15"/>
      <c r="C6398" s="19"/>
      <c r="D6398" s="19"/>
      <c r="E6398" s="19"/>
      <c r="F6398" s="19"/>
      <c r="G6398" s="19"/>
      <c r="H6398" s="82"/>
    </row>
    <row r="6399" spans="1:8" s="28" customFormat="1" x14ac:dyDescent="0.25">
      <c r="A6399" s="29"/>
      <c r="B6399" s="15"/>
      <c r="C6399" s="19"/>
      <c r="D6399" s="19"/>
      <c r="E6399" s="19"/>
      <c r="F6399" s="19"/>
      <c r="G6399" s="19"/>
      <c r="H6399" s="82"/>
    </row>
    <row r="6400" spans="1:8" s="28" customFormat="1" x14ac:dyDescent="0.25">
      <c r="A6400" s="29"/>
      <c r="B6400" s="15"/>
      <c r="C6400" s="19"/>
      <c r="D6400" s="19"/>
      <c r="E6400" s="19"/>
      <c r="F6400" s="19"/>
      <c r="G6400" s="19"/>
      <c r="H6400" s="82"/>
    </row>
    <row r="6401" spans="1:8" s="28" customFormat="1" x14ac:dyDescent="0.25">
      <c r="A6401" s="29"/>
      <c r="B6401" s="15"/>
      <c r="C6401" s="19"/>
      <c r="D6401" s="19"/>
      <c r="E6401" s="19"/>
      <c r="F6401" s="19"/>
      <c r="G6401" s="19"/>
      <c r="H6401" s="82"/>
    </row>
    <row r="6402" spans="1:8" s="28" customFormat="1" x14ac:dyDescent="0.25">
      <c r="A6402" s="29"/>
      <c r="B6402" s="15"/>
      <c r="C6402" s="19"/>
      <c r="D6402" s="19"/>
      <c r="E6402" s="19"/>
      <c r="F6402" s="19"/>
      <c r="G6402" s="19"/>
      <c r="H6402" s="82"/>
    </row>
    <row r="6403" spans="1:8" s="28" customFormat="1" x14ac:dyDescent="0.25">
      <c r="A6403" s="29"/>
      <c r="B6403" s="15"/>
      <c r="C6403" s="19"/>
      <c r="D6403" s="19"/>
      <c r="E6403" s="19"/>
      <c r="F6403" s="19"/>
      <c r="G6403" s="19"/>
      <c r="H6403" s="82"/>
    </row>
    <row r="6404" spans="1:8" s="28" customFormat="1" x14ac:dyDescent="0.25">
      <c r="A6404" s="29"/>
      <c r="B6404" s="15"/>
      <c r="C6404" s="19"/>
      <c r="D6404" s="19"/>
      <c r="E6404" s="19"/>
      <c r="F6404" s="19"/>
      <c r="G6404" s="19"/>
      <c r="H6404" s="82"/>
    </row>
    <row r="6405" spans="1:8" s="28" customFormat="1" x14ac:dyDescent="0.25">
      <c r="A6405" s="29"/>
      <c r="B6405" s="15"/>
      <c r="C6405" s="19"/>
      <c r="D6405" s="19"/>
      <c r="E6405" s="19"/>
      <c r="F6405" s="19"/>
      <c r="G6405" s="19"/>
      <c r="H6405" s="82"/>
    </row>
    <row r="6406" spans="1:8" s="28" customFormat="1" x14ac:dyDescent="0.25">
      <c r="A6406" s="29"/>
      <c r="B6406" s="15"/>
      <c r="C6406" s="19"/>
      <c r="D6406" s="19"/>
      <c r="E6406" s="19"/>
      <c r="F6406" s="19"/>
      <c r="G6406" s="19"/>
      <c r="H6406" s="82"/>
    </row>
    <row r="6407" spans="1:8" s="28" customFormat="1" x14ac:dyDescent="0.25">
      <c r="A6407" s="29"/>
      <c r="B6407" s="15"/>
      <c r="C6407" s="19"/>
      <c r="D6407" s="19"/>
      <c r="E6407" s="19"/>
      <c r="F6407" s="19"/>
      <c r="G6407" s="19"/>
      <c r="H6407" s="82"/>
    </row>
    <row r="6408" spans="1:8" s="28" customFormat="1" x14ac:dyDescent="0.25">
      <c r="A6408" s="29"/>
      <c r="B6408" s="15"/>
      <c r="C6408" s="19"/>
      <c r="D6408" s="19"/>
      <c r="E6408" s="19"/>
      <c r="F6408" s="19"/>
      <c r="G6408" s="19"/>
      <c r="H6408" s="82"/>
    </row>
    <row r="6409" spans="1:8" s="28" customFormat="1" x14ac:dyDescent="0.25">
      <c r="A6409" s="29"/>
      <c r="B6409" s="15"/>
      <c r="C6409" s="19"/>
      <c r="D6409" s="19"/>
      <c r="E6409" s="19"/>
      <c r="F6409" s="19"/>
      <c r="G6409" s="19"/>
      <c r="H6409" s="82"/>
    </row>
    <row r="6410" spans="1:8" s="28" customFormat="1" x14ac:dyDescent="0.25">
      <c r="A6410" s="29"/>
      <c r="B6410" s="15"/>
      <c r="C6410" s="19"/>
      <c r="D6410" s="19"/>
      <c r="E6410" s="19"/>
      <c r="F6410" s="19"/>
      <c r="G6410" s="19"/>
      <c r="H6410" s="82"/>
    </row>
    <row r="6411" spans="1:8" s="28" customFormat="1" x14ac:dyDescent="0.25">
      <c r="A6411" s="29"/>
      <c r="B6411" s="15"/>
      <c r="C6411" s="19"/>
      <c r="D6411" s="19"/>
      <c r="E6411" s="19"/>
      <c r="F6411" s="19"/>
      <c r="G6411" s="19"/>
      <c r="H6411" s="82"/>
    </row>
    <row r="6412" spans="1:8" s="28" customFormat="1" x14ac:dyDescent="0.25">
      <c r="A6412" s="29"/>
      <c r="B6412" s="15"/>
      <c r="C6412" s="19"/>
      <c r="D6412" s="19"/>
      <c r="E6412" s="19"/>
      <c r="F6412" s="19"/>
      <c r="G6412" s="19"/>
      <c r="H6412" s="82"/>
    </row>
    <row r="6413" spans="1:8" s="28" customFormat="1" x14ac:dyDescent="0.25">
      <c r="A6413" s="29"/>
      <c r="B6413" s="15"/>
      <c r="C6413" s="19"/>
      <c r="D6413" s="19"/>
      <c r="E6413" s="19"/>
      <c r="F6413" s="19"/>
      <c r="G6413" s="19"/>
      <c r="H6413" s="82"/>
    </row>
    <row r="6414" spans="1:8" s="28" customFormat="1" x14ac:dyDescent="0.25">
      <c r="A6414" s="29"/>
      <c r="B6414" s="15"/>
      <c r="C6414" s="19"/>
      <c r="D6414" s="19"/>
      <c r="E6414" s="19"/>
      <c r="F6414" s="19"/>
      <c r="G6414" s="19"/>
      <c r="H6414" s="82"/>
    </row>
    <row r="6415" spans="1:8" s="28" customFormat="1" x14ac:dyDescent="0.25">
      <c r="A6415" s="29"/>
      <c r="B6415" s="15"/>
      <c r="C6415" s="19"/>
      <c r="D6415" s="19"/>
      <c r="E6415" s="19"/>
      <c r="F6415" s="19"/>
      <c r="G6415" s="19"/>
      <c r="H6415" s="82"/>
    </row>
    <row r="6416" spans="1:8" s="28" customFormat="1" x14ac:dyDescent="0.25">
      <c r="A6416" s="29"/>
      <c r="B6416" s="15"/>
      <c r="C6416" s="19"/>
      <c r="D6416" s="19"/>
      <c r="E6416" s="19"/>
      <c r="F6416" s="19"/>
      <c r="G6416" s="19"/>
      <c r="H6416" s="82"/>
    </row>
    <row r="6417" spans="1:8" s="28" customFormat="1" x14ac:dyDescent="0.25">
      <c r="A6417" s="29"/>
      <c r="B6417" s="15"/>
      <c r="C6417" s="19"/>
      <c r="D6417" s="19"/>
      <c r="E6417" s="19"/>
      <c r="F6417" s="19"/>
      <c r="G6417" s="19"/>
      <c r="H6417" s="82"/>
    </row>
    <row r="6418" spans="1:8" s="28" customFormat="1" x14ac:dyDescent="0.25">
      <c r="A6418" s="29"/>
      <c r="B6418" s="15"/>
      <c r="C6418" s="19"/>
      <c r="D6418" s="19"/>
      <c r="E6418" s="19"/>
      <c r="F6418" s="19"/>
      <c r="G6418" s="19"/>
      <c r="H6418" s="82"/>
    </row>
    <row r="6419" spans="1:8" s="28" customFormat="1" x14ac:dyDescent="0.25">
      <c r="A6419" s="29"/>
      <c r="B6419" s="15"/>
      <c r="C6419" s="19"/>
      <c r="D6419" s="19"/>
      <c r="E6419" s="19"/>
      <c r="F6419" s="19"/>
      <c r="G6419" s="19"/>
      <c r="H6419" s="82"/>
    </row>
    <row r="6420" spans="1:8" s="28" customFormat="1" x14ac:dyDescent="0.25">
      <c r="A6420" s="29"/>
      <c r="B6420" s="15"/>
      <c r="C6420" s="19"/>
      <c r="D6420" s="19"/>
      <c r="E6420" s="19"/>
      <c r="F6420" s="19"/>
      <c r="G6420" s="19"/>
      <c r="H6420" s="82"/>
    </row>
    <row r="6421" spans="1:8" s="28" customFormat="1" x14ac:dyDescent="0.25">
      <c r="A6421" s="29"/>
      <c r="B6421" s="15"/>
      <c r="C6421" s="19"/>
      <c r="D6421" s="19"/>
      <c r="E6421" s="19"/>
      <c r="F6421" s="19"/>
      <c r="G6421" s="19"/>
      <c r="H6421" s="82"/>
    </row>
    <row r="6422" spans="1:8" s="28" customFormat="1" x14ac:dyDescent="0.25">
      <c r="A6422" s="29"/>
      <c r="B6422" s="15"/>
      <c r="C6422" s="19"/>
      <c r="D6422" s="19"/>
      <c r="E6422" s="19"/>
      <c r="F6422" s="19"/>
      <c r="G6422" s="19"/>
      <c r="H6422" s="82"/>
    </row>
    <row r="6423" spans="1:8" s="28" customFormat="1" x14ac:dyDescent="0.25">
      <c r="A6423" s="29"/>
      <c r="B6423" s="15"/>
      <c r="C6423" s="19"/>
      <c r="D6423" s="19"/>
      <c r="E6423" s="19"/>
      <c r="F6423" s="19"/>
      <c r="G6423" s="19"/>
      <c r="H6423" s="82"/>
    </row>
    <row r="6424" spans="1:8" s="28" customFormat="1" x14ac:dyDescent="0.25">
      <c r="A6424" s="29"/>
      <c r="B6424" s="15"/>
      <c r="C6424" s="19"/>
      <c r="D6424" s="19"/>
      <c r="E6424" s="19"/>
      <c r="F6424" s="19"/>
      <c r="G6424" s="19"/>
      <c r="H6424" s="82"/>
    </row>
    <row r="6425" spans="1:8" s="28" customFormat="1" x14ac:dyDescent="0.25">
      <c r="A6425" s="29"/>
      <c r="B6425" s="15"/>
      <c r="C6425" s="19"/>
      <c r="D6425" s="19"/>
      <c r="E6425" s="19"/>
      <c r="F6425" s="19"/>
      <c r="G6425" s="19"/>
      <c r="H6425" s="82"/>
    </row>
    <row r="6426" spans="1:8" s="28" customFormat="1" x14ac:dyDescent="0.25">
      <c r="A6426" s="29"/>
      <c r="B6426" s="15"/>
      <c r="C6426" s="19"/>
      <c r="D6426" s="19"/>
      <c r="E6426" s="19"/>
      <c r="F6426" s="19"/>
      <c r="G6426" s="19"/>
      <c r="H6426" s="82"/>
    </row>
    <row r="6427" spans="1:8" s="28" customFormat="1" x14ac:dyDescent="0.25">
      <c r="A6427" s="29"/>
      <c r="B6427" s="15"/>
      <c r="C6427" s="19"/>
      <c r="D6427" s="19"/>
      <c r="E6427" s="19"/>
      <c r="F6427" s="19"/>
      <c r="G6427" s="19"/>
      <c r="H6427" s="82"/>
    </row>
    <row r="6428" spans="1:8" s="28" customFormat="1" x14ac:dyDescent="0.25">
      <c r="A6428" s="29"/>
      <c r="B6428" s="15"/>
      <c r="C6428" s="19"/>
      <c r="D6428" s="19"/>
      <c r="E6428" s="19"/>
      <c r="F6428" s="19"/>
      <c r="G6428" s="19"/>
      <c r="H6428" s="82"/>
    </row>
    <row r="6429" spans="1:8" s="28" customFormat="1" x14ac:dyDescent="0.25">
      <c r="A6429" s="29"/>
      <c r="B6429" s="15"/>
      <c r="C6429" s="19"/>
      <c r="D6429" s="19"/>
      <c r="E6429" s="19"/>
      <c r="F6429" s="19"/>
      <c r="G6429" s="19"/>
      <c r="H6429" s="82"/>
    </row>
    <row r="6430" spans="1:8" s="28" customFormat="1" x14ac:dyDescent="0.25">
      <c r="A6430" s="29"/>
      <c r="B6430" s="15"/>
      <c r="C6430" s="19"/>
      <c r="D6430" s="19"/>
      <c r="E6430" s="19"/>
      <c r="F6430" s="19"/>
      <c r="G6430" s="19"/>
      <c r="H6430" s="82"/>
    </row>
    <row r="6431" spans="1:8" s="28" customFormat="1" x14ac:dyDescent="0.25">
      <c r="A6431" s="29"/>
      <c r="B6431" s="15"/>
      <c r="C6431" s="19"/>
      <c r="D6431" s="19"/>
      <c r="E6431" s="19"/>
      <c r="F6431" s="19"/>
      <c r="G6431" s="19"/>
      <c r="H6431" s="82"/>
    </row>
    <row r="6432" spans="1:8" s="28" customFormat="1" x14ac:dyDescent="0.25">
      <c r="A6432" s="29"/>
      <c r="B6432" s="15"/>
      <c r="C6432" s="19"/>
      <c r="D6432" s="19"/>
      <c r="E6432" s="19"/>
      <c r="F6432" s="19"/>
      <c r="G6432" s="19"/>
      <c r="H6432" s="82"/>
    </row>
    <row r="6433" spans="1:8" s="28" customFormat="1" x14ac:dyDescent="0.25">
      <c r="A6433" s="29"/>
      <c r="B6433" s="15"/>
      <c r="C6433" s="19"/>
      <c r="D6433" s="19"/>
      <c r="E6433" s="19"/>
      <c r="F6433" s="19"/>
      <c r="G6433" s="19"/>
      <c r="H6433" s="82"/>
    </row>
    <row r="6434" spans="1:8" s="28" customFormat="1" x14ac:dyDescent="0.25">
      <c r="A6434" s="29"/>
      <c r="B6434" s="15"/>
      <c r="C6434" s="19"/>
      <c r="D6434" s="19"/>
      <c r="E6434" s="19"/>
      <c r="F6434" s="19"/>
      <c r="G6434" s="19"/>
      <c r="H6434" s="82"/>
    </row>
    <row r="6435" spans="1:8" s="28" customFormat="1" x14ac:dyDescent="0.25">
      <c r="A6435" s="29"/>
      <c r="B6435" s="15"/>
      <c r="C6435" s="19"/>
      <c r="D6435" s="19"/>
      <c r="E6435" s="19"/>
      <c r="F6435" s="19"/>
      <c r="G6435" s="19"/>
      <c r="H6435" s="82"/>
    </row>
    <row r="6436" spans="1:8" s="28" customFormat="1" x14ac:dyDescent="0.25">
      <c r="A6436" s="29"/>
      <c r="B6436" s="15"/>
      <c r="C6436" s="19"/>
      <c r="D6436" s="19"/>
      <c r="E6436" s="19"/>
      <c r="F6436" s="19"/>
      <c r="G6436" s="19"/>
      <c r="H6436" s="82"/>
    </row>
    <row r="6437" spans="1:8" s="28" customFormat="1" x14ac:dyDescent="0.25">
      <c r="A6437" s="29"/>
      <c r="B6437" s="15"/>
      <c r="C6437" s="19"/>
      <c r="D6437" s="19"/>
      <c r="E6437" s="19"/>
      <c r="F6437" s="19"/>
      <c r="G6437" s="19"/>
      <c r="H6437" s="82"/>
    </row>
    <row r="6438" spans="1:8" s="28" customFormat="1" x14ac:dyDescent="0.25">
      <c r="A6438" s="29"/>
      <c r="B6438" s="15"/>
      <c r="C6438" s="19"/>
      <c r="D6438" s="19"/>
      <c r="E6438" s="19"/>
      <c r="F6438" s="19"/>
      <c r="G6438" s="19"/>
      <c r="H6438" s="82"/>
    </row>
    <row r="6439" spans="1:8" s="28" customFormat="1" x14ac:dyDescent="0.25">
      <c r="A6439" s="29"/>
      <c r="B6439" s="15"/>
      <c r="C6439" s="19"/>
      <c r="D6439" s="19"/>
      <c r="E6439" s="19"/>
      <c r="F6439" s="19"/>
      <c r="G6439" s="19"/>
      <c r="H6439" s="82"/>
    </row>
    <row r="6440" spans="1:8" s="28" customFormat="1" x14ac:dyDescent="0.25">
      <c r="A6440" s="29"/>
      <c r="B6440" s="15"/>
      <c r="C6440" s="19"/>
      <c r="D6440" s="19"/>
      <c r="E6440" s="19"/>
      <c r="F6440" s="19"/>
      <c r="G6440" s="19"/>
      <c r="H6440" s="82"/>
    </row>
    <row r="6441" spans="1:8" s="28" customFormat="1" x14ac:dyDescent="0.25">
      <c r="A6441" s="29"/>
      <c r="B6441" s="15"/>
      <c r="C6441" s="19"/>
      <c r="D6441" s="19"/>
      <c r="E6441" s="19"/>
      <c r="F6441" s="19"/>
      <c r="G6441" s="19"/>
      <c r="H6441" s="82"/>
    </row>
    <row r="6442" spans="1:8" s="28" customFormat="1" x14ac:dyDescent="0.25">
      <c r="A6442" s="29"/>
      <c r="B6442" s="15"/>
      <c r="C6442" s="19"/>
      <c r="D6442" s="19"/>
      <c r="E6442" s="19"/>
      <c r="F6442" s="19"/>
      <c r="G6442" s="19"/>
      <c r="H6442" s="82"/>
    </row>
    <row r="6443" spans="1:8" s="28" customFormat="1" x14ac:dyDescent="0.25">
      <c r="A6443" s="29"/>
      <c r="B6443" s="15"/>
      <c r="C6443" s="19"/>
      <c r="D6443" s="19"/>
      <c r="E6443" s="19"/>
      <c r="F6443" s="19"/>
      <c r="G6443" s="19"/>
      <c r="H6443" s="82"/>
    </row>
    <row r="6444" spans="1:8" s="28" customFormat="1" x14ac:dyDescent="0.25">
      <c r="A6444" s="29"/>
      <c r="B6444" s="15"/>
      <c r="C6444" s="19"/>
      <c r="D6444" s="19"/>
      <c r="E6444" s="19"/>
      <c r="F6444" s="19"/>
      <c r="G6444" s="19"/>
      <c r="H6444" s="82"/>
    </row>
    <row r="6445" spans="1:8" s="28" customFormat="1" x14ac:dyDescent="0.25">
      <c r="A6445" s="29"/>
      <c r="B6445" s="15"/>
      <c r="C6445" s="19"/>
      <c r="D6445" s="19"/>
      <c r="E6445" s="19"/>
      <c r="F6445" s="19"/>
      <c r="G6445" s="19"/>
      <c r="H6445" s="82"/>
    </row>
    <row r="6446" spans="1:8" s="28" customFormat="1" x14ac:dyDescent="0.25">
      <c r="A6446" s="29"/>
      <c r="B6446" s="15"/>
      <c r="C6446" s="19"/>
      <c r="D6446" s="19"/>
      <c r="E6446" s="19"/>
      <c r="F6446" s="19"/>
      <c r="G6446" s="19"/>
      <c r="H6446" s="82"/>
    </row>
    <row r="6447" spans="1:8" s="28" customFormat="1" x14ac:dyDescent="0.25">
      <c r="A6447" s="29"/>
      <c r="B6447" s="15"/>
      <c r="C6447" s="19"/>
      <c r="D6447" s="19"/>
      <c r="E6447" s="19"/>
      <c r="F6447" s="19"/>
      <c r="G6447" s="19"/>
      <c r="H6447" s="82"/>
    </row>
    <row r="6448" spans="1:8" s="28" customFormat="1" x14ac:dyDescent="0.25">
      <c r="A6448" s="29"/>
      <c r="B6448" s="15"/>
      <c r="C6448" s="19"/>
      <c r="D6448" s="19"/>
      <c r="E6448" s="19"/>
      <c r="F6448" s="19"/>
      <c r="G6448" s="19"/>
      <c r="H6448" s="82"/>
    </row>
    <row r="6449" spans="1:8" s="28" customFormat="1" x14ac:dyDescent="0.25">
      <c r="A6449" s="29"/>
      <c r="B6449" s="15"/>
      <c r="C6449" s="19"/>
      <c r="D6449" s="19"/>
      <c r="E6449" s="19"/>
      <c r="F6449" s="19"/>
      <c r="G6449" s="19"/>
      <c r="H6449" s="82"/>
    </row>
    <row r="6450" spans="1:8" s="28" customFormat="1" x14ac:dyDescent="0.25">
      <c r="A6450" s="29"/>
      <c r="B6450" s="15"/>
      <c r="C6450" s="19"/>
      <c r="D6450" s="19"/>
      <c r="E6450" s="19"/>
      <c r="F6450" s="19"/>
      <c r="G6450" s="19"/>
      <c r="H6450" s="82"/>
    </row>
    <row r="6451" spans="1:8" s="28" customFormat="1" x14ac:dyDescent="0.25">
      <c r="A6451" s="29"/>
      <c r="B6451" s="15"/>
      <c r="C6451" s="19"/>
      <c r="D6451" s="19"/>
      <c r="E6451" s="19"/>
      <c r="F6451" s="19"/>
      <c r="G6451" s="19"/>
      <c r="H6451" s="82"/>
    </row>
    <row r="6452" spans="1:8" s="28" customFormat="1" x14ac:dyDescent="0.25">
      <c r="A6452" s="29"/>
      <c r="B6452" s="15"/>
      <c r="C6452" s="19"/>
      <c r="D6452" s="19"/>
      <c r="E6452" s="19"/>
      <c r="F6452" s="19"/>
      <c r="G6452" s="19"/>
      <c r="H6452" s="82"/>
    </row>
    <row r="6453" spans="1:8" s="28" customFormat="1" x14ac:dyDescent="0.25">
      <c r="A6453" s="29"/>
      <c r="B6453" s="15"/>
      <c r="C6453" s="19"/>
      <c r="D6453" s="19"/>
      <c r="E6453" s="19"/>
      <c r="F6453" s="19"/>
      <c r="G6453" s="19"/>
      <c r="H6453" s="82"/>
    </row>
    <row r="6454" spans="1:8" s="28" customFormat="1" x14ac:dyDescent="0.25">
      <c r="A6454" s="29"/>
      <c r="B6454" s="15"/>
      <c r="C6454" s="19"/>
      <c r="D6454" s="19"/>
      <c r="E6454" s="19"/>
      <c r="F6454" s="19"/>
      <c r="G6454" s="19"/>
      <c r="H6454" s="82"/>
    </row>
    <row r="6455" spans="1:8" s="28" customFormat="1" x14ac:dyDescent="0.25">
      <c r="A6455" s="29"/>
      <c r="B6455" s="15"/>
      <c r="C6455" s="19"/>
      <c r="D6455" s="19"/>
      <c r="E6455" s="19"/>
      <c r="F6455" s="19"/>
      <c r="G6455" s="19"/>
      <c r="H6455" s="82"/>
    </row>
    <row r="6456" spans="1:8" s="28" customFormat="1" x14ac:dyDescent="0.25">
      <c r="A6456" s="29"/>
      <c r="B6456" s="15"/>
      <c r="C6456" s="19"/>
      <c r="D6456" s="19"/>
      <c r="E6456" s="19"/>
      <c r="F6456" s="19"/>
      <c r="G6456" s="19"/>
      <c r="H6456" s="82"/>
    </row>
    <row r="6457" spans="1:8" s="28" customFormat="1" x14ac:dyDescent="0.25">
      <c r="A6457" s="29"/>
      <c r="B6457" s="15"/>
      <c r="C6457" s="19"/>
      <c r="D6457" s="19"/>
      <c r="E6457" s="19"/>
      <c r="F6457" s="19"/>
      <c r="G6457" s="19"/>
      <c r="H6457" s="82"/>
    </row>
    <row r="6458" spans="1:8" s="28" customFormat="1" x14ac:dyDescent="0.25">
      <c r="A6458" s="29"/>
      <c r="B6458" s="15"/>
      <c r="C6458" s="19"/>
      <c r="D6458" s="19"/>
      <c r="E6458" s="19"/>
      <c r="F6458" s="19"/>
      <c r="G6458" s="19"/>
      <c r="H6458" s="82"/>
    </row>
    <row r="6459" spans="1:8" s="28" customFormat="1" x14ac:dyDescent="0.25">
      <c r="A6459" s="29"/>
      <c r="B6459" s="15"/>
      <c r="C6459" s="19"/>
      <c r="D6459" s="19"/>
      <c r="E6459" s="19"/>
      <c r="F6459" s="19"/>
      <c r="G6459" s="19"/>
      <c r="H6459" s="82"/>
    </row>
    <row r="6460" spans="1:8" s="28" customFormat="1" x14ac:dyDescent="0.25">
      <c r="A6460" s="29"/>
      <c r="B6460" s="15"/>
      <c r="C6460" s="19"/>
      <c r="D6460" s="19"/>
      <c r="E6460" s="19"/>
      <c r="F6460" s="19"/>
      <c r="G6460" s="19"/>
      <c r="H6460" s="82"/>
    </row>
    <row r="6461" spans="1:8" s="28" customFormat="1" x14ac:dyDescent="0.25">
      <c r="A6461" s="29"/>
      <c r="B6461" s="15"/>
      <c r="C6461" s="19"/>
      <c r="D6461" s="19"/>
      <c r="E6461" s="19"/>
      <c r="F6461" s="19"/>
      <c r="G6461" s="19"/>
      <c r="H6461" s="82"/>
    </row>
    <row r="6462" spans="1:8" s="28" customFormat="1" x14ac:dyDescent="0.25">
      <c r="A6462" s="29"/>
      <c r="B6462" s="15"/>
      <c r="C6462" s="19"/>
      <c r="D6462" s="19"/>
      <c r="E6462" s="19"/>
      <c r="F6462" s="19"/>
      <c r="G6462" s="19"/>
      <c r="H6462" s="82"/>
    </row>
    <row r="6463" spans="1:8" s="28" customFormat="1" x14ac:dyDescent="0.25">
      <c r="A6463" s="29"/>
      <c r="B6463" s="15"/>
      <c r="C6463" s="19"/>
      <c r="D6463" s="19"/>
      <c r="E6463" s="19"/>
      <c r="F6463" s="19"/>
      <c r="G6463" s="19"/>
      <c r="H6463" s="82"/>
    </row>
    <row r="6464" spans="1:8" s="28" customFormat="1" x14ac:dyDescent="0.25">
      <c r="A6464" s="29"/>
      <c r="B6464" s="15"/>
      <c r="C6464" s="19"/>
      <c r="D6464" s="19"/>
      <c r="E6464" s="19"/>
      <c r="F6464" s="19"/>
      <c r="G6464" s="19"/>
      <c r="H6464" s="82"/>
    </row>
    <row r="6465" spans="1:8" s="28" customFormat="1" x14ac:dyDescent="0.25">
      <c r="A6465" s="29"/>
      <c r="B6465" s="15"/>
      <c r="C6465" s="19"/>
      <c r="D6465" s="19"/>
      <c r="E6465" s="19"/>
      <c r="F6465" s="19"/>
      <c r="G6465" s="19"/>
      <c r="H6465" s="82"/>
    </row>
    <row r="6466" spans="1:8" s="28" customFormat="1" x14ac:dyDescent="0.25">
      <c r="A6466" s="29"/>
      <c r="B6466" s="15"/>
      <c r="C6466" s="19"/>
      <c r="D6466" s="19"/>
      <c r="E6466" s="19"/>
      <c r="F6466" s="19"/>
      <c r="G6466" s="19"/>
      <c r="H6466" s="82"/>
    </row>
    <row r="6467" spans="1:8" s="28" customFormat="1" x14ac:dyDescent="0.25">
      <c r="A6467" s="29"/>
      <c r="B6467" s="15"/>
      <c r="C6467" s="19"/>
      <c r="D6467" s="19"/>
      <c r="E6467" s="19"/>
      <c r="F6467" s="19"/>
      <c r="G6467" s="19"/>
      <c r="H6467" s="82"/>
    </row>
    <row r="6468" spans="1:8" s="28" customFormat="1" x14ac:dyDescent="0.25">
      <c r="A6468" s="29"/>
      <c r="B6468" s="15"/>
      <c r="C6468" s="19"/>
      <c r="D6468" s="19"/>
      <c r="E6468" s="19"/>
      <c r="F6468" s="19"/>
      <c r="G6468" s="19"/>
      <c r="H6468" s="82"/>
    </row>
    <row r="6469" spans="1:8" s="28" customFormat="1" x14ac:dyDescent="0.25">
      <c r="A6469" s="29"/>
      <c r="B6469" s="15"/>
      <c r="C6469" s="19"/>
      <c r="D6469" s="19"/>
      <c r="E6469" s="19"/>
      <c r="F6469" s="19"/>
      <c r="G6469" s="19"/>
      <c r="H6469" s="82"/>
    </row>
    <row r="6470" spans="1:8" s="28" customFormat="1" x14ac:dyDescent="0.25">
      <c r="A6470" s="29"/>
      <c r="B6470" s="15"/>
      <c r="C6470" s="19"/>
      <c r="D6470" s="19"/>
      <c r="E6470" s="19"/>
      <c r="F6470" s="19"/>
      <c r="G6470" s="19"/>
      <c r="H6470" s="82"/>
    </row>
    <row r="6471" spans="1:8" s="28" customFormat="1" x14ac:dyDescent="0.25">
      <c r="A6471" s="29"/>
      <c r="B6471" s="15"/>
      <c r="C6471" s="19"/>
      <c r="D6471" s="19"/>
      <c r="E6471" s="19"/>
      <c r="F6471" s="19"/>
      <c r="G6471" s="19"/>
      <c r="H6471" s="82"/>
    </row>
    <row r="6472" spans="1:8" s="28" customFormat="1" x14ac:dyDescent="0.25">
      <c r="A6472" s="29"/>
      <c r="B6472" s="15"/>
      <c r="C6472" s="19"/>
      <c r="D6472" s="19"/>
      <c r="E6472" s="19"/>
      <c r="F6472" s="19"/>
      <c r="G6472" s="19"/>
      <c r="H6472" s="82"/>
    </row>
    <row r="6473" spans="1:8" s="28" customFormat="1" x14ac:dyDescent="0.25">
      <c r="A6473" s="29"/>
      <c r="B6473" s="15"/>
      <c r="C6473" s="19"/>
      <c r="D6473" s="19"/>
      <c r="E6473" s="19"/>
      <c r="F6473" s="19"/>
      <c r="G6473" s="19"/>
      <c r="H6473" s="82"/>
    </row>
    <row r="6474" spans="1:8" s="28" customFormat="1" x14ac:dyDescent="0.25">
      <c r="A6474" s="29"/>
      <c r="B6474" s="15"/>
      <c r="C6474" s="19"/>
      <c r="D6474" s="19"/>
      <c r="E6474" s="19"/>
      <c r="F6474" s="19"/>
      <c r="G6474" s="19"/>
      <c r="H6474" s="82"/>
    </row>
    <row r="6475" spans="1:8" s="28" customFormat="1" x14ac:dyDescent="0.25">
      <c r="A6475" s="29"/>
      <c r="B6475" s="15"/>
      <c r="C6475" s="19"/>
      <c r="D6475" s="19"/>
      <c r="E6475" s="19"/>
      <c r="F6475" s="19"/>
      <c r="G6475" s="19"/>
      <c r="H6475" s="82"/>
    </row>
    <row r="6476" spans="1:8" s="28" customFormat="1" x14ac:dyDescent="0.25">
      <c r="A6476" s="29"/>
      <c r="B6476" s="15"/>
      <c r="C6476" s="19"/>
      <c r="D6476" s="19"/>
      <c r="E6476" s="19"/>
      <c r="F6476" s="19"/>
      <c r="G6476" s="19"/>
      <c r="H6476" s="82"/>
    </row>
    <row r="6477" spans="1:8" s="28" customFormat="1" x14ac:dyDescent="0.25">
      <c r="A6477" s="29"/>
      <c r="B6477" s="15"/>
      <c r="C6477" s="19"/>
      <c r="D6477" s="19"/>
      <c r="E6477" s="19"/>
      <c r="F6477" s="19"/>
      <c r="G6477" s="19"/>
      <c r="H6477" s="82"/>
    </row>
    <row r="6478" spans="1:8" s="28" customFormat="1" x14ac:dyDescent="0.25">
      <c r="A6478" s="29"/>
      <c r="B6478" s="15"/>
      <c r="C6478" s="19"/>
      <c r="D6478" s="19"/>
      <c r="E6478" s="19"/>
      <c r="F6478" s="19"/>
      <c r="G6478" s="19"/>
      <c r="H6478" s="82"/>
    </row>
    <row r="6479" spans="1:8" s="28" customFormat="1" x14ac:dyDescent="0.25">
      <c r="A6479" s="29"/>
      <c r="B6479" s="15"/>
      <c r="C6479" s="19"/>
      <c r="D6479" s="19"/>
      <c r="E6479" s="19"/>
      <c r="F6479" s="19"/>
      <c r="G6479" s="19"/>
      <c r="H6479" s="82"/>
    </row>
    <row r="6480" spans="1:8" s="28" customFormat="1" x14ac:dyDescent="0.25">
      <c r="A6480" s="29"/>
      <c r="B6480" s="15"/>
      <c r="C6480" s="19"/>
      <c r="D6480" s="19"/>
      <c r="E6480" s="19"/>
      <c r="F6480" s="19"/>
      <c r="G6480" s="19"/>
      <c r="H6480" s="82"/>
    </row>
    <row r="6481" spans="1:8" s="28" customFormat="1" x14ac:dyDescent="0.25">
      <c r="A6481" s="29"/>
      <c r="B6481" s="15"/>
      <c r="C6481" s="19"/>
      <c r="D6481" s="19"/>
      <c r="E6481" s="19"/>
      <c r="F6481" s="19"/>
      <c r="G6481" s="19"/>
      <c r="H6481" s="82"/>
    </row>
    <row r="6482" spans="1:8" s="28" customFormat="1" x14ac:dyDescent="0.25">
      <c r="A6482" s="29"/>
      <c r="B6482" s="15"/>
      <c r="C6482" s="19"/>
      <c r="D6482" s="19"/>
      <c r="E6482" s="19"/>
      <c r="F6482" s="19"/>
      <c r="G6482" s="19"/>
      <c r="H6482" s="82"/>
    </row>
    <row r="6483" spans="1:8" s="28" customFormat="1" x14ac:dyDescent="0.25">
      <c r="A6483" s="29"/>
      <c r="B6483" s="15"/>
      <c r="C6483" s="19"/>
      <c r="D6483" s="19"/>
      <c r="E6483" s="19"/>
      <c r="F6483" s="19"/>
      <c r="G6483" s="19"/>
      <c r="H6483" s="82"/>
    </row>
    <row r="6484" spans="1:8" s="28" customFormat="1" x14ac:dyDescent="0.25">
      <c r="A6484" s="29"/>
      <c r="B6484" s="15"/>
      <c r="C6484" s="19"/>
      <c r="D6484" s="19"/>
      <c r="E6484" s="19"/>
      <c r="F6484" s="19"/>
      <c r="G6484" s="19"/>
      <c r="H6484" s="82"/>
    </row>
    <row r="6485" spans="1:8" s="28" customFormat="1" x14ac:dyDescent="0.25">
      <c r="A6485" s="29"/>
      <c r="B6485" s="15"/>
      <c r="C6485" s="19"/>
      <c r="D6485" s="19"/>
      <c r="E6485" s="19"/>
      <c r="F6485" s="19"/>
      <c r="G6485" s="19"/>
      <c r="H6485" s="82"/>
    </row>
    <row r="6486" spans="1:8" s="28" customFormat="1" x14ac:dyDescent="0.25">
      <c r="A6486" s="29"/>
      <c r="B6486" s="15"/>
      <c r="C6486" s="19"/>
      <c r="D6486" s="19"/>
      <c r="E6486" s="19"/>
      <c r="F6486" s="19"/>
      <c r="G6486" s="19"/>
      <c r="H6486" s="82"/>
    </row>
    <row r="6487" spans="1:8" s="28" customFormat="1" x14ac:dyDescent="0.25">
      <c r="A6487" s="29"/>
      <c r="B6487" s="15"/>
      <c r="C6487" s="19"/>
      <c r="D6487" s="19"/>
      <c r="E6487" s="19"/>
      <c r="F6487" s="19"/>
      <c r="G6487" s="19"/>
      <c r="H6487" s="82"/>
    </row>
    <row r="6488" spans="1:8" s="28" customFormat="1" x14ac:dyDescent="0.25">
      <c r="A6488" s="29"/>
      <c r="B6488" s="15"/>
      <c r="C6488" s="19"/>
      <c r="D6488" s="19"/>
      <c r="E6488" s="19"/>
      <c r="F6488" s="19"/>
      <c r="G6488" s="19"/>
      <c r="H6488" s="82"/>
    </row>
    <row r="6489" spans="1:8" s="28" customFormat="1" x14ac:dyDescent="0.25">
      <c r="A6489" s="29"/>
      <c r="B6489" s="15"/>
      <c r="C6489" s="19"/>
      <c r="D6489" s="19"/>
      <c r="E6489" s="19"/>
      <c r="F6489" s="19"/>
      <c r="G6489" s="19"/>
      <c r="H6489" s="82"/>
    </row>
    <row r="6490" spans="1:8" s="28" customFormat="1" x14ac:dyDescent="0.25">
      <c r="A6490" s="29"/>
      <c r="B6490" s="15"/>
      <c r="C6490" s="19"/>
      <c r="D6490" s="19"/>
      <c r="E6490" s="19"/>
      <c r="F6490" s="19"/>
      <c r="G6490" s="19"/>
      <c r="H6490" s="82"/>
    </row>
    <row r="6491" spans="1:8" s="28" customFormat="1" x14ac:dyDescent="0.25">
      <c r="A6491" s="29"/>
      <c r="B6491" s="15"/>
      <c r="C6491" s="19"/>
      <c r="D6491" s="19"/>
      <c r="E6491" s="19"/>
      <c r="F6491" s="19"/>
      <c r="G6491" s="19"/>
      <c r="H6491" s="82"/>
    </row>
    <row r="6492" spans="1:8" s="28" customFormat="1" x14ac:dyDescent="0.25">
      <c r="A6492" s="29"/>
      <c r="B6492" s="15"/>
      <c r="C6492" s="19"/>
      <c r="D6492" s="19"/>
      <c r="E6492" s="19"/>
      <c r="F6492" s="19"/>
      <c r="G6492" s="19"/>
      <c r="H6492" s="82"/>
    </row>
    <row r="6493" spans="1:8" s="28" customFormat="1" x14ac:dyDescent="0.25">
      <c r="A6493" s="29"/>
      <c r="B6493" s="15"/>
      <c r="C6493" s="19"/>
      <c r="D6493" s="19"/>
      <c r="E6493" s="19"/>
      <c r="F6493" s="19"/>
      <c r="G6493" s="19"/>
      <c r="H6493" s="82"/>
    </row>
    <row r="6494" spans="1:8" s="28" customFormat="1" x14ac:dyDescent="0.25">
      <c r="A6494" s="29"/>
      <c r="B6494" s="15"/>
      <c r="C6494" s="19"/>
      <c r="D6494" s="19"/>
      <c r="E6494" s="19"/>
      <c r="F6494" s="19"/>
      <c r="G6494" s="19"/>
      <c r="H6494" s="82"/>
    </row>
    <row r="6495" spans="1:8" s="28" customFormat="1" x14ac:dyDescent="0.25">
      <c r="A6495" s="29"/>
      <c r="B6495" s="15"/>
      <c r="C6495" s="19"/>
      <c r="D6495" s="19"/>
      <c r="E6495" s="19"/>
      <c r="F6495" s="19"/>
      <c r="G6495" s="19"/>
      <c r="H6495" s="82"/>
    </row>
    <row r="6496" spans="1:8" s="28" customFormat="1" x14ac:dyDescent="0.25">
      <c r="A6496" s="29"/>
      <c r="B6496" s="15"/>
      <c r="C6496" s="19"/>
      <c r="D6496" s="19"/>
      <c r="E6496" s="19"/>
      <c r="F6496" s="19"/>
      <c r="G6496" s="19"/>
      <c r="H6496" s="82"/>
    </row>
    <row r="6497" spans="1:8" s="28" customFormat="1" x14ac:dyDescent="0.25">
      <c r="A6497" s="29"/>
      <c r="B6497" s="15"/>
      <c r="C6497" s="19"/>
      <c r="D6497" s="19"/>
      <c r="E6497" s="19"/>
      <c r="F6497" s="19"/>
      <c r="G6497" s="19"/>
      <c r="H6497" s="82"/>
    </row>
    <row r="6498" spans="1:8" s="28" customFormat="1" x14ac:dyDescent="0.25">
      <c r="A6498" s="29"/>
      <c r="B6498" s="15"/>
      <c r="C6498" s="19"/>
      <c r="D6498" s="19"/>
      <c r="E6498" s="19"/>
      <c r="F6498" s="19"/>
      <c r="G6498" s="19"/>
      <c r="H6498" s="82"/>
    </row>
    <row r="6499" spans="1:8" s="28" customFormat="1" x14ac:dyDescent="0.25">
      <c r="A6499" s="29"/>
      <c r="B6499" s="15"/>
      <c r="C6499" s="19"/>
      <c r="D6499" s="19"/>
      <c r="E6499" s="19"/>
      <c r="F6499" s="19"/>
      <c r="G6499" s="19"/>
      <c r="H6499" s="82"/>
    </row>
    <row r="6500" spans="1:8" s="28" customFormat="1" x14ac:dyDescent="0.25">
      <c r="A6500" s="29"/>
      <c r="B6500" s="15"/>
      <c r="C6500" s="19"/>
      <c r="D6500" s="19"/>
      <c r="E6500" s="19"/>
      <c r="F6500" s="19"/>
      <c r="G6500" s="19"/>
      <c r="H6500" s="82"/>
    </row>
    <row r="6501" spans="1:8" s="28" customFormat="1" x14ac:dyDescent="0.25">
      <c r="A6501" s="29"/>
      <c r="B6501" s="15"/>
      <c r="C6501" s="19"/>
      <c r="D6501" s="19"/>
      <c r="E6501" s="19"/>
      <c r="F6501" s="19"/>
      <c r="G6501" s="19"/>
      <c r="H6501" s="82"/>
    </row>
    <row r="6502" spans="1:8" s="28" customFormat="1" x14ac:dyDescent="0.25">
      <c r="A6502" s="29"/>
      <c r="B6502" s="15"/>
      <c r="C6502" s="19"/>
      <c r="D6502" s="19"/>
      <c r="E6502" s="19"/>
      <c r="F6502" s="19"/>
      <c r="G6502" s="19"/>
      <c r="H6502" s="82"/>
    </row>
    <row r="6503" spans="1:8" s="28" customFormat="1" x14ac:dyDescent="0.25">
      <c r="A6503" s="29"/>
      <c r="B6503" s="15"/>
      <c r="C6503" s="19"/>
      <c r="D6503" s="19"/>
      <c r="E6503" s="19"/>
      <c r="F6503" s="19"/>
      <c r="G6503" s="19"/>
      <c r="H6503" s="82"/>
    </row>
    <row r="6504" spans="1:8" s="28" customFormat="1" x14ac:dyDescent="0.25">
      <c r="A6504" s="29"/>
      <c r="B6504" s="15"/>
      <c r="C6504" s="19"/>
      <c r="D6504" s="19"/>
      <c r="E6504" s="19"/>
      <c r="F6504" s="19"/>
      <c r="G6504" s="19"/>
      <c r="H6504" s="82"/>
    </row>
    <row r="6505" spans="1:8" s="28" customFormat="1" x14ac:dyDescent="0.25">
      <c r="A6505" s="29"/>
      <c r="B6505" s="15"/>
      <c r="C6505" s="19"/>
      <c r="D6505" s="19"/>
      <c r="E6505" s="19"/>
      <c r="F6505" s="19"/>
      <c r="G6505" s="19"/>
      <c r="H6505" s="82"/>
    </row>
    <row r="6506" spans="1:8" s="28" customFormat="1" x14ac:dyDescent="0.25">
      <c r="A6506" s="29"/>
      <c r="B6506" s="15"/>
      <c r="C6506" s="19"/>
      <c r="D6506" s="19"/>
      <c r="E6506" s="19"/>
      <c r="F6506" s="19"/>
      <c r="G6506" s="19"/>
      <c r="H6506" s="82"/>
    </row>
    <row r="6507" spans="1:8" s="28" customFormat="1" x14ac:dyDescent="0.25">
      <c r="A6507" s="29"/>
      <c r="B6507" s="15"/>
      <c r="C6507" s="19"/>
      <c r="D6507" s="19"/>
      <c r="E6507" s="19"/>
      <c r="F6507" s="19"/>
      <c r="G6507" s="19"/>
      <c r="H6507" s="82"/>
    </row>
    <row r="6508" spans="1:8" s="28" customFormat="1" x14ac:dyDescent="0.25">
      <c r="A6508" s="29"/>
      <c r="B6508" s="15"/>
      <c r="C6508" s="19"/>
      <c r="D6508" s="19"/>
      <c r="E6508" s="19"/>
      <c r="F6508" s="19"/>
      <c r="G6508" s="19"/>
      <c r="H6508" s="82"/>
    </row>
    <row r="6509" spans="1:8" s="28" customFormat="1" x14ac:dyDescent="0.25">
      <c r="A6509" s="29"/>
      <c r="B6509" s="15"/>
      <c r="C6509" s="19"/>
      <c r="D6509" s="19"/>
      <c r="E6509" s="19"/>
      <c r="F6509" s="19"/>
      <c r="G6509" s="19"/>
      <c r="H6509" s="82"/>
    </row>
    <row r="6510" spans="1:8" s="28" customFormat="1" x14ac:dyDescent="0.25">
      <c r="A6510" s="29"/>
      <c r="B6510" s="15"/>
      <c r="C6510" s="19"/>
      <c r="D6510" s="19"/>
      <c r="E6510" s="19"/>
      <c r="F6510" s="19"/>
      <c r="G6510" s="19"/>
      <c r="H6510" s="82"/>
    </row>
    <row r="6511" spans="1:8" s="28" customFormat="1" x14ac:dyDescent="0.25">
      <c r="A6511" s="29"/>
      <c r="B6511" s="15"/>
      <c r="C6511" s="19"/>
      <c r="D6511" s="19"/>
      <c r="E6511" s="19"/>
      <c r="F6511" s="19"/>
      <c r="G6511" s="19"/>
      <c r="H6511" s="82"/>
    </row>
    <row r="6512" spans="1:8" s="28" customFormat="1" x14ac:dyDescent="0.25">
      <c r="A6512" s="29"/>
      <c r="B6512" s="15"/>
      <c r="C6512" s="19"/>
      <c r="D6512" s="19"/>
      <c r="E6512" s="19"/>
      <c r="F6512" s="19"/>
      <c r="G6512" s="19"/>
      <c r="H6512" s="82"/>
    </row>
    <row r="6513" spans="1:8" s="28" customFormat="1" x14ac:dyDescent="0.25">
      <c r="A6513" s="29"/>
      <c r="B6513" s="15"/>
      <c r="C6513" s="19"/>
      <c r="D6513" s="19"/>
      <c r="E6513" s="19"/>
      <c r="F6513" s="19"/>
      <c r="G6513" s="19"/>
      <c r="H6513" s="82"/>
    </row>
    <row r="6514" spans="1:8" s="28" customFormat="1" x14ac:dyDescent="0.25">
      <c r="A6514" s="29"/>
      <c r="B6514" s="15"/>
      <c r="C6514" s="19"/>
      <c r="D6514" s="19"/>
      <c r="E6514" s="19"/>
      <c r="F6514" s="19"/>
      <c r="G6514" s="19"/>
      <c r="H6514" s="82"/>
    </row>
    <row r="6515" spans="1:8" s="28" customFormat="1" x14ac:dyDescent="0.25">
      <c r="A6515" s="29"/>
      <c r="B6515" s="15"/>
      <c r="C6515" s="19"/>
      <c r="D6515" s="19"/>
      <c r="E6515" s="19"/>
      <c r="F6515" s="19"/>
      <c r="G6515" s="19"/>
      <c r="H6515" s="82"/>
    </row>
    <row r="6516" spans="1:8" s="28" customFormat="1" x14ac:dyDescent="0.25">
      <c r="A6516" s="29"/>
      <c r="B6516" s="15"/>
      <c r="C6516" s="19"/>
      <c r="D6516" s="19"/>
      <c r="E6516" s="19"/>
      <c r="F6516" s="19"/>
      <c r="G6516" s="19"/>
      <c r="H6516" s="82"/>
    </row>
    <row r="6517" spans="1:8" s="28" customFormat="1" x14ac:dyDescent="0.25">
      <c r="A6517" s="29"/>
      <c r="B6517" s="15"/>
      <c r="C6517" s="19"/>
      <c r="D6517" s="19"/>
      <c r="E6517" s="19"/>
      <c r="F6517" s="19"/>
      <c r="G6517" s="19"/>
      <c r="H6517" s="82"/>
    </row>
    <row r="6518" spans="1:8" s="28" customFormat="1" x14ac:dyDescent="0.25">
      <c r="A6518" s="29"/>
      <c r="B6518" s="15"/>
      <c r="C6518" s="19"/>
      <c r="D6518" s="19"/>
      <c r="E6518" s="19"/>
      <c r="F6518" s="19"/>
      <c r="G6518" s="19"/>
      <c r="H6518" s="82"/>
    </row>
    <row r="6519" spans="1:8" s="28" customFormat="1" x14ac:dyDescent="0.25">
      <c r="A6519" s="29"/>
      <c r="B6519" s="15"/>
      <c r="C6519" s="19"/>
      <c r="D6519" s="19"/>
      <c r="E6519" s="19"/>
      <c r="F6519" s="19"/>
      <c r="G6519" s="19"/>
      <c r="H6519" s="82"/>
    </row>
    <row r="6520" spans="1:8" s="28" customFormat="1" x14ac:dyDescent="0.25">
      <c r="A6520" s="29"/>
      <c r="B6520" s="15"/>
      <c r="C6520" s="19"/>
      <c r="D6520" s="19"/>
      <c r="E6520" s="19"/>
      <c r="F6520" s="19"/>
      <c r="G6520" s="19"/>
      <c r="H6520" s="82"/>
    </row>
    <row r="6521" spans="1:8" s="28" customFormat="1" x14ac:dyDescent="0.25">
      <c r="A6521" s="29"/>
      <c r="B6521" s="15"/>
      <c r="C6521" s="19"/>
      <c r="D6521" s="19"/>
      <c r="E6521" s="19"/>
      <c r="F6521" s="19"/>
      <c r="G6521" s="19"/>
      <c r="H6521" s="82"/>
    </row>
    <row r="6522" spans="1:8" s="28" customFormat="1" x14ac:dyDescent="0.25">
      <c r="A6522" s="29"/>
      <c r="B6522" s="15"/>
      <c r="C6522" s="19"/>
      <c r="D6522" s="19"/>
      <c r="E6522" s="19"/>
      <c r="F6522" s="19"/>
      <c r="G6522" s="19"/>
      <c r="H6522" s="82"/>
    </row>
    <row r="6523" spans="1:8" s="28" customFormat="1" x14ac:dyDescent="0.25">
      <c r="A6523" s="29"/>
      <c r="B6523" s="15"/>
      <c r="C6523" s="19"/>
      <c r="D6523" s="19"/>
      <c r="E6523" s="19"/>
      <c r="F6523" s="19"/>
      <c r="G6523" s="19"/>
      <c r="H6523" s="82"/>
    </row>
    <row r="6524" spans="1:8" s="28" customFormat="1" x14ac:dyDescent="0.25">
      <c r="A6524" s="29"/>
      <c r="B6524" s="15"/>
      <c r="C6524" s="19"/>
      <c r="D6524" s="19"/>
      <c r="E6524" s="19"/>
      <c r="F6524" s="19"/>
      <c r="G6524" s="19"/>
      <c r="H6524" s="82"/>
    </row>
    <row r="6525" spans="1:8" s="28" customFormat="1" x14ac:dyDescent="0.25">
      <c r="A6525" s="29"/>
      <c r="B6525" s="15"/>
      <c r="C6525" s="19"/>
      <c r="D6525" s="19"/>
      <c r="E6525" s="19"/>
      <c r="F6525" s="19"/>
      <c r="G6525" s="19"/>
      <c r="H6525" s="82"/>
    </row>
    <row r="6526" spans="1:8" s="28" customFormat="1" x14ac:dyDescent="0.25">
      <c r="A6526" s="29"/>
      <c r="B6526" s="15"/>
      <c r="C6526" s="19"/>
      <c r="D6526" s="19"/>
      <c r="E6526" s="19"/>
      <c r="F6526" s="19"/>
      <c r="G6526" s="19"/>
      <c r="H6526" s="82"/>
    </row>
    <row r="6527" spans="1:8" s="28" customFormat="1" x14ac:dyDescent="0.25">
      <c r="A6527" s="29"/>
      <c r="B6527" s="15"/>
      <c r="C6527" s="19"/>
      <c r="D6527" s="19"/>
      <c r="E6527" s="19"/>
      <c r="F6527" s="19"/>
      <c r="G6527" s="19"/>
      <c r="H6527" s="82"/>
    </row>
    <row r="6528" spans="1:8" s="28" customFormat="1" x14ac:dyDescent="0.25">
      <c r="A6528" s="29"/>
      <c r="B6528" s="15"/>
      <c r="C6528" s="19"/>
      <c r="D6528" s="19"/>
      <c r="E6528" s="19"/>
      <c r="F6528" s="19"/>
      <c r="G6528" s="19"/>
      <c r="H6528" s="82"/>
    </row>
    <row r="6529" spans="1:8" s="28" customFormat="1" x14ac:dyDescent="0.25">
      <c r="A6529" s="29"/>
      <c r="B6529" s="15"/>
      <c r="C6529" s="19"/>
      <c r="D6529" s="19"/>
      <c r="E6529" s="19"/>
      <c r="F6529" s="19"/>
      <c r="G6529" s="19"/>
      <c r="H6529" s="82"/>
    </row>
    <row r="6530" spans="1:8" s="28" customFormat="1" x14ac:dyDescent="0.25">
      <c r="A6530" s="29"/>
      <c r="B6530" s="15"/>
      <c r="C6530" s="19"/>
      <c r="D6530" s="19"/>
      <c r="E6530" s="19"/>
      <c r="F6530" s="19"/>
      <c r="G6530" s="19"/>
      <c r="H6530" s="82"/>
    </row>
    <row r="6531" spans="1:8" s="28" customFormat="1" x14ac:dyDescent="0.25">
      <c r="A6531" s="29"/>
      <c r="B6531" s="15"/>
      <c r="C6531" s="19"/>
      <c r="D6531" s="19"/>
      <c r="E6531" s="19"/>
      <c r="F6531" s="19"/>
      <c r="G6531" s="19"/>
      <c r="H6531" s="82"/>
    </row>
    <row r="6532" spans="1:8" s="28" customFormat="1" x14ac:dyDescent="0.25">
      <c r="A6532" s="29"/>
      <c r="B6532" s="15"/>
      <c r="C6532" s="19"/>
      <c r="D6532" s="19"/>
      <c r="E6532" s="19"/>
      <c r="F6532" s="19"/>
      <c r="G6532" s="19"/>
      <c r="H6532" s="82"/>
    </row>
    <row r="6533" spans="1:8" s="28" customFormat="1" x14ac:dyDescent="0.25">
      <c r="A6533" s="29"/>
      <c r="B6533" s="15"/>
      <c r="C6533" s="19"/>
      <c r="D6533" s="19"/>
      <c r="E6533" s="19"/>
      <c r="F6533" s="19"/>
      <c r="G6533" s="19"/>
      <c r="H6533" s="82"/>
    </row>
    <row r="6534" spans="1:8" s="28" customFormat="1" x14ac:dyDescent="0.25">
      <c r="A6534" s="29"/>
      <c r="B6534" s="15"/>
      <c r="C6534" s="19"/>
      <c r="D6534" s="19"/>
      <c r="E6534" s="19"/>
      <c r="F6534" s="19"/>
      <c r="G6534" s="19"/>
      <c r="H6534" s="82"/>
    </row>
    <row r="6535" spans="1:8" s="28" customFormat="1" x14ac:dyDescent="0.25">
      <c r="A6535" s="29"/>
      <c r="B6535" s="15"/>
      <c r="C6535" s="19"/>
      <c r="D6535" s="19"/>
      <c r="E6535" s="19"/>
      <c r="F6535" s="19"/>
      <c r="G6535" s="19"/>
      <c r="H6535" s="82"/>
    </row>
    <row r="6536" spans="1:8" s="28" customFormat="1" x14ac:dyDescent="0.25">
      <c r="A6536" s="29"/>
      <c r="B6536" s="15"/>
      <c r="C6536" s="19"/>
      <c r="D6536" s="19"/>
      <c r="E6536" s="19"/>
      <c r="F6536" s="19"/>
      <c r="G6536" s="19"/>
      <c r="H6536" s="82"/>
    </row>
    <row r="6537" spans="1:8" s="28" customFormat="1" x14ac:dyDescent="0.25">
      <c r="A6537" s="29"/>
      <c r="B6537" s="15"/>
      <c r="C6537" s="19"/>
      <c r="D6537" s="19"/>
      <c r="E6537" s="19"/>
      <c r="F6537" s="19"/>
      <c r="G6537" s="19"/>
      <c r="H6537" s="82"/>
    </row>
    <row r="6538" spans="1:8" s="28" customFormat="1" x14ac:dyDescent="0.25">
      <c r="A6538" s="29"/>
      <c r="B6538" s="15"/>
      <c r="C6538" s="19"/>
      <c r="D6538" s="19"/>
      <c r="E6538" s="19"/>
      <c r="F6538" s="19"/>
      <c r="G6538" s="19"/>
      <c r="H6538" s="82"/>
    </row>
    <row r="6539" spans="1:8" s="28" customFormat="1" x14ac:dyDescent="0.25">
      <c r="A6539" s="29"/>
      <c r="B6539" s="15"/>
      <c r="C6539" s="19"/>
      <c r="D6539" s="19"/>
      <c r="E6539" s="19"/>
      <c r="F6539" s="19"/>
      <c r="G6539" s="19"/>
      <c r="H6539" s="82"/>
    </row>
    <row r="6540" spans="1:8" s="28" customFormat="1" x14ac:dyDescent="0.25">
      <c r="A6540" s="29"/>
      <c r="B6540" s="15"/>
      <c r="C6540" s="19"/>
      <c r="D6540" s="19"/>
      <c r="E6540" s="19"/>
      <c r="F6540" s="19"/>
      <c r="G6540" s="19"/>
      <c r="H6540" s="82"/>
    </row>
    <row r="6541" spans="1:8" s="28" customFormat="1" x14ac:dyDescent="0.25">
      <c r="A6541" s="29"/>
      <c r="B6541" s="15"/>
      <c r="C6541" s="19"/>
      <c r="D6541" s="19"/>
      <c r="E6541" s="19"/>
      <c r="F6541" s="19"/>
      <c r="G6541" s="19"/>
      <c r="H6541" s="82"/>
    </row>
    <row r="6542" spans="1:8" s="28" customFormat="1" x14ac:dyDescent="0.25">
      <c r="A6542" s="29"/>
      <c r="B6542" s="15"/>
      <c r="C6542" s="19"/>
      <c r="D6542" s="19"/>
      <c r="E6542" s="19"/>
      <c r="F6542" s="19"/>
      <c r="G6542" s="19"/>
      <c r="H6542" s="82"/>
    </row>
    <row r="6543" spans="1:8" s="28" customFormat="1" x14ac:dyDescent="0.25">
      <c r="A6543" s="29"/>
      <c r="B6543" s="15"/>
      <c r="C6543" s="19"/>
      <c r="D6543" s="19"/>
      <c r="E6543" s="19"/>
      <c r="F6543" s="19"/>
      <c r="G6543" s="19"/>
      <c r="H6543" s="82"/>
    </row>
    <row r="6544" spans="1:8" s="28" customFormat="1" x14ac:dyDescent="0.25">
      <c r="A6544" s="29"/>
      <c r="B6544" s="15"/>
      <c r="C6544" s="19"/>
      <c r="D6544" s="19"/>
      <c r="E6544" s="19"/>
      <c r="F6544" s="19"/>
      <c r="G6544" s="19"/>
      <c r="H6544" s="82"/>
    </row>
    <row r="6545" spans="1:8" s="28" customFormat="1" x14ac:dyDescent="0.25">
      <c r="A6545" s="29"/>
      <c r="B6545" s="15"/>
      <c r="C6545" s="19"/>
      <c r="D6545" s="19"/>
      <c r="E6545" s="19"/>
      <c r="F6545" s="19"/>
      <c r="G6545" s="19"/>
      <c r="H6545" s="82"/>
    </row>
    <row r="6546" spans="1:8" s="28" customFormat="1" x14ac:dyDescent="0.25">
      <c r="A6546" s="29"/>
      <c r="B6546" s="15"/>
      <c r="C6546" s="19"/>
      <c r="D6546" s="19"/>
      <c r="E6546" s="19"/>
      <c r="F6546" s="19"/>
      <c r="G6546" s="19"/>
      <c r="H6546" s="82"/>
    </row>
    <row r="6547" spans="1:8" s="28" customFormat="1" x14ac:dyDescent="0.25">
      <c r="A6547" s="29"/>
      <c r="B6547" s="15"/>
      <c r="C6547" s="19"/>
      <c r="D6547" s="19"/>
      <c r="E6547" s="19"/>
      <c r="F6547" s="19"/>
      <c r="G6547" s="19"/>
      <c r="H6547" s="82"/>
    </row>
    <row r="6548" spans="1:8" s="28" customFormat="1" x14ac:dyDescent="0.25">
      <c r="A6548" s="29"/>
      <c r="B6548" s="15"/>
      <c r="C6548" s="19"/>
      <c r="D6548" s="19"/>
      <c r="E6548" s="19"/>
      <c r="F6548" s="19"/>
      <c r="G6548" s="19"/>
      <c r="H6548" s="82"/>
    </row>
    <row r="6549" spans="1:8" s="28" customFormat="1" x14ac:dyDescent="0.25">
      <c r="A6549" s="29"/>
      <c r="B6549" s="15"/>
      <c r="C6549" s="19"/>
      <c r="D6549" s="19"/>
      <c r="E6549" s="19"/>
      <c r="F6549" s="19"/>
      <c r="G6549" s="19"/>
      <c r="H6549" s="82"/>
    </row>
    <row r="6550" spans="1:8" s="28" customFormat="1" x14ac:dyDescent="0.25">
      <c r="A6550" s="29"/>
      <c r="B6550" s="15"/>
      <c r="C6550" s="19"/>
      <c r="D6550" s="19"/>
      <c r="E6550" s="19"/>
      <c r="F6550" s="19"/>
      <c r="G6550" s="19"/>
      <c r="H6550" s="82"/>
    </row>
    <row r="6551" spans="1:8" s="28" customFormat="1" x14ac:dyDescent="0.25">
      <c r="A6551" s="29"/>
      <c r="B6551" s="15"/>
      <c r="C6551" s="19"/>
      <c r="D6551" s="19"/>
      <c r="E6551" s="19"/>
      <c r="F6551" s="19"/>
      <c r="G6551" s="19"/>
      <c r="H6551" s="82"/>
    </row>
    <row r="6552" spans="1:8" s="28" customFormat="1" x14ac:dyDescent="0.25">
      <c r="A6552" s="29"/>
      <c r="B6552" s="15"/>
      <c r="C6552" s="19"/>
      <c r="D6552" s="19"/>
      <c r="E6552" s="19"/>
      <c r="F6552" s="19"/>
      <c r="G6552" s="19"/>
      <c r="H6552" s="82"/>
    </row>
    <row r="6553" spans="1:8" s="28" customFormat="1" x14ac:dyDescent="0.25">
      <c r="A6553" s="29"/>
      <c r="B6553" s="15"/>
      <c r="C6553" s="19"/>
      <c r="D6553" s="19"/>
      <c r="E6553" s="19"/>
      <c r="F6553" s="19"/>
      <c r="G6553" s="19"/>
      <c r="H6553" s="82"/>
    </row>
    <row r="6554" spans="1:8" s="28" customFormat="1" x14ac:dyDescent="0.25">
      <c r="A6554" s="29"/>
      <c r="B6554" s="15"/>
      <c r="C6554" s="19"/>
      <c r="D6554" s="19"/>
      <c r="E6554" s="19"/>
      <c r="F6554" s="19"/>
      <c r="G6554" s="19"/>
      <c r="H6554" s="82"/>
    </row>
    <row r="6555" spans="1:8" s="28" customFormat="1" x14ac:dyDescent="0.25">
      <c r="A6555" s="29"/>
      <c r="B6555" s="15"/>
      <c r="C6555" s="19"/>
      <c r="D6555" s="19"/>
      <c r="E6555" s="19"/>
      <c r="F6555" s="19"/>
      <c r="G6555" s="19"/>
      <c r="H6555" s="82"/>
    </row>
    <row r="6556" spans="1:8" s="28" customFormat="1" x14ac:dyDescent="0.25">
      <c r="A6556" s="29"/>
      <c r="B6556" s="15"/>
      <c r="C6556" s="19"/>
      <c r="D6556" s="19"/>
      <c r="E6556" s="19"/>
      <c r="F6556" s="19"/>
      <c r="G6556" s="19"/>
      <c r="H6556" s="82"/>
    </row>
    <row r="6557" spans="1:8" s="28" customFormat="1" x14ac:dyDescent="0.25">
      <c r="A6557" s="29"/>
      <c r="B6557" s="15"/>
      <c r="C6557" s="19"/>
      <c r="D6557" s="19"/>
      <c r="E6557" s="19"/>
      <c r="F6557" s="19"/>
      <c r="G6557" s="19"/>
      <c r="H6557" s="82"/>
    </row>
    <row r="6558" spans="1:8" s="28" customFormat="1" x14ac:dyDescent="0.25">
      <c r="A6558" s="29"/>
      <c r="B6558" s="15"/>
      <c r="C6558" s="19"/>
      <c r="D6558" s="19"/>
      <c r="E6558" s="19"/>
      <c r="F6558" s="19"/>
      <c r="G6558" s="19"/>
      <c r="H6558" s="82"/>
    </row>
    <row r="6559" spans="1:8" s="28" customFormat="1" x14ac:dyDescent="0.25">
      <c r="A6559" s="29"/>
      <c r="B6559" s="15"/>
      <c r="C6559" s="19"/>
      <c r="D6559" s="19"/>
      <c r="E6559" s="19"/>
      <c r="F6559" s="19"/>
      <c r="G6559" s="19"/>
      <c r="H6559" s="82"/>
    </row>
    <row r="6560" spans="1:8" s="28" customFormat="1" x14ac:dyDescent="0.25">
      <c r="A6560" s="29"/>
      <c r="B6560" s="15"/>
      <c r="C6560" s="19"/>
      <c r="D6560" s="19"/>
      <c r="E6560" s="19"/>
      <c r="F6560" s="19"/>
      <c r="G6560" s="19"/>
      <c r="H6560" s="82"/>
    </row>
    <row r="6561" spans="1:8" s="28" customFormat="1" x14ac:dyDescent="0.25">
      <c r="A6561" s="29"/>
      <c r="B6561" s="15"/>
      <c r="C6561" s="19"/>
      <c r="D6561" s="19"/>
      <c r="E6561" s="19"/>
      <c r="F6561" s="19"/>
      <c r="G6561" s="19"/>
      <c r="H6561" s="82"/>
    </row>
    <row r="6562" spans="1:8" s="28" customFormat="1" x14ac:dyDescent="0.25">
      <c r="A6562" s="29"/>
      <c r="B6562" s="15"/>
      <c r="C6562" s="19"/>
      <c r="D6562" s="19"/>
      <c r="E6562" s="19"/>
      <c r="F6562" s="19"/>
      <c r="G6562" s="19"/>
      <c r="H6562" s="82"/>
    </row>
    <row r="6563" spans="1:8" s="28" customFormat="1" x14ac:dyDescent="0.25">
      <c r="A6563" s="29"/>
      <c r="B6563" s="15"/>
      <c r="C6563" s="19"/>
      <c r="D6563" s="19"/>
      <c r="E6563" s="19"/>
      <c r="F6563" s="19"/>
      <c r="G6563" s="19"/>
      <c r="H6563" s="82"/>
    </row>
    <row r="6564" spans="1:8" s="28" customFormat="1" x14ac:dyDescent="0.25">
      <c r="A6564" s="29"/>
      <c r="B6564" s="15"/>
      <c r="C6564" s="19"/>
      <c r="D6564" s="19"/>
      <c r="E6564" s="19"/>
      <c r="F6564" s="19"/>
      <c r="G6564" s="19"/>
      <c r="H6564" s="82"/>
    </row>
    <row r="6565" spans="1:8" s="28" customFormat="1" x14ac:dyDescent="0.25">
      <c r="A6565" s="29"/>
      <c r="B6565" s="15"/>
      <c r="C6565" s="19"/>
      <c r="D6565" s="19"/>
      <c r="E6565" s="19"/>
      <c r="F6565" s="19"/>
      <c r="G6565" s="19"/>
      <c r="H6565" s="82"/>
    </row>
    <row r="6566" spans="1:8" s="28" customFormat="1" x14ac:dyDescent="0.25">
      <c r="A6566" s="29"/>
      <c r="B6566" s="15"/>
      <c r="C6566" s="19"/>
      <c r="D6566" s="19"/>
      <c r="E6566" s="19"/>
      <c r="F6566" s="19"/>
      <c r="G6566" s="19"/>
      <c r="H6566" s="82"/>
    </row>
    <row r="6567" spans="1:8" s="28" customFormat="1" x14ac:dyDescent="0.25">
      <c r="A6567" s="29"/>
      <c r="B6567" s="15"/>
      <c r="C6567" s="19"/>
      <c r="D6567" s="19"/>
      <c r="E6567" s="19"/>
      <c r="F6567" s="19"/>
      <c r="G6567" s="19"/>
      <c r="H6567" s="82"/>
    </row>
    <row r="6568" spans="1:8" s="28" customFormat="1" x14ac:dyDescent="0.25">
      <c r="A6568" s="29"/>
      <c r="B6568" s="15"/>
      <c r="C6568" s="19"/>
      <c r="D6568" s="19"/>
      <c r="E6568" s="19"/>
      <c r="F6568" s="19"/>
      <c r="G6568" s="19"/>
      <c r="H6568" s="82"/>
    </row>
    <row r="6569" spans="1:8" s="28" customFormat="1" x14ac:dyDescent="0.25">
      <c r="A6569" s="29"/>
      <c r="B6569" s="15"/>
      <c r="C6569" s="19"/>
      <c r="D6569" s="19"/>
      <c r="E6569" s="19"/>
      <c r="F6569" s="19"/>
      <c r="G6569" s="19"/>
      <c r="H6569" s="82"/>
    </row>
    <row r="6570" spans="1:8" s="28" customFormat="1" x14ac:dyDescent="0.25">
      <c r="A6570" s="29"/>
      <c r="B6570" s="15"/>
      <c r="C6570" s="19"/>
      <c r="D6570" s="19"/>
      <c r="E6570" s="19"/>
      <c r="F6570" s="19"/>
      <c r="G6570" s="19"/>
      <c r="H6570" s="82"/>
    </row>
    <row r="6571" spans="1:8" s="28" customFormat="1" x14ac:dyDescent="0.25">
      <c r="A6571" s="29"/>
      <c r="B6571" s="15"/>
      <c r="C6571" s="19"/>
      <c r="D6571" s="19"/>
      <c r="E6571" s="19"/>
      <c r="F6571" s="19"/>
      <c r="G6571" s="19"/>
      <c r="H6571" s="82"/>
    </row>
    <row r="6572" spans="1:8" s="28" customFormat="1" x14ac:dyDescent="0.25">
      <c r="A6572" s="29"/>
      <c r="B6572" s="15"/>
      <c r="C6572" s="19"/>
      <c r="D6572" s="19"/>
      <c r="E6572" s="19"/>
      <c r="F6572" s="19"/>
      <c r="G6572" s="19"/>
      <c r="H6572" s="82"/>
    </row>
    <row r="6573" spans="1:8" s="28" customFormat="1" x14ac:dyDescent="0.25">
      <c r="A6573" s="29"/>
      <c r="B6573" s="15"/>
      <c r="C6573" s="19"/>
      <c r="D6573" s="19"/>
      <c r="E6573" s="19"/>
      <c r="F6573" s="19"/>
      <c r="G6573" s="19"/>
      <c r="H6573" s="82"/>
    </row>
    <row r="6574" spans="1:8" s="28" customFormat="1" x14ac:dyDescent="0.25">
      <c r="A6574" s="29"/>
      <c r="B6574" s="15"/>
      <c r="C6574" s="19"/>
      <c r="D6574" s="19"/>
      <c r="E6574" s="19"/>
      <c r="F6574" s="19"/>
      <c r="G6574" s="19"/>
      <c r="H6574" s="82"/>
    </row>
    <row r="6575" spans="1:8" s="28" customFormat="1" x14ac:dyDescent="0.25">
      <c r="A6575" s="29"/>
      <c r="B6575" s="15"/>
      <c r="C6575" s="19"/>
      <c r="D6575" s="19"/>
      <c r="E6575" s="19"/>
      <c r="F6575" s="19"/>
      <c r="G6575" s="19"/>
      <c r="H6575" s="82"/>
    </row>
    <row r="6576" spans="1:8" s="28" customFormat="1" x14ac:dyDescent="0.25">
      <c r="A6576" s="29"/>
      <c r="B6576" s="15"/>
      <c r="C6576" s="19"/>
      <c r="D6576" s="19"/>
      <c r="E6576" s="19"/>
      <c r="F6576" s="19"/>
      <c r="G6576" s="19"/>
      <c r="H6576" s="82"/>
    </row>
    <row r="6577" spans="1:8" s="28" customFormat="1" x14ac:dyDescent="0.25">
      <c r="A6577" s="29"/>
      <c r="B6577" s="15"/>
      <c r="C6577" s="19"/>
      <c r="D6577" s="19"/>
      <c r="E6577" s="19"/>
      <c r="F6577" s="19"/>
      <c r="G6577" s="19"/>
      <c r="H6577" s="82"/>
    </row>
    <row r="6578" spans="1:8" s="28" customFormat="1" x14ac:dyDescent="0.25">
      <c r="A6578" s="29"/>
      <c r="B6578" s="15"/>
      <c r="C6578" s="19"/>
      <c r="D6578" s="19"/>
      <c r="E6578" s="19"/>
      <c r="F6578" s="19"/>
      <c r="G6578" s="19"/>
      <c r="H6578" s="82"/>
    </row>
    <row r="6579" spans="1:8" s="28" customFormat="1" x14ac:dyDescent="0.25">
      <c r="A6579" s="29"/>
      <c r="B6579" s="15"/>
      <c r="C6579" s="19"/>
      <c r="D6579" s="19"/>
      <c r="E6579" s="19"/>
      <c r="F6579" s="19"/>
      <c r="G6579" s="19"/>
      <c r="H6579" s="82"/>
    </row>
    <row r="6580" spans="1:8" s="28" customFormat="1" x14ac:dyDescent="0.25">
      <c r="A6580" s="29"/>
      <c r="B6580" s="15"/>
      <c r="C6580" s="19"/>
      <c r="D6580" s="19"/>
      <c r="E6580" s="19"/>
      <c r="F6580" s="19"/>
      <c r="G6580" s="19"/>
      <c r="H6580" s="82"/>
    </row>
    <row r="6581" spans="1:8" s="28" customFormat="1" x14ac:dyDescent="0.25">
      <c r="A6581" s="29"/>
      <c r="B6581" s="15"/>
      <c r="C6581" s="19"/>
      <c r="D6581" s="19"/>
      <c r="E6581" s="19"/>
      <c r="F6581" s="19"/>
      <c r="G6581" s="19"/>
      <c r="H6581" s="82"/>
    </row>
    <row r="6582" spans="1:8" s="28" customFormat="1" x14ac:dyDescent="0.25">
      <c r="A6582" s="29"/>
      <c r="B6582" s="15"/>
      <c r="C6582" s="19"/>
      <c r="D6582" s="19"/>
      <c r="E6582" s="19"/>
      <c r="F6582" s="19"/>
      <c r="G6582" s="19"/>
      <c r="H6582" s="82"/>
    </row>
    <row r="6583" spans="1:8" s="28" customFormat="1" x14ac:dyDescent="0.25">
      <c r="A6583" s="29"/>
      <c r="B6583" s="15"/>
      <c r="C6583" s="19"/>
      <c r="D6583" s="19"/>
      <c r="E6583" s="19"/>
      <c r="F6583" s="19"/>
      <c r="G6583" s="19"/>
      <c r="H6583" s="82"/>
    </row>
    <row r="6584" spans="1:8" s="28" customFormat="1" x14ac:dyDescent="0.25">
      <c r="A6584" s="29"/>
      <c r="B6584" s="15"/>
      <c r="C6584" s="19"/>
      <c r="D6584" s="19"/>
      <c r="E6584" s="19"/>
      <c r="F6584" s="19"/>
      <c r="G6584" s="19"/>
      <c r="H6584" s="82"/>
    </row>
    <row r="6585" spans="1:8" s="28" customFormat="1" x14ac:dyDescent="0.25">
      <c r="A6585" s="29"/>
      <c r="B6585" s="15"/>
      <c r="C6585" s="19"/>
      <c r="D6585" s="19"/>
      <c r="E6585" s="19"/>
      <c r="F6585" s="19"/>
      <c r="G6585" s="19"/>
      <c r="H6585" s="82"/>
    </row>
    <row r="6586" spans="1:8" s="28" customFormat="1" x14ac:dyDescent="0.25">
      <c r="A6586" s="29"/>
      <c r="B6586" s="15"/>
      <c r="C6586" s="19"/>
      <c r="D6586" s="19"/>
      <c r="E6586" s="19"/>
      <c r="F6586" s="19"/>
      <c r="G6586" s="19"/>
      <c r="H6586" s="82"/>
    </row>
    <row r="6587" spans="1:8" s="28" customFormat="1" x14ac:dyDescent="0.25">
      <c r="A6587" s="29"/>
      <c r="B6587" s="15"/>
      <c r="C6587" s="19"/>
      <c r="D6587" s="19"/>
      <c r="E6587" s="19"/>
      <c r="F6587" s="19"/>
      <c r="G6587" s="19"/>
      <c r="H6587" s="82"/>
    </row>
    <row r="6588" spans="1:8" s="28" customFormat="1" x14ac:dyDescent="0.25">
      <c r="A6588" s="29"/>
      <c r="B6588" s="15"/>
      <c r="C6588" s="19"/>
      <c r="D6588" s="19"/>
      <c r="E6588" s="19"/>
      <c r="F6588" s="19"/>
      <c r="G6588" s="19"/>
      <c r="H6588" s="82"/>
    </row>
    <row r="6589" spans="1:8" s="28" customFormat="1" x14ac:dyDescent="0.25">
      <c r="A6589" s="29"/>
      <c r="B6589" s="15"/>
      <c r="C6589" s="19"/>
      <c r="D6589" s="19"/>
      <c r="E6589" s="19"/>
      <c r="F6589" s="19"/>
      <c r="G6589" s="19"/>
      <c r="H6589" s="82"/>
    </row>
    <row r="6590" spans="1:8" s="28" customFormat="1" x14ac:dyDescent="0.25">
      <c r="A6590" s="29"/>
      <c r="B6590" s="15"/>
      <c r="C6590" s="19"/>
      <c r="D6590" s="19"/>
      <c r="E6590" s="19"/>
      <c r="F6590" s="19"/>
      <c r="G6590" s="19"/>
      <c r="H6590" s="82"/>
    </row>
    <row r="6591" spans="1:8" s="28" customFormat="1" x14ac:dyDescent="0.25">
      <c r="A6591" s="29"/>
      <c r="B6591" s="15"/>
      <c r="C6591" s="19"/>
      <c r="D6591" s="19"/>
      <c r="E6591" s="19"/>
      <c r="F6591" s="19"/>
      <c r="G6591" s="19"/>
      <c r="H6591" s="82"/>
    </row>
    <row r="6592" spans="1:8" s="28" customFormat="1" x14ac:dyDescent="0.25">
      <c r="A6592" s="29"/>
      <c r="B6592" s="15"/>
      <c r="C6592" s="19"/>
      <c r="D6592" s="19"/>
      <c r="E6592" s="19"/>
      <c r="F6592" s="19"/>
      <c r="G6592" s="19"/>
      <c r="H6592" s="82"/>
    </row>
    <row r="6593" spans="1:8" s="28" customFormat="1" x14ac:dyDescent="0.25">
      <c r="A6593" s="29"/>
      <c r="B6593" s="15"/>
      <c r="C6593" s="19"/>
      <c r="D6593" s="19"/>
      <c r="E6593" s="19"/>
      <c r="F6593" s="19"/>
      <c r="G6593" s="19"/>
      <c r="H6593" s="82"/>
    </row>
    <row r="6594" spans="1:8" s="28" customFormat="1" x14ac:dyDescent="0.25">
      <c r="A6594" s="29"/>
      <c r="B6594" s="15"/>
      <c r="C6594" s="19"/>
      <c r="D6594" s="19"/>
      <c r="E6594" s="19"/>
      <c r="F6594" s="19"/>
      <c r="G6594" s="19"/>
      <c r="H6594" s="82"/>
    </row>
    <row r="6595" spans="1:8" s="28" customFormat="1" x14ac:dyDescent="0.25">
      <c r="A6595" s="29"/>
      <c r="B6595" s="15"/>
      <c r="C6595" s="19"/>
      <c r="D6595" s="19"/>
      <c r="E6595" s="19"/>
      <c r="F6595" s="19"/>
      <c r="G6595" s="19"/>
      <c r="H6595" s="82"/>
    </row>
    <row r="6596" spans="1:8" s="28" customFormat="1" x14ac:dyDescent="0.25">
      <c r="A6596" s="29"/>
      <c r="B6596" s="15"/>
      <c r="C6596" s="19"/>
      <c r="D6596" s="19"/>
      <c r="E6596" s="19"/>
      <c r="F6596" s="19"/>
      <c r="G6596" s="19"/>
      <c r="H6596" s="82"/>
    </row>
    <row r="6597" spans="1:8" s="28" customFormat="1" x14ac:dyDescent="0.25">
      <c r="A6597" s="29"/>
      <c r="B6597" s="15"/>
      <c r="C6597" s="19"/>
      <c r="D6597" s="19"/>
      <c r="E6597" s="19"/>
      <c r="F6597" s="19"/>
      <c r="G6597" s="19"/>
      <c r="H6597" s="82"/>
    </row>
    <row r="6598" spans="1:8" s="28" customFormat="1" x14ac:dyDescent="0.25">
      <c r="A6598" s="29"/>
      <c r="B6598" s="15"/>
      <c r="C6598" s="19"/>
      <c r="D6598" s="19"/>
      <c r="E6598" s="19"/>
      <c r="F6598" s="19"/>
      <c r="G6598" s="19"/>
      <c r="H6598" s="82"/>
    </row>
    <row r="6599" spans="1:8" s="28" customFormat="1" x14ac:dyDescent="0.25">
      <c r="A6599" s="29"/>
      <c r="B6599" s="15"/>
      <c r="C6599" s="19"/>
      <c r="D6599" s="19"/>
      <c r="E6599" s="19"/>
      <c r="F6599" s="19"/>
      <c r="G6599" s="19"/>
      <c r="H6599" s="82"/>
    </row>
    <row r="6600" spans="1:8" s="28" customFormat="1" x14ac:dyDescent="0.25">
      <c r="A6600" s="29"/>
      <c r="B6600" s="15"/>
      <c r="C6600" s="19"/>
      <c r="D6600" s="19"/>
      <c r="E6600" s="19"/>
      <c r="F6600" s="19"/>
      <c r="G6600" s="19"/>
      <c r="H6600" s="82"/>
    </row>
    <row r="6601" spans="1:8" s="28" customFormat="1" x14ac:dyDescent="0.25">
      <c r="A6601" s="29"/>
      <c r="B6601" s="15"/>
      <c r="C6601" s="19"/>
      <c r="D6601" s="19"/>
      <c r="E6601" s="19"/>
      <c r="F6601" s="19"/>
      <c r="G6601" s="19"/>
      <c r="H6601" s="82"/>
    </row>
    <row r="6602" spans="1:8" s="28" customFormat="1" x14ac:dyDescent="0.25">
      <c r="A6602" s="29"/>
      <c r="B6602" s="15"/>
      <c r="C6602" s="19"/>
      <c r="D6602" s="19"/>
      <c r="E6602" s="19"/>
      <c r="F6602" s="19"/>
      <c r="G6602" s="19"/>
      <c r="H6602" s="82"/>
    </row>
    <row r="6603" spans="1:8" s="28" customFormat="1" x14ac:dyDescent="0.25">
      <c r="A6603" s="29"/>
      <c r="B6603" s="15"/>
      <c r="C6603" s="19"/>
      <c r="D6603" s="19"/>
      <c r="E6603" s="19"/>
      <c r="F6603" s="19"/>
      <c r="G6603" s="19"/>
      <c r="H6603" s="82"/>
    </row>
    <row r="6604" spans="1:8" s="28" customFormat="1" x14ac:dyDescent="0.25">
      <c r="A6604" s="29"/>
      <c r="B6604" s="15"/>
      <c r="C6604" s="19"/>
      <c r="D6604" s="19"/>
      <c r="E6604" s="19"/>
      <c r="F6604" s="19"/>
      <c r="G6604" s="19"/>
      <c r="H6604" s="82"/>
    </row>
    <row r="6605" spans="1:8" s="28" customFormat="1" x14ac:dyDescent="0.25">
      <c r="A6605" s="29"/>
      <c r="B6605" s="15"/>
      <c r="C6605" s="19"/>
      <c r="D6605" s="19"/>
      <c r="E6605" s="19"/>
      <c r="F6605" s="19"/>
      <c r="G6605" s="19"/>
      <c r="H6605" s="82"/>
    </row>
    <row r="6606" spans="1:8" s="28" customFormat="1" x14ac:dyDescent="0.25">
      <c r="A6606" s="29"/>
      <c r="B6606" s="15"/>
      <c r="C6606" s="19"/>
      <c r="D6606" s="19"/>
      <c r="E6606" s="19"/>
      <c r="F6606" s="19"/>
      <c r="G6606" s="19"/>
      <c r="H6606" s="82"/>
    </row>
    <row r="6607" spans="1:8" s="28" customFormat="1" x14ac:dyDescent="0.25">
      <c r="A6607" s="29"/>
      <c r="B6607" s="15"/>
      <c r="C6607" s="19"/>
      <c r="D6607" s="19"/>
      <c r="E6607" s="19"/>
      <c r="F6607" s="19"/>
      <c r="G6607" s="19"/>
      <c r="H6607" s="82"/>
    </row>
    <row r="6608" spans="1:8" s="28" customFormat="1" x14ac:dyDescent="0.25">
      <c r="A6608" s="29"/>
      <c r="B6608" s="15"/>
      <c r="C6608" s="19"/>
      <c r="D6608" s="19"/>
      <c r="E6608" s="19"/>
      <c r="F6608" s="19"/>
      <c r="G6608" s="19"/>
      <c r="H6608" s="82"/>
    </row>
    <row r="6609" spans="1:8" s="28" customFormat="1" x14ac:dyDescent="0.25">
      <c r="A6609" s="29"/>
      <c r="B6609" s="15"/>
      <c r="C6609" s="19"/>
      <c r="D6609" s="19"/>
      <c r="E6609" s="19"/>
      <c r="F6609" s="19"/>
      <c r="G6609" s="19"/>
      <c r="H6609" s="82"/>
    </row>
    <row r="6610" spans="1:8" s="28" customFormat="1" x14ac:dyDescent="0.25">
      <c r="A6610" s="29"/>
      <c r="B6610" s="15"/>
      <c r="C6610" s="19"/>
      <c r="D6610" s="19"/>
      <c r="E6610" s="19"/>
      <c r="F6610" s="19"/>
      <c r="G6610" s="19"/>
      <c r="H6610" s="82"/>
    </row>
    <row r="6611" spans="1:8" s="28" customFormat="1" x14ac:dyDescent="0.25">
      <c r="A6611" s="29"/>
      <c r="B6611" s="15"/>
      <c r="C6611" s="19"/>
      <c r="D6611" s="19"/>
      <c r="E6611" s="19"/>
      <c r="F6611" s="19"/>
      <c r="G6611" s="19"/>
      <c r="H6611" s="82"/>
    </row>
    <row r="6612" spans="1:8" s="28" customFormat="1" x14ac:dyDescent="0.25">
      <c r="A6612" s="29"/>
      <c r="B6612" s="15"/>
      <c r="C6612" s="19"/>
      <c r="D6612" s="19"/>
      <c r="E6612" s="19"/>
      <c r="F6612" s="19"/>
      <c r="G6612" s="19"/>
      <c r="H6612" s="82"/>
    </row>
    <row r="6613" spans="1:8" s="28" customFormat="1" x14ac:dyDescent="0.25">
      <c r="A6613" s="29"/>
      <c r="B6613" s="15"/>
      <c r="C6613" s="19"/>
      <c r="D6613" s="19"/>
      <c r="E6613" s="19"/>
      <c r="F6613" s="19"/>
      <c r="G6613" s="19"/>
      <c r="H6613" s="82"/>
    </row>
    <row r="6614" spans="1:8" s="28" customFormat="1" x14ac:dyDescent="0.25">
      <c r="A6614" s="29"/>
      <c r="B6614" s="15"/>
      <c r="C6614" s="19"/>
      <c r="D6614" s="19"/>
      <c r="E6614" s="19"/>
      <c r="F6614" s="19"/>
      <c r="G6614" s="19"/>
      <c r="H6614" s="82"/>
    </row>
    <row r="6615" spans="1:8" s="28" customFormat="1" x14ac:dyDescent="0.25">
      <c r="A6615" s="29"/>
      <c r="B6615" s="15"/>
      <c r="C6615" s="19"/>
      <c r="D6615" s="19"/>
      <c r="E6615" s="19"/>
      <c r="F6615" s="19"/>
      <c r="G6615" s="19"/>
      <c r="H6615" s="82"/>
    </row>
    <row r="6616" spans="1:8" s="28" customFormat="1" x14ac:dyDescent="0.25">
      <c r="A6616" s="29"/>
      <c r="B6616" s="15"/>
      <c r="C6616" s="19"/>
      <c r="D6616" s="19"/>
      <c r="E6616" s="19"/>
      <c r="F6616" s="19"/>
      <c r="G6616" s="19"/>
      <c r="H6616" s="82"/>
    </row>
    <row r="6617" spans="1:8" s="28" customFormat="1" x14ac:dyDescent="0.25">
      <c r="A6617" s="29"/>
      <c r="B6617" s="15"/>
      <c r="C6617" s="19"/>
      <c r="D6617" s="19"/>
      <c r="E6617" s="19"/>
      <c r="F6617" s="19"/>
      <c r="G6617" s="19"/>
      <c r="H6617" s="82"/>
    </row>
    <row r="6618" spans="1:8" s="28" customFormat="1" x14ac:dyDescent="0.25">
      <c r="A6618" s="29"/>
      <c r="B6618" s="15"/>
      <c r="C6618" s="19"/>
      <c r="D6618" s="19"/>
      <c r="E6618" s="19"/>
      <c r="F6618" s="19"/>
      <c r="G6618" s="19"/>
      <c r="H6618" s="82"/>
    </row>
    <row r="6619" spans="1:8" s="28" customFormat="1" x14ac:dyDescent="0.25">
      <c r="A6619" s="29"/>
      <c r="B6619" s="15"/>
      <c r="C6619" s="19"/>
      <c r="D6619" s="19"/>
      <c r="E6619" s="19"/>
      <c r="F6619" s="19"/>
      <c r="G6619" s="19"/>
      <c r="H6619" s="82"/>
    </row>
    <row r="6620" spans="1:8" s="28" customFormat="1" x14ac:dyDescent="0.25">
      <c r="A6620" s="29"/>
      <c r="B6620" s="15"/>
      <c r="C6620" s="19"/>
      <c r="D6620" s="19"/>
      <c r="E6620" s="19"/>
      <c r="F6620" s="19"/>
      <c r="G6620" s="19"/>
      <c r="H6620" s="82"/>
    </row>
    <row r="6621" spans="1:8" s="28" customFormat="1" x14ac:dyDescent="0.25">
      <c r="A6621" s="29"/>
      <c r="B6621" s="15"/>
      <c r="C6621" s="19"/>
      <c r="D6621" s="19"/>
      <c r="E6621" s="19"/>
      <c r="F6621" s="19"/>
      <c r="G6621" s="19"/>
      <c r="H6621" s="82"/>
    </row>
    <row r="6622" spans="1:8" s="28" customFormat="1" x14ac:dyDescent="0.25">
      <c r="A6622" s="29"/>
      <c r="B6622" s="15"/>
      <c r="C6622" s="19"/>
      <c r="D6622" s="19"/>
      <c r="E6622" s="19"/>
      <c r="F6622" s="19"/>
      <c r="G6622" s="19"/>
      <c r="H6622" s="82"/>
    </row>
    <row r="6623" spans="1:8" s="28" customFormat="1" x14ac:dyDescent="0.25">
      <c r="A6623" s="29"/>
      <c r="B6623" s="15"/>
      <c r="C6623" s="19"/>
      <c r="D6623" s="19"/>
      <c r="E6623" s="19"/>
      <c r="F6623" s="19"/>
      <c r="G6623" s="19"/>
      <c r="H6623" s="82"/>
    </row>
    <row r="6624" spans="1:8" s="28" customFormat="1" x14ac:dyDescent="0.25">
      <c r="A6624" s="29"/>
      <c r="B6624" s="15"/>
      <c r="C6624" s="19"/>
      <c r="D6624" s="19"/>
      <c r="E6624" s="19"/>
      <c r="F6624" s="19"/>
      <c r="G6624" s="19"/>
      <c r="H6624" s="82"/>
    </row>
    <row r="6625" spans="1:8" s="28" customFormat="1" x14ac:dyDescent="0.25">
      <c r="A6625" s="29"/>
      <c r="B6625" s="15"/>
      <c r="C6625" s="19"/>
      <c r="D6625" s="19"/>
      <c r="E6625" s="19"/>
      <c r="F6625" s="19"/>
      <c r="G6625" s="19"/>
      <c r="H6625" s="82"/>
    </row>
    <row r="6626" spans="1:8" s="28" customFormat="1" x14ac:dyDescent="0.25">
      <c r="A6626" s="29"/>
      <c r="B6626" s="15"/>
      <c r="C6626" s="19"/>
      <c r="D6626" s="19"/>
      <c r="E6626" s="19"/>
      <c r="F6626" s="19"/>
      <c r="G6626" s="19"/>
      <c r="H6626" s="82"/>
    </row>
    <row r="6627" spans="1:8" s="28" customFormat="1" x14ac:dyDescent="0.25">
      <c r="A6627" s="29"/>
      <c r="B6627" s="15"/>
      <c r="C6627" s="19"/>
      <c r="D6627" s="19"/>
      <c r="E6627" s="19"/>
      <c r="F6627" s="19"/>
      <c r="G6627" s="19"/>
      <c r="H6627" s="82"/>
    </row>
    <row r="6628" spans="1:8" s="28" customFormat="1" x14ac:dyDescent="0.25">
      <c r="A6628" s="29"/>
      <c r="B6628" s="15"/>
      <c r="C6628" s="19"/>
      <c r="D6628" s="19"/>
      <c r="E6628" s="19"/>
      <c r="F6628" s="19"/>
      <c r="G6628" s="19"/>
      <c r="H6628" s="82"/>
    </row>
    <row r="6629" spans="1:8" s="28" customFormat="1" x14ac:dyDescent="0.25">
      <c r="A6629" s="29"/>
      <c r="B6629" s="15"/>
      <c r="C6629" s="19"/>
      <c r="D6629" s="19"/>
      <c r="E6629" s="19"/>
      <c r="F6629" s="19"/>
      <c r="G6629" s="19"/>
      <c r="H6629" s="82"/>
    </row>
    <row r="6630" spans="1:8" s="28" customFormat="1" x14ac:dyDescent="0.25">
      <c r="A6630" s="29"/>
      <c r="B6630" s="15"/>
      <c r="C6630" s="19"/>
      <c r="D6630" s="19"/>
      <c r="E6630" s="19"/>
      <c r="F6630" s="19"/>
      <c r="G6630" s="19"/>
      <c r="H6630" s="82"/>
    </row>
    <row r="6631" spans="1:8" s="28" customFormat="1" x14ac:dyDescent="0.25">
      <c r="A6631" s="29"/>
      <c r="B6631" s="15"/>
      <c r="C6631" s="19"/>
      <c r="D6631" s="19"/>
      <c r="E6631" s="19"/>
      <c r="F6631" s="19"/>
      <c r="G6631" s="19"/>
      <c r="H6631" s="82"/>
    </row>
    <row r="6632" spans="1:8" s="28" customFormat="1" x14ac:dyDescent="0.25">
      <c r="A6632" s="29"/>
      <c r="B6632" s="15"/>
      <c r="C6632" s="19"/>
      <c r="D6632" s="19"/>
      <c r="E6632" s="19"/>
      <c r="F6632" s="19"/>
      <c r="G6632" s="19"/>
      <c r="H6632" s="82"/>
    </row>
    <row r="6633" spans="1:8" s="28" customFormat="1" x14ac:dyDescent="0.25">
      <c r="A6633" s="29"/>
      <c r="B6633" s="15"/>
      <c r="C6633" s="19"/>
      <c r="D6633" s="19"/>
      <c r="E6633" s="19"/>
      <c r="F6633" s="19"/>
      <c r="G6633" s="19"/>
      <c r="H6633" s="82"/>
    </row>
    <row r="6634" spans="1:8" s="28" customFormat="1" x14ac:dyDescent="0.25">
      <c r="A6634" s="29"/>
      <c r="B6634" s="15"/>
      <c r="C6634" s="19"/>
      <c r="D6634" s="19"/>
      <c r="E6634" s="19"/>
      <c r="F6634" s="19"/>
      <c r="G6634" s="19"/>
      <c r="H6634" s="82"/>
    </row>
    <row r="6635" spans="1:8" s="28" customFormat="1" x14ac:dyDescent="0.25">
      <c r="A6635" s="29"/>
      <c r="B6635" s="15"/>
      <c r="C6635" s="19"/>
      <c r="D6635" s="19"/>
      <c r="E6635" s="19"/>
      <c r="F6635" s="19"/>
      <c r="G6635" s="19"/>
      <c r="H6635" s="82"/>
    </row>
    <row r="6636" spans="1:8" s="28" customFormat="1" x14ac:dyDescent="0.25">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28515625" defaultRowHeight="15.75" x14ac:dyDescent="0.25"/>
  <cols>
    <col min="1" max="1" width="13.42578125" style="7" customWidth="1"/>
    <col min="2" max="2" width="58.28515625" style="119" customWidth="1"/>
    <col min="3" max="3" width="9.28515625" style="8" customWidth="1"/>
    <col min="4" max="4" width="11.28515625" style="7" customWidth="1"/>
    <col min="5" max="5" width="73.42578125" style="119" customWidth="1"/>
    <col min="6" max="16384" width="9.28515625" style="8"/>
  </cols>
  <sheetData>
    <row r="2" spans="1:5" x14ac:dyDescent="0.25">
      <c r="A2" s="5" t="s">
        <v>38</v>
      </c>
      <c r="D2" s="5" t="s">
        <v>1392</v>
      </c>
    </row>
    <row r="3" spans="1:5" ht="31.5" x14ac:dyDescent="0.25">
      <c r="B3" s="120"/>
      <c r="D3" s="121">
        <v>901</v>
      </c>
      <c r="E3" s="124" t="s">
        <v>872</v>
      </c>
    </row>
    <row r="4" spans="1:5" x14ac:dyDescent="0.25">
      <c r="B4" s="120"/>
      <c r="D4" s="77" t="s">
        <v>1287</v>
      </c>
      <c r="E4" s="78" t="s">
        <v>1288</v>
      </c>
    </row>
    <row r="5" spans="1:5" ht="33" customHeight="1" x14ac:dyDescent="0.25">
      <c r="A5" s="77" t="s">
        <v>1046</v>
      </c>
      <c r="B5" s="78" t="s">
        <v>1086</v>
      </c>
      <c r="D5" s="77">
        <v>902</v>
      </c>
      <c r="E5" s="78" t="s">
        <v>1100</v>
      </c>
    </row>
    <row r="6" spans="1:5" ht="47.25" x14ac:dyDescent="0.25">
      <c r="A6" s="77" t="s">
        <v>1045</v>
      </c>
      <c r="B6" s="78" t="s">
        <v>1225</v>
      </c>
      <c r="D6" s="77">
        <v>903</v>
      </c>
      <c r="E6" s="78" t="s">
        <v>812</v>
      </c>
    </row>
    <row r="7" spans="1:5" ht="50.25" customHeight="1" x14ac:dyDescent="0.25">
      <c r="A7" s="77" t="s">
        <v>1310</v>
      </c>
      <c r="B7" s="79" t="s">
        <v>546</v>
      </c>
      <c r="D7" s="77">
        <v>904</v>
      </c>
      <c r="E7" s="78" t="s">
        <v>150</v>
      </c>
    </row>
    <row r="8" spans="1:5" ht="47.25" x14ac:dyDescent="0.25">
      <c r="A8" s="77" t="s">
        <v>1311</v>
      </c>
      <c r="B8" s="79" t="s">
        <v>1415</v>
      </c>
      <c r="D8" s="77">
        <v>905</v>
      </c>
      <c r="E8" s="78" t="s">
        <v>419</v>
      </c>
    </row>
    <row r="9" spans="1:5" ht="31.5" x14ac:dyDescent="0.25">
      <c r="A9" s="77" t="s">
        <v>916</v>
      </c>
      <c r="B9" s="79" t="s">
        <v>915</v>
      </c>
      <c r="D9" s="77">
        <v>906</v>
      </c>
      <c r="E9" s="78" t="s">
        <v>1153</v>
      </c>
    </row>
    <row r="10" spans="1:5" ht="31.5" x14ac:dyDescent="0.25">
      <c r="A10" s="77" t="s">
        <v>917</v>
      </c>
      <c r="B10" s="78" t="s">
        <v>524</v>
      </c>
      <c r="D10" s="77">
        <v>907</v>
      </c>
      <c r="E10" s="78" t="s">
        <v>1752</v>
      </c>
    </row>
    <row r="11" spans="1:5" ht="78.75" customHeight="1" x14ac:dyDescent="0.25">
      <c r="A11" s="77" t="s">
        <v>525</v>
      </c>
      <c r="B11" s="79" t="s">
        <v>19</v>
      </c>
      <c r="D11" s="77">
        <v>908</v>
      </c>
      <c r="E11" s="79" t="s">
        <v>581</v>
      </c>
    </row>
    <row r="12" spans="1:5" ht="31.5" x14ac:dyDescent="0.25">
      <c r="A12" s="77" t="s">
        <v>526</v>
      </c>
      <c r="B12" s="78" t="s">
        <v>296</v>
      </c>
      <c r="D12" s="77">
        <v>909</v>
      </c>
      <c r="E12" s="79" t="s">
        <v>673</v>
      </c>
    </row>
    <row r="13" spans="1:5" ht="63" x14ac:dyDescent="0.25">
      <c r="A13" s="77" t="s">
        <v>1656</v>
      </c>
      <c r="B13" s="78" t="s">
        <v>1283</v>
      </c>
      <c r="D13" s="77">
        <v>910</v>
      </c>
      <c r="E13" s="78" t="s">
        <v>307</v>
      </c>
    </row>
    <row r="14" spans="1:5" ht="78.75" x14ac:dyDescent="0.25">
      <c r="A14" s="77" t="s">
        <v>1011</v>
      </c>
      <c r="B14" s="78" t="s">
        <v>966</v>
      </c>
      <c r="D14" s="121">
        <v>917</v>
      </c>
      <c r="E14" s="125" t="s">
        <v>298</v>
      </c>
    </row>
    <row r="15" spans="1:5" ht="32.25" customHeight="1" x14ac:dyDescent="0.25">
      <c r="A15" s="77" t="s">
        <v>453</v>
      </c>
      <c r="B15" s="78" t="s">
        <v>1522</v>
      </c>
      <c r="D15" s="121">
        <v>919</v>
      </c>
      <c r="E15" s="126" t="s">
        <v>1217</v>
      </c>
    </row>
    <row r="16" spans="1:5" ht="32.25" customHeight="1" x14ac:dyDescent="0.25">
      <c r="A16" s="77" t="s">
        <v>618</v>
      </c>
      <c r="B16" s="78" t="s">
        <v>619</v>
      </c>
      <c r="D16" s="121">
        <v>921</v>
      </c>
      <c r="E16" s="125" t="s">
        <v>1041</v>
      </c>
    </row>
    <row r="17" spans="1:5" x14ac:dyDescent="0.25">
      <c r="A17" s="77" t="s">
        <v>1182</v>
      </c>
      <c r="B17" s="78" t="s">
        <v>1562</v>
      </c>
      <c r="D17" s="122"/>
      <c r="E17" s="123"/>
    </row>
    <row r="18" spans="1:5" ht="51" customHeight="1" x14ac:dyDescent="0.25">
      <c r="A18" s="77" t="s">
        <v>20</v>
      </c>
      <c r="B18" s="78" t="s">
        <v>712</v>
      </c>
      <c r="D18" s="122"/>
      <c r="E18" s="123"/>
    </row>
    <row r="19" spans="1:5" ht="54.75" customHeight="1" x14ac:dyDescent="0.25">
      <c r="A19" s="77" t="s">
        <v>21</v>
      </c>
      <c r="B19" s="78" t="s">
        <v>1502</v>
      </c>
      <c r="D19" s="122"/>
      <c r="E19" s="123"/>
    </row>
    <row r="20" spans="1:5" ht="67.5" customHeight="1" x14ac:dyDescent="0.25">
      <c r="A20" s="77" t="s">
        <v>22</v>
      </c>
      <c r="B20" s="78" t="s">
        <v>1309</v>
      </c>
      <c r="D20" s="122"/>
      <c r="E20" s="123"/>
    </row>
    <row r="21" spans="1:5" ht="44.25" customHeight="1" x14ac:dyDescent="0.25">
      <c r="A21" s="77" t="s">
        <v>1416</v>
      </c>
      <c r="B21" s="78" t="s">
        <v>1588</v>
      </c>
      <c r="D21" s="122"/>
      <c r="E21" s="123"/>
    </row>
    <row r="22" spans="1:5" ht="39" customHeight="1" x14ac:dyDescent="0.25">
      <c r="A22" s="121" t="s">
        <v>46</v>
      </c>
      <c r="B22" s="124" t="s">
        <v>1043</v>
      </c>
    </row>
    <row r="23" spans="1:5" ht="31.5" x14ac:dyDescent="0.25">
      <c r="A23" s="77" t="s">
        <v>1376</v>
      </c>
      <c r="B23" s="78" t="s">
        <v>1457</v>
      </c>
      <c r="E23" s="54"/>
    </row>
    <row r="24" spans="1:5" ht="31.5" x14ac:dyDescent="0.25">
      <c r="A24" s="77" t="s">
        <v>1238</v>
      </c>
      <c r="B24" s="78" t="s">
        <v>1735</v>
      </c>
    </row>
    <row r="25" spans="1:5" ht="31.5" x14ac:dyDescent="0.25">
      <c r="A25" s="77" t="s">
        <v>1169</v>
      </c>
      <c r="B25" s="78" t="s">
        <v>883</v>
      </c>
    </row>
    <row r="26" spans="1:5" ht="31.5" x14ac:dyDescent="0.25">
      <c r="A26" s="77" t="s">
        <v>364</v>
      </c>
      <c r="B26" s="132" t="s">
        <v>832</v>
      </c>
    </row>
    <row r="27" spans="1:5" ht="31.5" x14ac:dyDescent="0.25">
      <c r="A27" s="77" t="s">
        <v>247</v>
      </c>
      <c r="B27" s="132" t="s">
        <v>1720</v>
      </c>
    </row>
    <row r="28" spans="1:5" ht="47.25" x14ac:dyDescent="0.25">
      <c r="A28" s="77" t="s">
        <v>206</v>
      </c>
      <c r="B28" s="132" t="s">
        <v>933</v>
      </c>
    </row>
    <row r="29" spans="1:5" ht="20.25" customHeight="1" x14ac:dyDescent="0.25">
      <c r="A29" s="77" t="s">
        <v>750</v>
      </c>
      <c r="B29" s="132" t="s">
        <v>186</v>
      </c>
    </row>
    <row r="30" spans="1:5" ht="47.25" x14ac:dyDescent="0.25">
      <c r="A30" s="77" t="s">
        <v>365</v>
      </c>
      <c r="B30" s="78" t="s">
        <v>730</v>
      </c>
    </row>
    <row r="31" spans="1:5" ht="31.5" x14ac:dyDescent="0.25">
      <c r="A31" s="77" t="s">
        <v>56</v>
      </c>
      <c r="B31" s="78" t="s">
        <v>719</v>
      </c>
    </row>
    <row r="32" spans="1:5" ht="52.5" customHeight="1" x14ac:dyDescent="0.25">
      <c r="A32" s="77" t="s">
        <v>26</v>
      </c>
      <c r="B32" s="78" t="s">
        <v>222</v>
      </c>
    </row>
    <row r="33" spans="1:2" ht="19.5" customHeight="1" x14ac:dyDescent="0.25">
      <c r="A33" s="77" t="s">
        <v>884</v>
      </c>
      <c r="B33" s="78" t="s">
        <v>223</v>
      </c>
    </row>
    <row r="34" spans="1:2" ht="31.5" x14ac:dyDescent="0.25">
      <c r="A34" s="77" t="s">
        <v>885</v>
      </c>
      <c r="B34" s="78" t="s">
        <v>224</v>
      </c>
    </row>
    <row r="35" spans="1:2" ht="50.25" customHeight="1" x14ac:dyDescent="0.25">
      <c r="A35" s="77" t="s">
        <v>731</v>
      </c>
      <c r="B35" s="78" t="s">
        <v>1672</v>
      </c>
    </row>
    <row r="36" spans="1:2" ht="50.25" customHeight="1" x14ac:dyDescent="0.25">
      <c r="A36" s="77" t="s">
        <v>831</v>
      </c>
      <c r="B36" s="79" t="s">
        <v>1214</v>
      </c>
    </row>
    <row r="37" spans="1:2" ht="36.75" customHeight="1" x14ac:dyDescent="0.25">
      <c r="A37" s="77" t="s">
        <v>854</v>
      </c>
      <c r="B37" s="78" t="s">
        <v>191</v>
      </c>
    </row>
    <row r="38" spans="1:2" ht="33.75" customHeight="1" x14ac:dyDescent="0.25">
      <c r="A38" s="77" t="s">
        <v>352</v>
      </c>
      <c r="B38" s="78" t="s">
        <v>1088</v>
      </c>
    </row>
    <row r="39" spans="1:2" ht="31.5" x14ac:dyDescent="0.25">
      <c r="A39" s="77" t="s">
        <v>27</v>
      </c>
      <c r="B39" s="78" t="s">
        <v>360</v>
      </c>
    </row>
    <row r="40" spans="1:2" ht="47.25" x14ac:dyDescent="0.25">
      <c r="A40" s="77" t="s">
        <v>29</v>
      </c>
      <c r="B40" s="78" t="s">
        <v>782</v>
      </c>
    </row>
    <row r="41" spans="1:2" ht="50.25" customHeight="1" x14ac:dyDescent="0.25">
      <c r="A41" s="77" t="s">
        <v>1483</v>
      </c>
      <c r="B41" s="78" t="s">
        <v>285</v>
      </c>
    </row>
    <row r="42" spans="1:2" ht="31.5" x14ac:dyDescent="0.25">
      <c r="A42" s="77" t="s">
        <v>1484</v>
      </c>
      <c r="B42" s="78" t="s">
        <v>370</v>
      </c>
    </row>
    <row r="43" spans="1:2" ht="51" customHeight="1" x14ac:dyDescent="0.25">
      <c r="A43" s="77" t="s">
        <v>1485</v>
      </c>
      <c r="B43" s="78" t="s">
        <v>1307</v>
      </c>
    </row>
    <row r="44" spans="1:2" ht="49.5" customHeight="1" x14ac:dyDescent="0.25">
      <c r="A44" s="77" t="s">
        <v>777</v>
      </c>
      <c r="B44" s="78" t="s">
        <v>741</v>
      </c>
    </row>
    <row r="45" spans="1:2" ht="51" customHeight="1" x14ac:dyDescent="0.25">
      <c r="A45" s="77" t="s">
        <v>817</v>
      </c>
      <c r="B45" s="78" t="s">
        <v>371</v>
      </c>
    </row>
    <row r="46" spans="1:2" ht="63" x14ac:dyDescent="0.25">
      <c r="A46" s="77" t="s">
        <v>1227</v>
      </c>
      <c r="B46" s="78" t="s">
        <v>1685</v>
      </c>
    </row>
    <row r="47" spans="1:2" ht="54.75" customHeight="1" x14ac:dyDescent="0.25">
      <c r="A47" s="77" t="s">
        <v>77</v>
      </c>
      <c r="B47" s="78" t="s">
        <v>78</v>
      </c>
    </row>
    <row r="48" spans="1:2" x14ac:dyDescent="0.25">
      <c r="A48" s="77" t="s">
        <v>79</v>
      </c>
      <c r="B48" s="78" t="s">
        <v>1686</v>
      </c>
    </row>
    <row r="49" spans="1:2" ht="31.5" x14ac:dyDescent="0.25">
      <c r="A49" s="77" t="s">
        <v>80</v>
      </c>
      <c r="B49" s="78" t="s">
        <v>790</v>
      </c>
    </row>
    <row r="50" spans="1:2" ht="47.25" x14ac:dyDescent="0.25">
      <c r="A50" s="77" t="s">
        <v>1173</v>
      </c>
      <c r="B50" s="78" t="s">
        <v>179</v>
      </c>
    </row>
    <row r="51" spans="1:2" ht="31.5" x14ac:dyDescent="0.25">
      <c r="A51" s="77" t="s">
        <v>1174</v>
      </c>
      <c r="B51" s="78" t="s">
        <v>1269</v>
      </c>
    </row>
    <row r="52" spans="1:2" ht="47.25" x14ac:dyDescent="0.25">
      <c r="A52" s="77" t="s">
        <v>791</v>
      </c>
      <c r="B52" s="78" t="s">
        <v>1489</v>
      </c>
    </row>
    <row r="53" spans="1:2" x14ac:dyDescent="0.25">
      <c r="A53" s="77" t="s">
        <v>158</v>
      </c>
      <c r="B53" s="78" t="s">
        <v>903</v>
      </c>
    </row>
    <row r="54" spans="1:2" x14ac:dyDescent="0.25">
      <c r="A54" s="77" t="s">
        <v>794</v>
      </c>
      <c r="B54" s="78" t="s">
        <v>793</v>
      </c>
    </row>
    <row r="55" spans="1:2" x14ac:dyDescent="0.25">
      <c r="A55" s="77" t="s">
        <v>795</v>
      </c>
      <c r="B55" s="78" t="s">
        <v>718</v>
      </c>
    </row>
    <row r="56" spans="1:2" ht="31.5" x14ac:dyDescent="0.25">
      <c r="A56" s="77" t="s">
        <v>796</v>
      </c>
      <c r="B56" s="78" t="s">
        <v>1284</v>
      </c>
    </row>
    <row r="57" spans="1:2" x14ac:dyDescent="0.25">
      <c r="A57" s="77" t="s">
        <v>1285</v>
      </c>
      <c r="B57" s="78" t="s">
        <v>1286</v>
      </c>
    </row>
    <row r="58" spans="1:2" x14ac:dyDescent="0.25">
      <c r="B58" s="54"/>
    </row>
    <row r="59" spans="1:2" x14ac:dyDescent="0.25">
      <c r="B59" s="54"/>
    </row>
    <row r="60" spans="1:2" x14ac:dyDescent="0.25">
      <c r="B60" s="54"/>
    </row>
    <row r="61" spans="1:2" x14ac:dyDescent="0.25">
      <c r="B61" s="54"/>
    </row>
    <row r="62" spans="1:2" x14ac:dyDescent="0.25">
      <c r="B62" s="54"/>
    </row>
    <row r="63" spans="1:2" x14ac:dyDescent="0.25">
      <c r="B63" s="54"/>
    </row>
    <row r="64" spans="1:2" x14ac:dyDescent="0.25">
      <c r="B64" s="54"/>
    </row>
    <row r="65" spans="2:2" x14ac:dyDescent="0.25">
      <c r="B65" s="54"/>
    </row>
    <row r="66" spans="2:2" x14ac:dyDescent="0.25">
      <c r="B66" s="54"/>
    </row>
    <row r="67" spans="2:2" x14ac:dyDescent="0.25">
      <c r="B67" s="54"/>
    </row>
    <row r="68" spans="2:2" x14ac:dyDescent="0.25">
      <c r="B68" s="54"/>
    </row>
    <row r="69" spans="2:2" x14ac:dyDescent="0.25">
      <c r="B69" s="54"/>
    </row>
    <row r="70" spans="2:2" x14ac:dyDescent="0.25">
      <c r="B70" s="54"/>
    </row>
    <row r="71" spans="2:2" x14ac:dyDescent="0.25">
      <c r="B71" s="54"/>
    </row>
    <row r="72" spans="2:2" x14ac:dyDescent="0.25">
      <c r="B72" s="54"/>
    </row>
    <row r="73" spans="2:2" x14ac:dyDescent="0.25">
      <c r="B73" s="54"/>
    </row>
    <row r="74" spans="2:2" x14ac:dyDescent="0.25">
      <c r="B74" s="54"/>
    </row>
    <row r="75" spans="2:2" x14ac:dyDescent="0.25">
      <c r="B75" s="54"/>
    </row>
    <row r="76" spans="2:2" x14ac:dyDescent="0.25">
      <c r="B76" s="54"/>
    </row>
    <row r="77" spans="2:2" x14ac:dyDescent="0.25">
      <c r="B77" s="54"/>
    </row>
    <row r="78" spans="2:2" x14ac:dyDescent="0.25">
      <c r="B78" s="54"/>
    </row>
    <row r="79" spans="2:2" x14ac:dyDescent="0.25">
      <c r="B79" s="54"/>
    </row>
    <row r="80" spans="2:2" x14ac:dyDescent="0.25">
      <c r="B80" s="54"/>
    </row>
    <row r="81" spans="2:2" x14ac:dyDescent="0.25">
      <c r="B81" s="54"/>
    </row>
    <row r="82" spans="2:2" x14ac:dyDescent="0.25">
      <c r="B82" s="54"/>
    </row>
    <row r="83" spans="2:2" x14ac:dyDescent="0.25">
      <c r="B83" s="54"/>
    </row>
    <row r="84" spans="2:2" x14ac:dyDescent="0.25">
      <c r="B84" s="54"/>
    </row>
    <row r="85" spans="2:2" x14ac:dyDescent="0.25">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28515625" defaultRowHeight="15" x14ac:dyDescent="0.2"/>
  <cols>
    <col min="1" max="1" width="9.28515625" style="146" customWidth="1"/>
    <col min="2" max="2" width="37.5703125" style="101" customWidth="1"/>
    <col min="3" max="3" width="14.7109375" style="93" customWidth="1"/>
    <col min="4" max="4" width="15" style="73" customWidth="1"/>
    <col min="5" max="5" width="12.42578125" style="174" customWidth="1"/>
    <col min="6" max="16384" width="9.28515625" style="1"/>
  </cols>
  <sheetData>
    <row r="1" spans="1:5" x14ac:dyDescent="0.2">
      <c r="A1" s="134"/>
      <c r="B1" s="94" t="s">
        <v>830</v>
      </c>
      <c r="C1" s="91"/>
    </row>
    <row r="2" spans="1:5" x14ac:dyDescent="0.2">
      <c r="A2" s="135" t="s">
        <v>390</v>
      </c>
      <c r="B2" s="95" t="s">
        <v>800</v>
      </c>
      <c r="C2" s="91"/>
    </row>
    <row r="3" spans="1:5" x14ac:dyDescent="0.2">
      <c r="A3" s="136"/>
      <c r="B3" s="96"/>
      <c r="C3" s="91"/>
      <c r="D3" s="73" t="s">
        <v>889</v>
      </c>
      <c r="E3" s="174" t="s">
        <v>890</v>
      </c>
    </row>
    <row r="4" spans="1:5" s="89" customFormat="1" ht="15.75" x14ac:dyDescent="0.25">
      <c r="A4" s="137" t="s">
        <v>801</v>
      </c>
      <c r="B4" s="99" t="s">
        <v>802</v>
      </c>
      <c r="C4" s="112">
        <f>SUM(C5:C18)</f>
        <v>23580617</v>
      </c>
      <c r="D4" s="129">
        <f>C4-'ведом. 2021-2023'!G19</f>
        <v>23580617</v>
      </c>
      <c r="E4" s="175">
        <f>C4-[1]свод!$E$203</f>
        <v>0</v>
      </c>
    </row>
    <row r="5" spans="1:5" ht="25.5" x14ac:dyDescent="0.2">
      <c r="A5" s="138" t="s">
        <v>1278</v>
      </c>
      <c r="B5" s="117" t="s">
        <v>1279</v>
      </c>
      <c r="C5" s="113"/>
    </row>
    <row r="6" spans="1:5" ht="38.25" x14ac:dyDescent="0.2">
      <c r="A6" s="139" t="s">
        <v>1280</v>
      </c>
      <c r="B6" s="103" t="s">
        <v>249</v>
      </c>
      <c r="C6" s="113">
        <v>2114</v>
      </c>
      <c r="D6" s="130">
        <f>C6-'ведом. 2021-2023'!G20</f>
        <v>2114</v>
      </c>
    </row>
    <row r="7" spans="1:5" ht="57" customHeight="1" x14ac:dyDescent="0.2">
      <c r="A7" s="139" t="s">
        <v>250</v>
      </c>
      <c r="B7" s="103" t="s">
        <v>560</v>
      </c>
      <c r="C7" s="113">
        <f>8479+797591</f>
        <v>806070</v>
      </c>
      <c r="D7" s="130" t="e">
        <f>C7-'ведом. 2021-2023'!#REF!</f>
        <v>#REF!</v>
      </c>
    </row>
    <row r="8" spans="1:5" ht="63.75" x14ac:dyDescent="0.2">
      <c r="A8" s="139" t="s">
        <v>251</v>
      </c>
      <c r="B8" s="103" t="s">
        <v>1240</v>
      </c>
      <c r="C8" s="113">
        <v>902951</v>
      </c>
      <c r="D8" s="130">
        <f>C8-'ведом. 2021-2023'!G27</f>
        <v>902951</v>
      </c>
    </row>
    <row r="9" spans="1:5" x14ac:dyDescent="0.2">
      <c r="A9" s="139" t="s">
        <v>1241</v>
      </c>
      <c r="B9" s="103" t="s">
        <v>1163</v>
      </c>
      <c r="C9" s="113">
        <v>1163086</v>
      </c>
      <c r="D9" s="130" t="e">
        <f>C9-'ведом. 2021-2023'!#REF!</f>
        <v>#REF!</v>
      </c>
    </row>
    <row r="10" spans="1:5" ht="51" x14ac:dyDescent="0.2">
      <c r="A10" s="139" t="s">
        <v>1242</v>
      </c>
      <c r="B10" s="103" t="s">
        <v>1042</v>
      </c>
      <c r="C10" s="113">
        <f>5050+2170797+3000+141000</f>
        <v>2319847</v>
      </c>
      <c r="D10" s="130" t="e">
        <f>C10-'ведом. 2021-2023'!#REF!</f>
        <v>#REF!</v>
      </c>
    </row>
    <row r="11" spans="1:5" ht="25.5" x14ac:dyDescent="0.2">
      <c r="A11" s="139" t="s">
        <v>1243</v>
      </c>
      <c r="B11" s="103" t="s">
        <v>937</v>
      </c>
      <c r="C11" s="113">
        <v>67921</v>
      </c>
      <c r="D11" s="130" t="e">
        <f>C11-'ведом. 2021-2023'!#REF!</f>
        <v>#REF!</v>
      </c>
    </row>
    <row r="12" spans="1:5" ht="25.5" x14ac:dyDescent="0.2">
      <c r="A12" s="140" t="s">
        <v>1244</v>
      </c>
      <c r="B12" s="104" t="s">
        <v>286</v>
      </c>
      <c r="C12" s="113">
        <f>203700+5800</f>
        <v>209500</v>
      </c>
      <c r="D12" s="130" t="e">
        <f>C12-'ведом. 2021-2023'!#REF!</f>
        <v>#REF!</v>
      </c>
    </row>
    <row r="13" spans="1:5" x14ac:dyDescent="0.2">
      <c r="A13" s="138" t="s">
        <v>1245</v>
      </c>
      <c r="B13" s="96" t="s">
        <v>1446</v>
      </c>
      <c r="C13" s="113"/>
    </row>
    <row r="14" spans="1:5" x14ac:dyDescent="0.2">
      <c r="A14" s="139" t="s">
        <v>1447</v>
      </c>
      <c r="B14" s="103" t="s">
        <v>242</v>
      </c>
      <c r="C14" s="113"/>
    </row>
    <row r="15" spans="1:5" ht="25.5" x14ac:dyDescent="0.2">
      <c r="A15" s="139" t="s">
        <v>1448</v>
      </c>
      <c r="B15" s="103" t="s">
        <v>1748</v>
      </c>
      <c r="C15" s="113">
        <v>8537000</v>
      </c>
      <c r="D15" s="130" t="e">
        <f>C15-'ведом. 2021-2023'!#REF!</f>
        <v>#REF!</v>
      </c>
    </row>
    <row r="16" spans="1:5" x14ac:dyDescent="0.2">
      <c r="A16" s="139" t="s">
        <v>1449</v>
      </c>
      <c r="B16" s="103" t="s">
        <v>39</v>
      </c>
      <c r="C16" s="113">
        <f>1500000+55107</f>
        <v>1555107</v>
      </c>
      <c r="D16" s="130">
        <f>C16-'ведом. 2021-2023'!G71</f>
        <v>1555107</v>
      </c>
    </row>
    <row r="17" spans="1:5" ht="25.5" x14ac:dyDescent="0.2">
      <c r="A17" s="139" t="s">
        <v>1450</v>
      </c>
      <c r="B17" s="103" t="s">
        <v>1051</v>
      </c>
      <c r="C17" s="113"/>
    </row>
    <row r="18" spans="1:5" x14ac:dyDescent="0.2">
      <c r="A18" s="141" t="s">
        <v>1451</v>
      </c>
      <c r="B18" s="105" t="s">
        <v>287</v>
      </c>
      <c r="C18" s="113">
        <f>26190+27274+720000+375064+3754446+10000+3099047-8621+8621+2000+3000</f>
        <v>8017021</v>
      </c>
      <c r="D18" s="130">
        <f>C18-'ведом. 2021-2023'!G79</f>
        <v>8017021</v>
      </c>
    </row>
    <row r="19" spans="1:5" x14ac:dyDescent="0.2">
      <c r="A19" s="136"/>
      <c r="B19" s="96"/>
      <c r="C19" s="113"/>
    </row>
    <row r="20" spans="1:5" s="89" customFormat="1" ht="15.75" x14ac:dyDescent="0.25">
      <c r="A20" s="137" t="s">
        <v>1452</v>
      </c>
      <c r="B20" s="99" t="s">
        <v>1459</v>
      </c>
      <c r="C20" s="112">
        <f>SUM(C21:C29)</f>
        <v>12972</v>
      </c>
      <c r="D20" s="129">
        <f>C20-'ведом. 2021-2023'!G157</f>
        <v>12972</v>
      </c>
      <c r="E20" s="175">
        <f>C20-[1]свод!$E$204</f>
        <v>0</v>
      </c>
    </row>
    <row r="21" spans="1:5" x14ac:dyDescent="0.2">
      <c r="A21" s="138" t="s">
        <v>1460</v>
      </c>
      <c r="B21" s="97" t="s">
        <v>1461</v>
      </c>
      <c r="C21" s="113"/>
    </row>
    <row r="22" spans="1:5" ht="38.25" x14ac:dyDescent="0.2">
      <c r="A22" s="139" t="s">
        <v>1462</v>
      </c>
      <c r="B22" s="103" t="s">
        <v>863</v>
      </c>
      <c r="C22" s="113"/>
    </row>
    <row r="23" spans="1:5" ht="25.5" x14ac:dyDescent="0.2">
      <c r="A23" s="139" t="s">
        <v>864</v>
      </c>
      <c r="B23" s="103" t="s">
        <v>865</v>
      </c>
      <c r="C23" s="113"/>
    </row>
    <row r="24" spans="1:5" x14ac:dyDescent="0.2">
      <c r="A24" s="139" t="s">
        <v>518</v>
      </c>
      <c r="B24" s="103" t="s">
        <v>1054</v>
      </c>
      <c r="C24" s="113">
        <v>12972</v>
      </c>
      <c r="D24" s="130" t="e">
        <f>C24-'ведом. 2021-2023'!#REF!</f>
        <v>#REF!</v>
      </c>
    </row>
    <row r="25" spans="1:5" ht="38.25" x14ac:dyDescent="0.2">
      <c r="A25" s="139" t="s">
        <v>519</v>
      </c>
      <c r="B25" s="103" t="s">
        <v>665</v>
      </c>
      <c r="C25" s="113"/>
    </row>
    <row r="26" spans="1:5" x14ac:dyDescent="0.2">
      <c r="A26" s="139" t="s">
        <v>666</v>
      </c>
      <c r="B26" s="103" t="s">
        <v>667</v>
      </c>
      <c r="C26" s="113"/>
    </row>
    <row r="27" spans="1:5" ht="25.5" x14ac:dyDescent="0.2">
      <c r="A27" s="139" t="s">
        <v>668</v>
      </c>
      <c r="B27" s="103" t="s">
        <v>142</v>
      </c>
      <c r="C27" s="113"/>
    </row>
    <row r="28" spans="1:5" ht="25.5" x14ac:dyDescent="0.2">
      <c r="A28" s="139" t="s">
        <v>143</v>
      </c>
      <c r="B28" s="103" t="s">
        <v>1508</v>
      </c>
      <c r="C28" s="113"/>
    </row>
    <row r="29" spans="1:5" ht="25.5" x14ac:dyDescent="0.2">
      <c r="A29" s="141" t="s">
        <v>1509</v>
      </c>
      <c r="B29" s="105" t="s">
        <v>1510</v>
      </c>
      <c r="C29" s="113"/>
    </row>
    <row r="30" spans="1:5" x14ac:dyDescent="0.2">
      <c r="A30" s="136"/>
      <c r="B30" s="96"/>
      <c r="C30" s="113"/>
    </row>
    <row r="31" spans="1:5" s="89" customFormat="1" ht="43.5" customHeight="1" x14ac:dyDescent="0.25">
      <c r="A31" s="137" t="s">
        <v>1511</v>
      </c>
      <c r="B31" s="106" t="s">
        <v>144</v>
      </c>
      <c r="C31" s="112">
        <f>SUM(C32:C45)</f>
        <v>16669168</v>
      </c>
      <c r="D31" s="129">
        <f>C31-'ведом. 2021-2023'!G172</f>
        <v>16669168</v>
      </c>
      <c r="E31" s="176">
        <f>C31-[1]свод!$E$205</f>
        <v>0</v>
      </c>
    </row>
    <row r="32" spans="1:5" x14ac:dyDescent="0.2">
      <c r="A32" s="138" t="s">
        <v>145</v>
      </c>
      <c r="B32" s="96" t="s">
        <v>146</v>
      </c>
      <c r="C32" s="113"/>
    </row>
    <row r="33" spans="1:5" x14ac:dyDescent="0.2">
      <c r="A33" s="139" t="s">
        <v>147</v>
      </c>
      <c r="B33" s="103" t="s">
        <v>409</v>
      </c>
      <c r="C33" s="113">
        <f>315585+11659394+26106</f>
        <v>12001085</v>
      </c>
      <c r="D33" s="130" t="e">
        <f>C33-'ведом. 2021-2023'!#REF!</f>
        <v>#REF!</v>
      </c>
    </row>
    <row r="34" spans="1:5" x14ac:dyDescent="0.2">
      <c r="A34" s="139" t="s">
        <v>148</v>
      </c>
      <c r="B34" s="103" t="s">
        <v>1722</v>
      </c>
      <c r="C34" s="113"/>
    </row>
    <row r="35" spans="1:5" x14ac:dyDescent="0.2">
      <c r="A35" s="139" t="s">
        <v>1723</v>
      </c>
      <c r="B35" s="103" t="s">
        <v>1724</v>
      </c>
      <c r="C35" s="113"/>
    </row>
    <row r="36" spans="1:5" x14ac:dyDescent="0.2">
      <c r="A36" s="139" t="s">
        <v>1725</v>
      </c>
      <c r="B36" s="103" t="s">
        <v>1726</v>
      </c>
      <c r="C36" s="113">
        <v>177958</v>
      </c>
      <c r="D36" s="130" t="e">
        <f>C36-'ведом. 2021-2023'!#REF!</f>
        <v>#REF!</v>
      </c>
    </row>
    <row r="37" spans="1:5" x14ac:dyDescent="0.2">
      <c r="A37" s="139" t="s">
        <v>1727</v>
      </c>
      <c r="B37" s="103" t="s">
        <v>1728</v>
      </c>
      <c r="C37" s="113"/>
    </row>
    <row r="38" spans="1:5" x14ac:dyDescent="0.2">
      <c r="A38" s="139" t="s">
        <v>1729</v>
      </c>
      <c r="B38" s="103" t="s">
        <v>1730</v>
      </c>
      <c r="C38" s="113"/>
    </row>
    <row r="39" spans="1:5" ht="38.25" x14ac:dyDescent="0.2">
      <c r="A39" s="139" t="s">
        <v>1731</v>
      </c>
      <c r="B39" s="103" t="s">
        <v>1440</v>
      </c>
      <c r="C39" s="113">
        <v>67662</v>
      </c>
      <c r="D39" s="130" t="e">
        <f>C39-'ведом. 2021-2023'!#REF!</f>
        <v>#REF!</v>
      </c>
    </row>
    <row r="40" spans="1:5" ht="45.75" customHeight="1" x14ac:dyDescent="0.2">
      <c r="A40" s="139" t="s">
        <v>1441</v>
      </c>
      <c r="B40" s="103" t="s">
        <v>487</v>
      </c>
      <c r="C40" s="113">
        <v>996190</v>
      </c>
      <c r="D40" s="130">
        <f>C40-'ведом. 2021-2023'!G173</f>
        <v>996190</v>
      </c>
    </row>
    <row r="41" spans="1:5" x14ac:dyDescent="0.2">
      <c r="A41" s="139" t="s">
        <v>488</v>
      </c>
      <c r="B41" s="103" t="s">
        <v>489</v>
      </c>
      <c r="C41" s="113">
        <f>46851+3225689+100000+53733</f>
        <v>3426273</v>
      </c>
      <c r="D41" s="130" t="e">
        <f>C41-'ведом. 2021-2023'!#REF!</f>
        <v>#REF!</v>
      </c>
    </row>
    <row r="42" spans="1:5" x14ac:dyDescent="0.2">
      <c r="A42" s="139" t="s">
        <v>490</v>
      </c>
      <c r="B42" s="103" t="s">
        <v>491</v>
      </c>
      <c r="C42" s="113"/>
    </row>
    <row r="43" spans="1:5" ht="38.25" x14ac:dyDescent="0.2">
      <c r="A43" s="139" t="s">
        <v>492</v>
      </c>
      <c r="B43" s="103" t="s">
        <v>136</v>
      </c>
      <c r="C43" s="113"/>
    </row>
    <row r="44" spans="1:5" ht="38.25" x14ac:dyDescent="0.2">
      <c r="A44" s="139" t="s">
        <v>137</v>
      </c>
      <c r="B44" s="103" t="s">
        <v>1458</v>
      </c>
      <c r="C44" s="113"/>
    </row>
    <row r="45" spans="1:5" ht="38.25" x14ac:dyDescent="0.2">
      <c r="A45" s="141" t="s">
        <v>1438</v>
      </c>
      <c r="B45" s="105" t="s">
        <v>1314</v>
      </c>
      <c r="C45" s="113"/>
    </row>
    <row r="46" spans="1:5" x14ac:dyDescent="0.2">
      <c r="A46" s="136"/>
      <c r="B46" s="96"/>
      <c r="C46" s="113"/>
    </row>
    <row r="47" spans="1:5" s="89" customFormat="1" ht="15.75" x14ac:dyDescent="0.25">
      <c r="A47" s="137" t="s">
        <v>1439</v>
      </c>
      <c r="B47" s="106" t="s">
        <v>1141</v>
      </c>
      <c r="C47" s="112">
        <f>SUM(C48:C59)</f>
        <v>47268313</v>
      </c>
      <c r="D47" s="129">
        <f>C47-'ведом. 2021-2023'!G240</f>
        <v>47268313</v>
      </c>
      <c r="E47" s="175">
        <f>C47-[1]свод!$E$206</f>
        <v>0</v>
      </c>
    </row>
    <row r="48" spans="1:5" x14ac:dyDescent="0.2">
      <c r="A48" s="138" t="s">
        <v>1142</v>
      </c>
      <c r="B48" s="107" t="s">
        <v>378</v>
      </c>
      <c r="C48" s="113">
        <f>449106+1060+723785</f>
        <v>1173951</v>
      </c>
      <c r="D48" s="130" t="e">
        <f>C48-'ведом. 2021-2023'!#REF!</f>
        <v>#REF!</v>
      </c>
    </row>
    <row r="49" spans="1:5" x14ac:dyDescent="0.2">
      <c r="A49" s="139" t="s">
        <v>1143</v>
      </c>
      <c r="B49" s="102" t="s">
        <v>1144</v>
      </c>
      <c r="C49" s="113">
        <f>139180+153</f>
        <v>139333</v>
      </c>
      <c r="D49" s="130" t="e">
        <f>C49-'ведом. 2021-2023'!#REF!</f>
        <v>#REF!</v>
      </c>
    </row>
    <row r="50" spans="1:5" ht="25.5" x14ac:dyDescent="0.2">
      <c r="A50" s="139" t="s">
        <v>1145</v>
      </c>
      <c r="B50" s="103" t="s">
        <v>425</v>
      </c>
      <c r="C50" s="113"/>
    </row>
    <row r="51" spans="1:5" ht="16.5" customHeight="1" x14ac:dyDescent="0.2">
      <c r="A51" s="139" t="s">
        <v>426</v>
      </c>
      <c r="B51" s="103" t="s">
        <v>981</v>
      </c>
      <c r="C51" s="113"/>
    </row>
    <row r="52" spans="1:5" x14ac:dyDescent="0.2">
      <c r="A52" s="139" t="s">
        <v>982</v>
      </c>
      <c r="B52" s="103" t="s">
        <v>289</v>
      </c>
      <c r="C52" s="113">
        <f>121513+1781175+10276+669+22224</f>
        <v>1935857</v>
      </c>
      <c r="D52" s="130" t="e">
        <f>C52-'ведом. 2021-2023'!#REF!</f>
        <v>#REF!</v>
      </c>
    </row>
    <row r="53" spans="1:5" x14ac:dyDescent="0.2">
      <c r="A53" s="139" t="s">
        <v>983</v>
      </c>
      <c r="B53" s="103" t="s">
        <v>1379</v>
      </c>
      <c r="C53" s="113">
        <v>36721</v>
      </c>
      <c r="D53" s="130" t="e">
        <f>C53-'ведом. 2021-2023'!#REF!</f>
        <v>#REF!</v>
      </c>
    </row>
    <row r="54" spans="1:5" x14ac:dyDescent="0.2">
      <c r="A54" s="139" t="s">
        <v>984</v>
      </c>
      <c r="B54" s="103" t="s">
        <v>1047</v>
      </c>
      <c r="C54" s="113"/>
    </row>
    <row r="55" spans="1:5" x14ac:dyDescent="0.2">
      <c r="A55" s="139" t="s">
        <v>985</v>
      </c>
      <c r="B55" s="103" t="s">
        <v>1596</v>
      </c>
      <c r="C55" s="113">
        <f>1712331+442920</f>
        <v>2155251</v>
      </c>
      <c r="D55" s="130">
        <f>C55-'ведом. 2021-2023'!G241</f>
        <v>2155251</v>
      </c>
    </row>
    <row r="56" spans="1:5" x14ac:dyDescent="0.2">
      <c r="A56" s="139" t="s">
        <v>446</v>
      </c>
      <c r="B56" s="103" t="s">
        <v>311</v>
      </c>
      <c r="C56" s="113">
        <v>35016518</v>
      </c>
      <c r="D56" s="130" t="e">
        <f>C56-'ведом. 2021-2023'!#REF!</f>
        <v>#REF!</v>
      </c>
    </row>
    <row r="57" spans="1:5" x14ac:dyDescent="0.2">
      <c r="A57" s="139" t="s">
        <v>447</v>
      </c>
      <c r="B57" s="103" t="s">
        <v>626</v>
      </c>
      <c r="C57" s="113">
        <f>391523+82000</f>
        <v>473523</v>
      </c>
      <c r="D57" s="130" t="e">
        <f>C57-'ведом. 2021-2023'!#REF!</f>
        <v>#REF!</v>
      </c>
    </row>
    <row r="58" spans="1:5" ht="25.5" x14ac:dyDescent="0.2">
      <c r="A58" s="139" t="s">
        <v>448</v>
      </c>
      <c r="B58" s="103" t="s">
        <v>1306</v>
      </c>
      <c r="C58" s="113">
        <f>101000+19000</f>
        <v>120000</v>
      </c>
      <c r="D58" s="130" t="e">
        <f>C58-'ведом. 2021-2023'!#REF!</f>
        <v>#REF!</v>
      </c>
    </row>
    <row r="59" spans="1:5" ht="25.5" x14ac:dyDescent="0.2">
      <c r="A59" s="141" t="s">
        <v>449</v>
      </c>
      <c r="B59" s="105" t="s">
        <v>1253</v>
      </c>
      <c r="C59" s="113">
        <f>10506+256+53397+1278437+377300+3110389+6896+537478+800000+42500</f>
        <v>6217159</v>
      </c>
      <c r="D59" s="130" t="e">
        <f>C59-'ведом. 2021-2023'!#REF!</f>
        <v>#REF!</v>
      </c>
    </row>
    <row r="60" spans="1:5" x14ac:dyDescent="0.2">
      <c r="A60" s="136"/>
      <c r="B60" s="96"/>
      <c r="C60" s="113"/>
    </row>
    <row r="61" spans="1:5" s="89" customFormat="1" ht="25.5" x14ac:dyDescent="0.25">
      <c r="A61" s="137" t="s">
        <v>335</v>
      </c>
      <c r="B61" s="106" t="s">
        <v>336</v>
      </c>
      <c r="C61" s="112">
        <f>SUM(C62:C66)</f>
        <v>2711709</v>
      </c>
      <c r="D61" s="129" t="e">
        <f>C61-'ведом. 2021-2023'!#REF!</f>
        <v>#REF!</v>
      </c>
      <c r="E61" s="176">
        <f>C61-[1]свод!$E$207</f>
        <v>0</v>
      </c>
    </row>
    <row r="62" spans="1:5" x14ac:dyDescent="0.2">
      <c r="A62" s="138" t="s">
        <v>337</v>
      </c>
      <c r="B62" s="96" t="s">
        <v>196</v>
      </c>
      <c r="C62" s="113">
        <f>659378+190153</f>
        <v>849531</v>
      </c>
      <c r="D62" s="130" t="e">
        <f>C62-'ведом. 2021-2023'!#REF!</f>
        <v>#REF!</v>
      </c>
    </row>
    <row r="63" spans="1:5" x14ac:dyDescent="0.2">
      <c r="A63" s="139" t="s">
        <v>338</v>
      </c>
      <c r="B63" s="103" t="s">
        <v>297</v>
      </c>
      <c r="C63" s="113">
        <f>371840+283200+143500</f>
        <v>798540</v>
      </c>
      <c r="D63" s="130" t="e">
        <f>C63-'ведом. 2021-2023'!#REF!</f>
        <v>#REF!</v>
      </c>
    </row>
    <row r="64" spans="1:5" x14ac:dyDescent="0.2">
      <c r="A64" s="139" t="s">
        <v>339</v>
      </c>
      <c r="B64" s="102" t="s">
        <v>340</v>
      </c>
      <c r="C64" s="113"/>
    </row>
    <row r="65" spans="1:5" ht="38.25" x14ac:dyDescent="0.2">
      <c r="A65" s="139" t="s">
        <v>341</v>
      </c>
      <c r="B65" s="103" t="s">
        <v>14</v>
      </c>
      <c r="C65" s="113"/>
    </row>
    <row r="66" spans="1:5" ht="25.5" x14ac:dyDescent="0.2">
      <c r="A66" s="141" t="s">
        <v>15</v>
      </c>
      <c r="B66" s="105" t="s">
        <v>551</v>
      </c>
      <c r="C66" s="113">
        <f>500+3969+147910+888459+22800</f>
        <v>1063638</v>
      </c>
      <c r="D66" s="130" t="e">
        <f>C66-'ведом. 2021-2023'!#REF!</f>
        <v>#REF!</v>
      </c>
    </row>
    <row r="67" spans="1:5" x14ac:dyDescent="0.2">
      <c r="A67" s="136"/>
      <c r="B67" s="96"/>
      <c r="C67" s="113"/>
    </row>
    <row r="68" spans="1:5" s="89" customFormat="1" ht="15.75" x14ac:dyDescent="0.25">
      <c r="A68" s="137" t="s">
        <v>16</v>
      </c>
      <c r="B68" s="106" t="s">
        <v>1157</v>
      </c>
      <c r="C68" s="112">
        <f>SUM(C69:C73)</f>
        <v>487816</v>
      </c>
      <c r="D68" s="129" t="e">
        <f>C68-'ведом. 2021-2023'!#REF!</f>
        <v>#REF!</v>
      </c>
      <c r="E68" s="175">
        <f>C68-[1]свод!$E$208</f>
        <v>0</v>
      </c>
    </row>
    <row r="69" spans="1:5" x14ac:dyDescent="0.2">
      <c r="A69" s="138" t="s">
        <v>1158</v>
      </c>
      <c r="B69" s="108" t="s">
        <v>1361</v>
      </c>
      <c r="C69" s="113"/>
    </row>
    <row r="70" spans="1:5" ht="25.5" x14ac:dyDescent="0.2">
      <c r="A70" s="139" t="s">
        <v>1362</v>
      </c>
      <c r="B70" s="103" t="s">
        <v>1701</v>
      </c>
      <c r="C70" s="113"/>
    </row>
    <row r="71" spans="1:5" ht="25.5" x14ac:dyDescent="0.2">
      <c r="A71" s="139" t="s">
        <v>350</v>
      </c>
      <c r="B71" s="103" t="s">
        <v>372</v>
      </c>
      <c r="C71" s="113">
        <f>5794-669</f>
        <v>5125</v>
      </c>
      <c r="D71" s="130" t="e">
        <f>C71-'ведом. 2021-2023'!#REF!</f>
        <v>#REF!</v>
      </c>
    </row>
    <row r="72" spans="1:5" ht="25.5" x14ac:dyDescent="0.2">
      <c r="A72" s="139" t="s">
        <v>373</v>
      </c>
      <c r="B72" s="103" t="s">
        <v>1467</v>
      </c>
      <c r="C72" s="113"/>
    </row>
    <row r="73" spans="1:5" ht="25.5" x14ac:dyDescent="0.2">
      <c r="A73" s="141" t="s">
        <v>236</v>
      </c>
      <c r="B73" s="105" t="s">
        <v>462</v>
      </c>
      <c r="C73" s="113">
        <f>850+190719+291122</f>
        <v>482691</v>
      </c>
      <c r="D73" s="130" t="e">
        <f>C73-'ведом. 2021-2023'!#REF!</f>
        <v>#REF!</v>
      </c>
    </row>
    <row r="74" spans="1:5" x14ac:dyDescent="0.2">
      <c r="A74" s="136"/>
      <c r="B74" s="96"/>
      <c r="C74" s="113"/>
    </row>
    <row r="75" spans="1:5" s="89" customFormat="1" ht="15.75" x14ac:dyDescent="0.25">
      <c r="A75" s="137" t="s">
        <v>1246</v>
      </c>
      <c r="B75" s="106" t="s">
        <v>1247</v>
      </c>
      <c r="C75" s="112">
        <f>SUM(C76:C84)</f>
        <v>15977562</v>
      </c>
      <c r="D75" s="129">
        <f>C75-'ведом. 2021-2023'!G383</f>
        <v>15977562</v>
      </c>
      <c r="E75" s="175">
        <f>C75-[1]свод!$E$209</f>
        <v>0</v>
      </c>
    </row>
    <row r="76" spans="1:5" x14ac:dyDescent="0.2">
      <c r="A76" s="138" t="s">
        <v>1185</v>
      </c>
      <c r="B76" s="96" t="s">
        <v>389</v>
      </c>
      <c r="C76" s="113">
        <v>45109</v>
      </c>
      <c r="D76" s="130" t="e">
        <f>C76-'ведом. 2021-2023'!#REF!</f>
        <v>#REF!</v>
      </c>
    </row>
    <row r="77" spans="1:5" x14ac:dyDescent="0.2">
      <c r="A77" s="139" t="s">
        <v>1146</v>
      </c>
      <c r="B77" s="103" t="s">
        <v>734</v>
      </c>
      <c r="C77" s="113">
        <f>16320+1579553+35000-120708</f>
        <v>1510165</v>
      </c>
      <c r="D77" s="130" t="e">
        <f>C77-'ведом. 2021-2023'!#REF!</f>
        <v>#REF!</v>
      </c>
    </row>
    <row r="78" spans="1:5" x14ac:dyDescent="0.2">
      <c r="A78" s="139" t="s">
        <v>1147</v>
      </c>
      <c r="B78" s="103" t="s">
        <v>1553</v>
      </c>
      <c r="C78" s="113">
        <v>4671918</v>
      </c>
      <c r="D78" s="130" t="e">
        <f>C78-'ведом. 2021-2023'!#REF!</f>
        <v>#REF!</v>
      </c>
    </row>
    <row r="79" spans="1:5" x14ac:dyDescent="0.2">
      <c r="A79" s="139" t="s">
        <v>1148</v>
      </c>
      <c r="B79" s="103" t="s">
        <v>973</v>
      </c>
      <c r="C79" s="113">
        <f>30220+3196696+9500-18000</f>
        <v>3218416</v>
      </c>
      <c r="D79" s="130" t="e">
        <f>C79-'ведом. 2021-2023'!#REF!</f>
        <v>#REF!</v>
      </c>
    </row>
    <row r="80" spans="1:5" ht="25.5" x14ac:dyDescent="0.2">
      <c r="A80" s="139" t="s">
        <v>243</v>
      </c>
      <c r="B80" s="103" t="s">
        <v>244</v>
      </c>
      <c r="C80" s="113">
        <v>419843</v>
      </c>
      <c r="D80" s="130" t="e">
        <f>C80-'ведом. 2021-2023'!#REF!</f>
        <v>#REF!</v>
      </c>
    </row>
    <row r="81" spans="1:5" ht="25.5" x14ac:dyDescent="0.2">
      <c r="A81" s="142" t="s">
        <v>238</v>
      </c>
      <c r="B81" s="109" t="s">
        <v>458</v>
      </c>
      <c r="C81" s="113">
        <f>507500+3215131</f>
        <v>3722631</v>
      </c>
      <c r="D81" s="130" t="e">
        <f>C81-'ведом. 2021-2023'!#REF!</f>
        <v>#REF!</v>
      </c>
    </row>
    <row r="82" spans="1:5" x14ac:dyDescent="0.2">
      <c r="A82" s="139" t="s">
        <v>459</v>
      </c>
      <c r="B82" s="103" t="s">
        <v>699</v>
      </c>
      <c r="C82" s="113">
        <f>73808+458+39313+268054</f>
        <v>381633</v>
      </c>
      <c r="D82" s="130">
        <f>C82-'ведом. 2021-2023'!G408</f>
        <v>381633</v>
      </c>
    </row>
    <row r="83" spans="1:5" ht="25.5" x14ac:dyDescent="0.2">
      <c r="A83" s="139" t="s">
        <v>460</v>
      </c>
      <c r="B83" s="103" t="s">
        <v>203</v>
      </c>
      <c r="C83" s="113">
        <v>5625</v>
      </c>
      <c r="D83" s="130" t="e">
        <f>C83-'ведом. 2021-2023'!#REF!</f>
        <v>#REF!</v>
      </c>
    </row>
    <row r="84" spans="1:5" x14ac:dyDescent="0.2">
      <c r="A84" s="141" t="s">
        <v>461</v>
      </c>
      <c r="B84" s="105" t="s">
        <v>1317</v>
      </c>
      <c r="C84" s="113">
        <f>520+80550+787674+1057879+75599</f>
        <v>2002222</v>
      </c>
      <c r="D84" s="130" t="e">
        <f>C84-'ведом. 2021-2023'!#REF!</f>
        <v>#REF!</v>
      </c>
    </row>
    <row r="85" spans="1:5" x14ac:dyDescent="0.2">
      <c r="A85" s="136"/>
      <c r="B85" s="96"/>
      <c r="C85" s="113"/>
    </row>
    <row r="86" spans="1:5" s="89" customFormat="1" ht="25.5" x14ac:dyDescent="0.25">
      <c r="A86" s="137" t="s">
        <v>960</v>
      </c>
      <c r="B86" s="106" t="s">
        <v>1059</v>
      </c>
      <c r="C86" s="112">
        <f>SUM(C87:C92)</f>
        <v>4620983</v>
      </c>
      <c r="D86" s="129">
        <f>C86-'ведом. 2021-2023'!G442</f>
        <v>4620983</v>
      </c>
      <c r="E86" s="175">
        <f>C86-[1]свод!$E$210</f>
        <v>0</v>
      </c>
    </row>
    <row r="87" spans="1:5" x14ac:dyDescent="0.2">
      <c r="A87" s="138" t="s">
        <v>1060</v>
      </c>
      <c r="B87" s="96" t="s">
        <v>1061</v>
      </c>
      <c r="C87" s="113">
        <f>2049557+253950+3000</f>
        <v>2306507</v>
      </c>
      <c r="D87" s="130">
        <f>C87-'ведом. 2021-2023'!G443</f>
        <v>2306507</v>
      </c>
    </row>
    <row r="88" spans="1:5" x14ac:dyDescent="0.2">
      <c r="A88" s="139" t="s">
        <v>1062</v>
      </c>
      <c r="B88" s="103" t="s">
        <v>1063</v>
      </c>
      <c r="C88" s="113"/>
    </row>
    <row r="89" spans="1:5" x14ac:dyDescent="0.2">
      <c r="A89" s="139" t="s">
        <v>1064</v>
      </c>
      <c r="B89" s="103" t="s">
        <v>815</v>
      </c>
      <c r="C89" s="113">
        <v>915009</v>
      </c>
      <c r="D89" s="130" t="e">
        <f>C89-'ведом. 2021-2023'!#REF!</f>
        <v>#REF!</v>
      </c>
    </row>
    <row r="90" spans="1:5" x14ac:dyDescent="0.2">
      <c r="A90" s="139" t="s">
        <v>1065</v>
      </c>
      <c r="B90" s="103" t="s">
        <v>816</v>
      </c>
      <c r="C90" s="113">
        <v>482232</v>
      </c>
      <c r="D90" s="130" t="e">
        <f>C90-'ведом. 2021-2023'!#REF!</f>
        <v>#REF!</v>
      </c>
    </row>
    <row r="91" spans="1:5" ht="38.25" x14ac:dyDescent="0.2">
      <c r="A91" s="141" t="s">
        <v>1066</v>
      </c>
      <c r="B91" s="105" t="s">
        <v>423</v>
      </c>
      <c r="C91" s="113"/>
    </row>
    <row r="92" spans="1:5" ht="38.25" x14ac:dyDescent="0.2">
      <c r="A92" s="138" t="s">
        <v>1067</v>
      </c>
      <c r="B92" s="96" t="s">
        <v>13</v>
      </c>
      <c r="C92" s="113">
        <f>1210+12189+1700+611492+290644</f>
        <v>917235</v>
      </c>
      <c r="D92" s="130" t="e">
        <f>C92-'ведом. 2021-2023'!#REF!</f>
        <v>#REF!</v>
      </c>
    </row>
    <row r="93" spans="1:5" x14ac:dyDescent="0.2">
      <c r="A93" s="143"/>
      <c r="B93" s="98"/>
      <c r="C93" s="113"/>
    </row>
    <row r="94" spans="1:5" s="89" customFormat="1" ht="25.5" x14ac:dyDescent="0.25">
      <c r="A94" s="137" t="s">
        <v>1068</v>
      </c>
      <c r="B94" s="106" t="s">
        <v>1069</v>
      </c>
      <c r="C94" s="112">
        <f>SUM(C95:C104)</f>
        <v>37148428</v>
      </c>
      <c r="D94" s="129" t="e">
        <f>C94-'ведом. 2021-2023'!#REF!</f>
        <v>#REF!</v>
      </c>
      <c r="E94" s="175">
        <f>C94-[1]свод!$E$211</f>
        <v>0</v>
      </c>
    </row>
    <row r="95" spans="1:5" x14ac:dyDescent="0.2">
      <c r="A95" s="139" t="s">
        <v>527</v>
      </c>
      <c r="B95" s="103" t="s">
        <v>528</v>
      </c>
      <c r="C95" s="113">
        <f>820590+7752658+2890840+2783923</f>
        <v>14248011</v>
      </c>
      <c r="D95" s="130" t="e">
        <f>C95-'ведом. 2021-2023'!#REF!</f>
        <v>#REF!</v>
      </c>
    </row>
    <row r="96" spans="1:5" x14ac:dyDescent="0.2">
      <c r="A96" s="139" t="s">
        <v>529</v>
      </c>
      <c r="B96" s="103" t="s">
        <v>530</v>
      </c>
      <c r="C96" s="113">
        <v>662232</v>
      </c>
      <c r="D96" s="130" t="e">
        <f>C96-'ведом. 2021-2023'!#REF!</f>
        <v>#REF!</v>
      </c>
    </row>
    <row r="97" spans="1:5" ht="25.5" x14ac:dyDescent="0.2">
      <c r="A97" s="139" t="s">
        <v>531</v>
      </c>
      <c r="B97" s="103" t="s">
        <v>393</v>
      </c>
      <c r="C97" s="113"/>
    </row>
    <row r="98" spans="1:5" x14ac:dyDescent="0.2">
      <c r="A98" s="139" t="s">
        <v>115</v>
      </c>
      <c r="B98" s="103" t="s">
        <v>1486</v>
      </c>
      <c r="C98" s="113"/>
    </row>
    <row r="99" spans="1:5" x14ac:dyDescent="0.2">
      <c r="A99" s="139" t="s">
        <v>1487</v>
      </c>
      <c r="B99" s="110" t="s">
        <v>1127</v>
      </c>
      <c r="C99" s="113">
        <v>724098</v>
      </c>
      <c r="D99" s="130" t="e">
        <f>C99-'ведом. 2021-2023'!#REF!</f>
        <v>#REF!</v>
      </c>
    </row>
    <row r="100" spans="1:5" ht="38.25" x14ac:dyDescent="0.2">
      <c r="A100" s="139" t="s">
        <v>237</v>
      </c>
      <c r="B100" s="110" t="s">
        <v>500</v>
      </c>
      <c r="C100" s="113">
        <v>377981</v>
      </c>
      <c r="D100" s="74" t="e">
        <f>C100-'ведом. 2021-2023'!#REF!</f>
        <v>#REF!</v>
      </c>
    </row>
    <row r="101" spans="1:5" ht="25.5" x14ac:dyDescent="0.2">
      <c r="A101" s="139" t="s">
        <v>501</v>
      </c>
      <c r="B101" s="103" t="s">
        <v>502</v>
      </c>
      <c r="C101" s="113"/>
    </row>
    <row r="102" spans="1:5" x14ac:dyDescent="0.2">
      <c r="A102" s="139" t="s">
        <v>503</v>
      </c>
      <c r="B102" s="102" t="s">
        <v>504</v>
      </c>
      <c r="C102" s="113">
        <f>7800+1408321+370000+6700</f>
        <v>1792821</v>
      </c>
      <c r="D102" s="130" t="e">
        <f>C102-'ведом. 2021-2023'!#REF!</f>
        <v>#REF!</v>
      </c>
    </row>
    <row r="103" spans="1:5" ht="38.25" x14ac:dyDescent="0.2">
      <c r="A103" s="139" t="s">
        <v>1344</v>
      </c>
      <c r="B103" s="103" t="s">
        <v>1345</v>
      </c>
      <c r="C103" s="113">
        <v>269728</v>
      </c>
      <c r="D103" s="130" t="e">
        <f>C103-'ведом. 2021-2023'!#REF!</f>
        <v>#REF!</v>
      </c>
    </row>
    <row r="104" spans="1:5" ht="25.5" x14ac:dyDescent="0.2">
      <c r="A104" s="141" t="s">
        <v>1346</v>
      </c>
      <c r="B104" s="105" t="s">
        <v>877</v>
      </c>
      <c r="C104" s="113">
        <f>700+77619-4704+1061358+45000+20330903+21267+285337+40000-2783923</f>
        <v>19073557</v>
      </c>
      <c r="D104" s="130" t="e">
        <f>C104-'ведом. 2021-2023'!#REF!</f>
        <v>#REF!</v>
      </c>
    </row>
    <row r="105" spans="1:5" x14ac:dyDescent="0.2">
      <c r="A105" s="136"/>
      <c r="B105" s="96"/>
      <c r="C105" s="113"/>
    </row>
    <row r="106" spans="1:5" s="89" customFormat="1" ht="15.75" x14ac:dyDescent="0.25">
      <c r="A106" s="137" t="s">
        <v>878</v>
      </c>
      <c r="B106" s="99" t="s">
        <v>879</v>
      </c>
      <c r="C106" s="112">
        <f>SUM(C107:C112)</f>
        <v>43410314</v>
      </c>
      <c r="D106" s="129">
        <f>C106-'ведом. 2021-2023'!G506</f>
        <v>43410314</v>
      </c>
      <c r="E106" s="175">
        <f>C106-[1]свод!$E$212</f>
        <v>0</v>
      </c>
    </row>
    <row r="107" spans="1:5" x14ac:dyDescent="0.2">
      <c r="A107" s="138" t="s">
        <v>880</v>
      </c>
      <c r="B107" s="97" t="s">
        <v>1312</v>
      </c>
      <c r="C107" s="113">
        <v>142633</v>
      </c>
      <c r="D107" s="130">
        <f>C107-'ведом. 2021-2023'!G507</f>
        <v>142633</v>
      </c>
    </row>
    <row r="108" spans="1:5" x14ac:dyDescent="0.2">
      <c r="A108" s="139" t="s">
        <v>881</v>
      </c>
      <c r="B108" s="103" t="s">
        <v>1129</v>
      </c>
      <c r="C108" s="113">
        <f>6842258-285000+384800</f>
        <v>6942058</v>
      </c>
      <c r="D108" s="130" t="e">
        <f>C108-'ведом. 2021-2023'!#REF!</f>
        <v>#REF!</v>
      </c>
    </row>
    <row r="109" spans="1:5" x14ac:dyDescent="0.2">
      <c r="A109" s="139" t="s">
        <v>882</v>
      </c>
      <c r="B109" s="103" t="s">
        <v>1322</v>
      </c>
      <c r="C109" s="113">
        <f>12882130+394827+10076960+5733862+51761+768117+120000-5045+375914+84409+52500+415975</f>
        <v>30951410</v>
      </c>
      <c r="D109" s="130">
        <f>C109-'ведом. 2021-2023'!G513</f>
        <v>30951410</v>
      </c>
    </row>
    <row r="110" spans="1:5" x14ac:dyDescent="0.2">
      <c r="A110" s="139" t="s">
        <v>691</v>
      </c>
      <c r="B110" s="102" t="s">
        <v>605</v>
      </c>
      <c r="C110" s="113">
        <f>580+2000+2871367</f>
        <v>2873947</v>
      </c>
      <c r="D110" s="130" t="e">
        <f>C110-'ведом. 2021-2023'!#REF!</f>
        <v>#REF!</v>
      </c>
    </row>
    <row r="111" spans="1:5" ht="25.5" x14ac:dyDescent="0.2">
      <c r="A111" s="139" t="s">
        <v>692</v>
      </c>
      <c r="B111" s="103" t="s">
        <v>1666</v>
      </c>
      <c r="C111" s="113"/>
    </row>
    <row r="112" spans="1:5" ht="25.5" x14ac:dyDescent="0.2">
      <c r="A112" s="141" t="s">
        <v>1667</v>
      </c>
      <c r="B112" s="105" t="s">
        <v>1595</v>
      </c>
      <c r="C112" s="113">
        <f>78766+7647+85664+1988045+285000+55144</f>
        <v>2500266</v>
      </c>
      <c r="D112" s="130" t="e">
        <f>C112-'ведом. 2021-2023'!#REF!</f>
        <v>#REF!</v>
      </c>
    </row>
    <row r="113" spans="1:5" x14ac:dyDescent="0.2">
      <c r="A113" s="136"/>
      <c r="B113" s="96"/>
      <c r="C113" s="113"/>
    </row>
    <row r="114" spans="1:5" s="89" customFormat="1" ht="15.75" x14ac:dyDescent="0.25">
      <c r="A114" s="137" t="s">
        <v>1668</v>
      </c>
      <c r="B114" s="99" t="s">
        <v>1699</v>
      </c>
      <c r="C114" s="112">
        <f>SUM(C115:C119)</f>
        <v>58232166</v>
      </c>
      <c r="D114" s="129" t="e">
        <f>C114-'ведом. 2021-2023'!#REF!</f>
        <v>#REF!</v>
      </c>
      <c r="E114" s="176">
        <f>C114-[1]свод!$E$213</f>
        <v>0</v>
      </c>
    </row>
    <row r="115" spans="1:5" ht="25.5" x14ac:dyDescent="0.2">
      <c r="A115" s="138" t="s">
        <v>1700</v>
      </c>
      <c r="B115" s="97" t="s">
        <v>328</v>
      </c>
      <c r="C115" s="113">
        <f>5289811-576383</f>
        <v>4713428</v>
      </c>
      <c r="D115" s="130" t="e">
        <f>C115-'ведом. 2021-2023'!#REF!</f>
        <v>#REF!</v>
      </c>
      <c r="E115" s="182">
        <f>C115-[1]свод!$E$215</f>
        <v>0</v>
      </c>
    </row>
    <row r="116" spans="1:5" ht="38.25" x14ac:dyDescent="0.2">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
      <c r="A118" s="139" t="s">
        <v>122</v>
      </c>
      <c r="B118" s="103" t="s">
        <v>464</v>
      </c>
      <c r="C118" s="113">
        <f>200000+23893+6013666-141000-21267-7647-3911250</f>
        <v>2156395</v>
      </c>
      <c r="D118" s="130" t="e">
        <f>C118-'ведом. 2021-2023'!#REF!</f>
        <v>#REF!</v>
      </c>
      <c r="E118" s="182">
        <f>C118-[1]свод!$E$292</f>
        <v>0</v>
      </c>
    </row>
    <row r="119" spans="1:5" ht="25.5" x14ac:dyDescent="0.2">
      <c r="A119" s="139" t="s">
        <v>123</v>
      </c>
      <c r="B119" s="103" t="s">
        <v>124</v>
      </c>
      <c r="C119" s="113"/>
    </row>
    <row r="120" spans="1:5" s="90" customFormat="1" ht="15.75" x14ac:dyDescent="0.25">
      <c r="A120" s="145" t="s">
        <v>1313</v>
      </c>
      <c r="B120" s="115"/>
      <c r="C120" s="114">
        <f>C4+C20+C31+C47+C61+C68+C75+C86+C94+C106+C114</f>
        <v>250120048</v>
      </c>
      <c r="D120" s="129" t="e">
        <f>C120-'ведом. 2021-2023'!#REF!</f>
        <v>#REF!</v>
      </c>
      <c r="E120" s="175">
        <f>C120-[1]свод!$E$300</f>
        <v>0</v>
      </c>
    </row>
    <row r="122" spans="1:5" x14ac:dyDescent="0.2">
      <c r="B122" s="100" t="s">
        <v>608</v>
      </c>
      <c r="C122" s="92">
        <f>C120-'Ведомственная 2008'!H2619</f>
        <v>0</v>
      </c>
    </row>
    <row r="123" spans="1:5" x14ac:dyDescent="0.2">
      <c r="B123" s="100" t="s">
        <v>609</v>
      </c>
      <c r="C123" s="92" t="e">
        <f>C120-'ведом. 2021-2023'!#REF!</f>
        <v>#REF!</v>
      </c>
    </row>
    <row r="125" spans="1:5" x14ac:dyDescent="0.2">
      <c r="B125" s="223" t="s">
        <v>227</v>
      </c>
      <c r="C125" s="176">
        <v>6013666</v>
      </c>
      <c r="D125" s="73">
        <v>3911250</v>
      </c>
    </row>
    <row r="126" spans="1:5" x14ac:dyDescent="0.2">
      <c r="B126" s="224"/>
      <c r="C126" s="222">
        <v>-141000</v>
      </c>
    </row>
    <row r="127" spans="1:5" x14ac:dyDescent="0.2">
      <c r="B127" s="224"/>
      <c r="C127" s="222">
        <v>-21267</v>
      </c>
    </row>
    <row r="128" spans="1:5" x14ac:dyDescent="0.2">
      <c r="B128" s="224"/>
      <c r="C128" s="222">
        <v>-7647</v>
      </c>
    </row>
    <row r="129" spans="2:3" x14ac:dyDescent="0.2">
      <c r="B129" s="226" t="s">
        <v>226</v>
      </c>
      <c r="C129" s="92">
        <f>C125+C126+C127+C128</f>
        <v>5843752</v>
      </c>
    </row>
    <row r="130" spans="2:3" ht="25.5" x14ac:dyDescent="0.2">
      <c r="B130" s="225" t="s">
        <v>824</v>
      </c>
      <c r="C130" s="222">
        <v>-26106</v>
      </c>
    </row>
    <row r="131" spans="2:3" ht="38.25" x14ac:dyDescent="0.2">
      <c r="B131" s="225" t="s">
        <v>1048</v>
      </c>
      <c r="C131" s="222">
        <v>-100000</v>
      </c>
    </row>
    <row r="132" spans="2:3" ht="76.5" x14ac:dyDescent="0.2">
      <c r="B132" s="225" t="s">
        <v>170</v>
      </c>
      <c r="C132" s="228">
        <v>-9500</v>
      </c>
    </row>
    <row r="133" spans="2:3" ht="51" x14ac:dyDescent="0.2">
      <c r="B133" s="225" t="s">
        <v>1476</v>
      </c>
      <c r="C133" s="228">
        <v>-22800</v>
      </c>
    </row>
    <row r="134" spans="2:3" ht="63.75" x14ac:dyDescent="0.2">
      <c r="B134" s="225" t="s">
        <v>742</v>
      </c>
      <c r="C134" s="228">
        <v>-15000</v>
      </c>
    </row>
    <row r="135" spans="2:3" ht="51" x14ac:dyDescent="0.2">
      <c r="B135" s="225" t="s">
        <v>900</v>
      </c>
      <c r="C135" s="228">
        <v>-2000</v>
      </c>
    </row>
    <row r="136" spans="2:3" ht="63.75" x14ac:dyDescent="0.2">
      <c r="B136" s="225" t="s">
        <v>1340</v>
      </c>
      <c r="C136" s="228">
        <v>-6700</v>
      </c>
    </row>
    <row r="137" spans="2:3" x14ac:dyDescent="0.2">
      <c r="B137" s="225" t="s">
        <v>1529</v>
      </c>
      <c r="C137" s="228">
        <v>-42500</v>
      </c>
    </row>
    <row r="138" spans="2:3" x14ac:dyDescent="0.2">
      <c r="B138" s="225" t="s">
        <v>1530</v>
      </c>
      <c r="C138" s="228">
        <v>-8621</v>
      </c>
    </row>
    <row r="139" spans="2:3" x14ac:dyDescent="0.2">
      <c r="B139" s="225" t="s">
        <v>911</v>
      </c>
      <c r="C139" s="228">
        <v>-17956</v>
      </c>
    </row>
    <row r="140" spans="2:3" x14ac:dyDescent="0.2">
      <c r="B140" s="225"/>
      <c r="C140" s="228"/>
    </row>
    <row r="141" spans="2:3" x14ac:dyDescent="0.2">
      <c r="B141" s="225"/>
      <c r="C141" s="228"/>
    </row>
    <row r="142" spans="2:3" x14ac:dyDescent="0.2">
      <c r="B142" s="73" t="s">
        <v>595</v>
      </c>
      <c r="C142" s="229">
        <f>SUM(C130:C141)</f>
        <v>-251183</v>
      </c>
    </row>
    <row r="143" spans="2:3" x14ac:dyDescent="0.2">
      <c r="B143" s="227" t="s">
        <v>225</v>
      </c>
      <c r="C143" s="176">
        <f>C129+C142</f>
        <v>5592569</v>
      </c>
    </row>
    <row r="144" spans="2:3" x14ac:dyDescent="0.2">
      <c r="B144" s="223"/>
    </row>
    <row r="145" spans="2:2" x14ac:dyDescent="0.2">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9"/>
  <sheetViews>
    <sheetView tabSelected="1" view="pageBreakPreview" topLeftCell="B490" zoomScaleNormal="100" zoomScaleSheetLayoutView="100" zoomScalePageLayoutView="80" workbookViewId="0">
      <selection activeCell="F500" sqref="F500"/>
    </sheetView>
  </sheetViews>
  <sheetFormatPr defaultColWidth="8.85546875" defaultRowHeight="16.5" x14ac:dyDescent="0.25"/>
  <cols>
    <col min="1" max="1" width="95.28515625" style="250" customWidth="1"/>
    <col min="2" max="3" width="5.42578125" style="252" customWidth="1"/>
    <col min="4" max="4" width="16" style="269" customWidth="1"/>
    <col min="5" max="5" width="6.42578125" style="252" customWidth="1"/>
    <col min="6" max="6" width="15.140625" style="282" customWidth="1"/>
    <col min="7" max="7" width="15.7109375" style="251" customWidth="1"/>
    <col min="8" max="8" width="15.140625" style="282" customWidth="1"/>
    <col min="9" max="9" width="15.7109375" style="251" customWidth="1"/>
    <col min="10" max="10" width="17.85546875" style="431" customWidth="1"/>
    <col min="11" max="11" width="15.140625" style="431" customWidth="1"/>
    <col min="12" max="13" width="8.85546875" style="431"/>
    <col min="14" max="14" width="13.28515625" style="431" customWidth="1"/>
    <col min="15" max="16384" width="8.85546875" style="431"/>
  </cols>
  <sheetData>
    <row r="1" spans="1:15" x14ac:dyDescent="0.25">
      <c r="G1" s="840"/>
      <c r="H1" s="841"/>
      <c r="I1" s="841"/>
      <c r="J1" s="727"/>
      <c r="K1" s="727" t="s">
        <v>2383</v>
      </c>
    </row>
    <row r="2" spans="1:15" x14ac:dyDescent="0.25">
      <c r="G2" s="726"/>
      <c r="H2" s="727"/>
      <c r="I2" s="727"/>
      <c r="J2" s="842" t="s">
        <v>2384</v>
      </c>
      <c r="K2" s="843"/>
    </row>
    <row r="3" spans="1:15" x14ac:dyDescent="0.25">
      <c r="G3" s="654"/>
      <c r="H3" s="726"/>
      <c r="I3" s="842" t="s">
        <v>2315</v>
      </c>
      <c r="J3" s="844"/>
      <c r="K3" s="844"/>
    </row>
    <row r="4" spans="1:15" x14ac:dyDescent="0.25">
      <c r="G4" s="842" t="s">
        <v>2316</v>
      </c>
      <c r="H4" s="844"/>
      <c r="I4" s="844"/>
      <c r="J4" s="844"/>
      <c r="K4" s="844"/>
    </row>
    <row r="5" spans="1:15" x14ac:dyDescent="0.25">
      <c r="G5" s="728"/>
      <c r="H5" s="729"/>
      <c r="I5" s="729"/>
      <c r="J5" s="729"/>
      <c r="K5" s="729"/>
    </row>
    <row r="6" spans="1:15" s="306" customFormat="1" ht="15.75" x14ac:dyDescent="0.25">
      <c r="A6" s="502"/>
      <c r="B6" s="538"/>
      <c r="C6" s="538"/>
      <c r="D6" s="849"/>
      <c r="E6" s="849"/>
      <c r="F6" s="850" t="s">
        <v>2387</v>
      </c>
      <c r="G6" s="851"/>
      <c r="H6" s="851"/>
      <c r="I6" s="851"/>
      <c r="J6" s="851"/>
      <c r="K6" s="848"/>
    </row>
    <row r="7" spans="1:15" s="306" customFormat="1" ht="15.75" x14ac:dyDescent="0.25">
      <c r="A7" s="502"/>
      <c r="B7" s="538"/>
      <c r="C7" s="538"/>
      <c r="D7" s="268"/>
      <c r="E7" s="502"/>
      <c r="F7" s="722"/>
      <c r="G7" s="716"/>
      <c r="H7" s="842" t="s">
        <v>2315</v>
      </c>
      <c r="I7" s="852"/>
      <c r="J7" s="852"/>
      <c r="K7" s="848"/>
    </row>
    <row r="8" spans="1:15" ht="15.75" x14ac:dyDescent="0.25">
      <c r="B8" s="245"/>
      <c r="C8" s="245"/>
      <c r="F8" s="853" t="s">
        <v>2388</v>
      </c>
      <c r="G8" s="854"/>
      <c r="H8" s="854"/>
      <c r="I8" s="854"/>
      <c r="J8" s="848"/>
      <c r="K8" s="848"/>
    </row>
    <row r="9" spans="1:15" ht="15.75" x14ac:dyDescent="0.25">
      <c r="B9" s="245"/>
      <c r="C9" s="245"/>
      <c r="F9" s="718"/>
      <c r="G9" s="721"/>
      <c r="H9" s="721"/>
      <c r="I9" s="721"/>
      <c r="J9" s="717"/>
      <c r="K9" s="717"/>
    </row>
    <row r="10" spans="1:15" ht="15.75" x14ac:dyDescent="0.25">
      <c r="B10" s="245"/>
      <c r="C10" s="245"/>
      <c r="F10" s="539"/>
      <c r="G10" s="433"/>
      <c r="H10" s="433"/>
      <c r="I10" s="433"/>
      <c r="J10" s="306"/>
    </row>
    <row r="11" spans="1:15" ht="116.45" customHeight="1" x14ac:dyDescent="0.2">
      <c r="A11" s="845" t="s">
        <v>2328</v>
      </c>
      <c r="B11" s="846"/>
      <c r="C11" s="846"/>
      <c r="D11" s="846"/>
      <c r="E11" s="846"/>
      <c r="F11" s="847"/>
      <c r="G11" s="847"/>
      <c r="H11" s="847"/>
      <c r="I11" s="847"/>
      <c r="J11" s="848"/>
      <c r="K11" s="848"/>
    </row>
    <row r="12" spans="1:15" ht="22.9" customHeight="1" thickBot="1" x14ac:dyDescent="0.3">
      <c r="K12" s="251" t="s">
        <v>1832</v>
      </c>
    </row>
    <row r="13" spans="1:15" ht="100.5" thickBot="1" x14ac:dyDescent="0.25">
      <c r="A13" s="508" t="s">
        <v>1600</v>
      </c>
      <c r="B13" s="535" t="s">
        <v>37</v>
      </c>
      <c r="C13" s="509" t="s">
        <v>391</v>
      </c>
      <c r="D13" s="509" t="s">
        <v>38</v>
      </c>
      <c r="E13" s="510" t="s">
        <v>1392</v>
      </c>
      <c r="F13" s="512" t="s">
        <v>2216</v>
      </c>
      <c r="G13" s="511" t="s">
        <v>2302</v>
      </c>
      <c r="H13" s="512" t="s">
        <v>2217</v>
      </c>
      <c r="I13" s="511" t="s">
        <v>2302</v>
      </c>
      <c r="J13" s="512" t="s">
        <v>2304</v>
      </c>
      <c r="K13" s="511" t="s">
        <v>2302</v>
      </c>
    </row>
    <row r="14" spans="1:15" thickBot="1" x14ac:dyDescent="0.3">
      <c r="A14" s="556">
        <v>1</v>
      </c>
      <c r="B14" s="656">
        <v>2</v>
      </c>
      <c r="C14" s="657">
        <v>3</v>
      </c>
      <c r="D14" s="657">
        <v>4</v>
      </c>
      <c r="E14" s="658">
        <v>5</v>
      </c>
      <c r="F14" s="495">
        <v>6</v>
      </c>
      <c r="G14" s="473">
        <v>7</v>
      </c>
      <c r="H14" s="495">
        <v>8</v>
      </c>
      <c r="I14" s="473">
        <v>9</v>
      </c>
      <c r="J14" s="495">
        <v>10</v>
      </c>
      <c r="K14" s="473">
        <v>11</v>
      </c>
    </row>
    <row r="15" spans="1:15" s="441" customFormat="1" x14ac:dyDescent="0.25">
      <c r="A15" s="655" t="s">
        <v>482</v>
      </c>
      <c r="B15" s="743" t="s">
        <v>566</v>
      </c>
      <c r="C15" s="744"/>
      <c r="D15" s="745"/>
      <c r="E15" s="746"/>
      <c r="F15" s="738">
        <f t="shared" ref="F15:K15" si="0">F16+F23+F56+F100+F144+F162+F170</f>
        <v>282356.5</v>
      </c>
      <c r="G15" s="474">
        <f t="shared" si="0"/>
        <v>5240</v>
      </c>
      <c r="H15" s="474">
        <f t="shared" si="0"/>
        <v>214550</v>
      </c>
      <c r="I15" s="474">
        <f t="shared" si="0"/>
        <v>4712</v>
      </c>
      <c r="J15" s="474">
        <f t="shared" si="0"/>
        <v>213096.7</v>
      </c>
      <c r="K15" s="474">
        <f t="shared" si="0"/>
        <v>4329</v>
      </c>
      <c r="L15" s="465"/>
      <c r="N15" s="465"/>
      <c r="O15" s="465"/>
    </row>
    <row r="16" spans="1:15" s="441" customFormat="1" ht="31.5" x14ac:dyDescent="0.25">
      <c r="A16" s="523" t="s">
        <v>249</v>
      </c>
      <c r="B16" s="613" t="s">
        <v>566</v>
      </c>
      <c r="C16" s="235" t="s">
        <v>567</v>
      </c>
      <c r="D16" s="249"/>
      <c r="E16" s="576"/>
      <c r="F16" s="292">
        <f>F17</f>
        <v>2587.8000000000002</v>
      </c>
      <c r="G16" s="475"/>
      <c r="H16" s="475">
        <f>H17</f>
        <v>2587.8000000000002</v>
      </c>
      <c r="I16" s="475"/>
      <c r="J16" s="475">
        <f t="shared" ref="J16:J21" si="1">J17</f>
        <v>2587.8000000000002</v>
      </c>
      <c r="K16" s="475"/>
      <c r="L16" s="465"/>
      <c r="N16" s="465"/>
      <c r="O16" s="465"/>
    </row>
    <row r="17" spans="1:15" s="441" customFormat="1" x14ac:dyDescent="0.25">
      <c r="A17" s="520" t="s">
        <v>1898</v>
      </c>
      <c r="B17" s="613" t="s">
        <v>566</v>
      </c>
      <c r="C17" s="235" t="s">
        <v>567</v>
      </c>
      <c r="D17" s="442" t="s">
        <v>1771</v>
      </c>
      <c r="E17" s="576"/>
      <c r="F17" s="292">
        <f>F18</f>
        <v>2587.8000000000002</v>
      </c>
      <c r="G17" s="475"/>
      <c r="H17" s="475">
        <f>H18</f>
        <v>2587.8000000000002</v>
      </c>
      <c r="I17" s="475"/>
      <c r="J17" s="475">
        <f t="shared" si="1"/>
        <v>2587.8000000000002</v>
      </c>
      <c r="K17" s="475"/>
      <c r="L17" s="465"/>
      <c r="N17" s="465"/>
      <c r="O17" s="465"/>
    </row>
    <row r="18" spans="1:15" s="441" customFormat="1" x14ac:dyDescent="0.25">
      <c r="A18" s="520" t="s">
        <v>1907</v>
      </c>
      <c r="B18" s="613" t="s">
        <v>566</v>
      </c>
      <c r="C18" s="235" t="s">
        <v>567</v>
      </c>
      <c r="D18" s="442" t="s">
        <v>1908</v>
      </c>
      <c r="E18" s="576"/>
      <c r="F18" s="292">
        <f>F19</f>
        <v>2587.8000000000002</v>
      </c>
      <c r="G18" s="475"/>
      <c r="H18" s="475">
        <f>H19</f>
        <v>2587.8000000000002</v>
      </c>
      <c r="I18" s="475"/>
      <c r="J18" s="475">
        <f t="shared" si="1"/>
        <v>2587.8000000000002</v>
      </c>
      <c r="K18" s="475"/>
      <c r="L18" s="465"/>
      <c r="N18" s="465"/>
      <c r="O18" s="465"/>
    </row>
    <row r="19" spans="1:15" s="441" customFormat="1" ht="31.5" x14ac:dyDescent="0.25">
      <c r="A19" s="520" t="s">
        <v>1909</v>
      </c>
      <c r="B19" s="613" t="s">
        <v>566</v>
      </c>
      <c r="C19" s="235" t="s">
        <v>567</v>
      </c>
      <c r="D19" s="442" t="s">
        <v>1910</v>
      </c>
      <c r="E19" s="576"/>
      <c r="F19" s="292">
        <f>F20</f>
        <v>2587.8000000000002</v>
      </c>
      <c r="G19" s="475"/>
      <c r="H19" s="475">
        <f>H20</f>
        <v>2587.8000000000002</v>
      </c>
      <c r="I19" s="475"/>
      <c r="J19" s="475">
        <f t="shared" si="1"/>
        <v>2587.8000000000002</v>
      </c>
      <c r="K19" s="475"/>
      <c r="L19" s="465"/>
      <c r="N19" s="465"/>
      <c r="O19" s="465"/>
    </row>
    <row r="20" spans="1:15" s="441" customFormat="1" x14ac:dyDescent="0.25">
      <c r="A20" s="520" t="s">
        <v>1911</v>
      </c>
      <c r="B20" s="613" t="s">
        <v>566</v>
      </c>
      <c r="C20" s="235" t="s">
        <v>567</v>
      </c>
      <c r="D20" s="442" t="s">
        <v>1912</v>
      </c>
      <c r="E20" s="576"/>
      <c r="F20" s="292">
        <f>'ведом. 2021-2023'!AD24</f>
        <v>2587.8000000000002</v>
      </c>
      <c r="G20" s="475"/>
      <c r="H20" s="475">
        <f>'ведом. 2021-2023'!AE24</f>
        <v>2587.8000000000002</v>
      </c>
      <c r="I20" s="475"/>
      <c r="J20" s="475">
        <f t="shared" si="1"/>
        <v>2587.8000000000002</v>
      </c>
      <c r="K20" s="475"/>
      <c r="L20" s="465"/>
      <c r="N20" s="465"/>
      <c r="O20" s="465"/>
    </row>
    <row r="21" spans="1:15" s="441" customFormat="1" ht="47.25" x14ac:dyDescent="0.25">
      <c r="A21" s="523" t="s">
        <v>921</v>
      </c>
      <c r="B21" s="613" t="s">
        <v>566</v>
      </c>
      <c r="C21" s="235" t="s">
        <v>567</v>
      </c>
      <c r="D21" s="442" t="s">
        <v>1912</v>
      </c>
      <c r="E21" s="576">
        <v>100</v>
      </c>
      <c r="F21" s="292">
        <f>F22</f>
        <v>2587.8000000000002</v>
      </c>
      <c r="G21" s="475"/>
      <c r="H21" s="475">
        <f>H22</f>
        <v>2587.8000000000002</v>
      </c>
      <c r="I21" s="475"/>
      <c r="J21" s="475">
        <f t="shared" si="1"/>
        <v>2587.8000000000002</v>
      </c>
      <c r="K21" s="475"/>
      <c r="L21" s="465"/>
      <c r="N21" s="465"/>
      <c r="O21" s="465"/>
    </row>
    <row r="22" spans="1:15" s="441" customFormat="1" x14ac:dyDescent="0.25">
      <c r="A22" s="523" t="s">
        <v>1747</v>
      </c>
      <c r="B22" s="613" t="s">
        <v>566</v>
      </c>
      <c r="C22" s="235" t="s">
        <v>567</v>
      </c>
      <c r="D22" s="442" t="s">
        <v>1912</v>
      </c>
      <c r="E22" s="576">
        <v>120</v>
      </c>
      <c r="F22" s="292">
        <f>'ведом. 2021-2023'!AD26</f>
        <v>2587.8000000000002</v>
      </c>
      <c r="G22" s="475"/>
      <c r="H22" s="475">
        <f>'ведом. 2021-2023'!AE26</f>
        <v>2587.8000000000002</v>
      </c>
      <c r="I22" s="475"/>
      <c r="J22" s="475">
        <f>'ведом. 2021-2023'!AF26</f>
        <v>2587.8000000000002</v>
      </c>
      <c r="K22" s="475"/>
      <c r="L22" s="465"/>
      <c r="N22" s="465"/>
      <c r="O22" s="465"/>
    </row>
    <row r="23" spans="1:15" s="441" customFormat="1" ht="31.5" x14ac:dyDescent="0.25">
      <c r="A23" s="523" t="s">
        <v>560</v>
      </c>
      <c r="B23" s="613" t="s">
        <v>566</v>
      </c>
      <c r="C23" s="235" t="s">
        <v>193</v>
      </c>
      <c r="D23" s="540"/>
      <c r="E23" s="576"/>
      <c r="F23" s="292">
        <f>F31+F37+F24</f>
        <v>12037.1</v>
      </c>
      <c r="G23" s="292"/>
      <c r="H23" s="292">
        <f>H31+H37+H24</f>
        <v>10588.1</v>
      </c>
      <c r="I23" s="292"/>
      <c r="J23" s="292">
        <f>J31+J37+J24</f>
        <v>10588.1</v>
      </c>
      <c r="K23" s="292"/>
      <c r="L23" s="465"/>
      <c r="N23" s="465"/>
      <c r="O23" s="465"/>
    </row>
    <row r="24" spans="1:15" s="513" customFormat="1" ht="31.5" x14ac:dyDescent="0.25">
      <c r="A24" s="519" t="s">
        <v>560</v>
      </c>
      <c r="B24" s="235" t="s">
        <v>566</v>
      </c>
      <c r="C24" s="235" t="s">
        <v>193</v>
      </c>
      <c r="D24" s="271"/>
      <c r="E24" s="576"/>
      <c r="F24" s="292">
        <f t="shared" ref="F24:F29" si="2">F25</f>
        <v>249</v>
      </c>
      <c r="G24" s="292"/>
      <c r="H24" s="292">
        <f t="shared" ref="H24:H29" si="3">H25</f>
        <v>0</v>
      </c>
      <c r="I24" s="292"/>
      <c r="J24" s="292">
        <f t="shared" ref="J24:J29" si="4">J25</f>
        <v>0</v>
      </c>
      <c r="K24" s="475"/>
      <c r="L24" s="465"/>
      <c r="N24" s="465"/>
      <c r="O24" s="465"/>
    </row>
    <row r="25" spans="1:15" s="513" customFormat="1" x14ac:dyDescent="0.25">
      <c r="A25" s="520" t="s">
        <v>1998</v>
      </c>
      <c r="B25" s="235" t="s">
        <v>566</v>
      </c>
      <c r="C25" s="235" t="s">
        <v>193</v>
      </c>
      <c r="D25" s="442" t="s">
        <v>1774</v>
      </c>
      <c r="E25" s="576"/>
      <c r="F25" s="292">
        <f t="shared" si="2"/>
        <v>249</v>
      </c>
      <c r="G25" s="292"/>
      <c r="H25" s="292">
        <f t="shared" si="3"/>
        <v>0</v>
      </c>
      <c r="I25" s="292"/>
      <c r="J25" s="292">
        <f t="shared" si="4"/>
        <v>0</v>
      </c>
      <c r="K25" s="475"/>
      <c r="L25" s="465"/>
      <c r="N25" s="465"/>
      <c r="O25" s="465"/>
    </row>
    <row r="26" spans="1:15" s="513" customFormat="1" x14ac:dyDescent="0.25">
      <c r="A26" s="517" t="s">
        <v>2337</v>
      </c>
      <c r="B26" s="235" t="s">
        <v>566</v>
      </c>
      <c r="C26" s="235" t="s">
        <v>193</v>
      </c>
      <c r="D26" s="442" t="s">
        <v>1801</v>
      </c>
      <c r="E26" s="576"/>
      <c r="F26" s="292">
        <f t="shared" si="2"/>
        <v>249</v>
      </c>
      <c r="G26" s="292"/>
      <c r="H26" s="292">
        <f t="shared" si="3"/>
        <v>0</v>
      </c>
      <c r="I26" s="292"/>
      <c r="J26" s="292">
        <f t="shared" si="4"/>
        <v>0</v>
      </c>
      <c r="K26" s="475"/>
      <c r="L26" s="465"/>
      <c r="N26" s="465"/>
      <c r="O26" s="465"/>
    </row>
    <row r="27" spans="1:15" s="513" customFormat="1" ht="31.5" x14ac:dyDescent="0.25">
      <c r="A27" s="521" t="s">
        <v>2014</v>
      </c>
      <c r="B27" s="235" t="s">
        <v>566</v>
      </c>
      <c r="C27" s="235" t="s">
        <v>193</v>
      </c>
      <c r="D27" s="442" t="s">
        <v>1802</v>
      </c>
      <c r="E27" s="576"/>
      <c r="F27" s="292">
        <f t="shared" si="2"/>
        <v>249</v>
      </c>
      <c r="G27" s="292"/>
      <c r="H27" s="292">
        <f t="shared" si="3"/>
        <v>0</v>
      </c>
      <c r="I27" s="292"/>
      <c r="J27" s="292">
        <f t="shared" si="4"/>
        <v>0</v>
      </c>
      <c r="K27" s="475"/>
      <c r="L27" s="465"/>
      <c r="N27" s="465"/>
      <c r="O27" s="465"/>
    </row>
    <row r="28" spans="1:15" s="513" customFormat="1" x14ac:dyDescent="0.25">
      <c r="A28" s="521" t="s">
        <v>2015</v>
      </c>
      <c r="B28" s="235" t="s">
        <v>566</v>
      </c>
      <c r="C28" s="235" t="s">
        <v>193</v>
      </c>
      <c r="D28" s="442" t="s">
        <v>2016</v>
      </c>
      <c r="E28" s="576"/>
      <c r="F28" s="292">
        <f t="shared" si="2"/>
        <v>249</v>
      </c>
      <c r="G28" s="292"/>
      <c r="H28" s="292">
        <f t="shared" si="3"/>
        <v>0</v>
      </c>
      <c r="I28" s="292"/>
      <c r="J28" s="292">
        <f t="shared" si="4"/>
        <v>0</v>
      </c>
      <c r="K28" s="475"/>
      <c r="L28" s="465"/>
      <c r="N28" s="465"/>
      <c r="O28" s="465"/>
    </row>
    <row r="29" spans="1:15" s="513" customFormat="1" x14ac:dyDescent="0.25">
      <c r="A29" s="519" t="s">
        <v>1781</v>
      </c>
      <c r="B29" s="235" t="s">
        <v>566</v>
      </c>
      <c r="C29" s="235" t="s">
        <v>193</v>
      </c>
      <c r="D29" s="442" t="s">
        <v>2016</v>
      </c>
      <c r="E29" s="238">
        <v>200</v>
      </c>
      <c r="F29" s="292">
        <f t="shared" si="2"/>
        <v>249</v>
      </c>
      <c r="G29" s="292"/>
      <c r="H29" s="292">
        <f t="shared" si="3"/>
        <v>0</v>
      </c>
      <c r="I29" s="292"/>
      <c r="J29" s="292">
        <f t="shared" si="4"/>
        <v>0</v>
      </c>
      <c r="K29" s="475"/>
      <c r="L29" s="465"/>
      <c r="N29" s="465"/>
      <c r="O29" s="465"/>
    </row>
    <row r="30" spans="1:15" s="513" customFormat="1" ht="31.5" x14ac:dyDescent="0.25">
      <c r="A30" s="519" t="s">
        <v>1273</v>
      </c>
      <c r="B30" s="235" t="s">
        <v>566</v>
      </c>
      <c r="C30" s="235" t="s">
        <v>193</v>
      </c>
      <c r="D30" s="442" t="s">
        <v>2016</v>
      </c>
      <c r="E30" s="576">
        <v>240</v>
      </c>
      <c r="F30" s="292">
        <f>'ведом. 2021-2023'!AD563</f>
        <v>249</v>
      </c>
      <c r="G30" s="475"/>
      <c r="H30" s="475">
        <f>'ведом. 2021-2023'!AE563</f>
        <v>0</v>
      </c>
      <c r="I30" s="475"/>
      <c r="J30" s="475">
        <f>'ведом. 2021-2023'!AF563</f>
        <v>0</v>
      </c>
      <c r="K30" s="475"/>
      <c r="L30" s="465"/>
      <c r="N30" s="465"/>
      <c r="O30" s="465"/>
    </row>
    <row r="31" spans="1:15" s="441" customFormat="1" ht="31.5" x14ac:dyDescent="0.25">
      <c r="A31" s="520" t="s">
        <v>2102</v>
      </c>
      <c r="B31" s="613" t="s">
        <v>566</v>
      </c>
      <c r="C31" s="235" t="s">
        <v>193</v>
      </c>
      <c r="D31" s="442" t="s">
        <v>1805</v>
      </c>
      <c r="E31" s="238"/>
      <c r="F31" s="739">
        <f>F32</f>
        <v>10</v>
      </c>
      <c r="G31" s="475"/>
      <c r="H31" s="476">
        <f>H32</f>
        <v>10</v>
      </c>
      <c r="I31" s="475"/>
      <c r="J31" s="476">
        <f>J32</f>
        <v>10</v>
      </c>
      <c r="K31" s="475"/>
      <c r="L31" s="465"/>
      <c r="N31" s="465"/>
      <c r="O31" s="465"/>
    </row>
    <row r="32" spans="1:15" s="441" customFormat="1" ht="35.25" customHeight="1" x14ac:dyDescent="0.25">
      <c r="A32" s="520" t="s">
        <v>2103</v>
      </c>
      <c r="B32" s="613" t="s">
        <v>566</v>
      </c>
      <c r="C32" s="235" t="s">
        <v>193</v>
      </c>
      <c r="D32" s="442" t="s">
        <v>2104</v>
      </c>
      <c r="E32" s="238"/>
      <c r="F32" s="739">
        <f>F33</f>
        <v>10</v>
      </c>
      <c r="G32" s="475"/>
      <c r="H32" s="476">
        <f>H33</f>
        <v>10</v>
      </c>
      <c r="I32" s="475"/>
      <c r="J32" s="476">
        <f>J33</f>
        <v>10</v>
      </c>
      <c r="K32" s="475"/>
      <c r="L32" s="465"/>
      <c r="N32" s="465"/>
      <c r="O32" s="465"/>
    </row>
    <row r="33" spans="1:15" s="441" customFormat="1" ht="31.5" x14ac:dyDescent="0.25">
      <c r="A33" s="528" t="s">
        <v>2105</v>
      </c>
      <c r="B33" s="613" t="s">
        <v>566</v>
      </c>
      <c r="C33" s="235" t="s">
        <v>193</v>
      </c>
      <c r="D33" s="442" t="s">
        <v>2106</v>
      </c>
      <c r="E33" s="238"/>
      <c r="F33" s="740">
        <f>F34</f>
        <v>10</v>
      </c>
      <c r="G33" s="477"/>
      <c r="H33" s="477">
        <f>H34</f>
        <v>10</v>
      </c>
      <c r="I33" s="477"/>
      <c r="J33" s="477">
        <f>J34</f>
        <v>10</v>
      </c>
      <c r="K33" s="475"/>
      <c r="L33" s="465"/>
      <c r="N33" s="465"/>
      <c r="O33" s="465"/>
    </row>
    <row r="34" spans="1:15" s="441" customFormat="1" ht="94.5" x14ac:dyDescent="0.25">
      <c r="A34" s="528" t="s">
        <v>2242</v>
      </c>
      <c r="B34" s="613" t="s">
        <v>566</v>
      </c>
      <c r="C34" s="235" t="s">
        <v>193</v>
      </c>
      <c r="D34" s="471" t="s">
        <v>2107</v>
      </c>
      <c r="E34" s="238"/>
      <c r="F34" s="740">
        <f>F35</f>
        <v>10</v>
      </c>
      <c r="G34" s="475"/>
      <c r="H34" s="477">
        <f>H35</f>
        <v>10</v>
      </c>
      <c r="I34" s="475"/>
      <c r="J34" s="477">
        <f>J35</f>
        <v>10</v>
      </c>
      <c r="K34" s="475"/>
      <c r="L34" s="465"/>
      <c r="N34" s="465"/>
      <c r="O34" s="465"/>
    </row>
    <row r="35" spans="1:15" s="441" customFormat="1" x14ac:dyDescent="0.25">
      <c r="A35" s="523" t="s">
        <v>1781</v>
      </c>
      <c r="B35" s="613" t="s">
        <v>566</v>
      </c>
      <c r="C35" s="235" t="s">
        <v>193</v>
      </c>
      <c r="D35" s="471" t="s">
        <v>2107</v>
      </c>
      <c r="E35" s="238">
        <v>200</v>
      </c>
      <c r="F35" s="740">
        <f>'ведом. 2021-2023'!AD568</f>
        <v>10</v>
      </c>
      <c r="G35" s="475"/>
      <c r="H35" s="477">
        <f>'ведом. 2021-2023'!AE568</f>
        <v>10</v>
      </c>
      <c r="I35" s="475"/>
      <c r="J35" s="477">
        <f>J36</f>
        <v>10</v>
      </c>
      <c r="K35" s="475"/>
      <c r="L35" s="465"/>
      <c r="N35" s="465"/>
      <c r="O35" s="465"/>
    </row>
    <row r="36" spans="1:15" s="441" customFormat="1" ht="31.5" x14ac:dyDescent="0.25">
      <c r="A36" s="523" t="s">
        <v>1273</v>
      </c>
      <c r="B36" s="613" t="s">
        <v>566</v>
      </c>
      <c r="C36" s="235" t="s">
        <v>193</v>
      </c>
      <c r="D36" s="471" t="s">
        <v>2107</v>
      </c>
      <c r="E36" s="238">
        <v>240</v>
      </c>
      <c r="F36" s="292">
        <f>'ведом. 2021-2023'!AD569</f>
        <v>10</v>
      </c>
      <c r="G36" s="475"/>
      <c r="H36" s="475">
        <f>'ведом. 2021-2023'!AE569</f>
        <v>10</v>
      </c>
      <c r="I36" s="475"/>
      <c r="J36" s="475">
        <f>'ведом. 2021-2023'!AF569</f>
        <v>10</v>
      </c>
      <c r="K36" s="475"/>
      <c r="L36" s="465"/>
      <c r="N36" s="465"/>
      <c r="O36" s="465"/>
    </row>
    <row r="37" spans="1:15" s="441" customFormat="1" ht="31.5" x14ac:dyDescent="0.25">
      <c r="A37" s="520" t="s">
        <v>2048</v>
      </c>
      <c r="B37" s="613" t="s">
        <v>566</v>
      </c>
      <c r="C37" s="235" t="s">
        <v>193</v>
      </c>
      <c r="D37" s="442" t="s">
        <v>1756</v>
      </c>
      <c r="E37" s="576"/>
      <c r="F37" s="292">
        <f>F38+F41+F44</f>
        <v>11778.1</v>
      </c>
      <c r="G37" s="475"/>
      <c r="H37" s="475">
        <f>H38+H41+H44</f>
        <v>10578.1</v>
      </c>
      <c r="I37" s="475"/>
      <c r="J37" s="475">
        <f>J38+J41+J44</f>
        <v>10578.1</v>
      </c>
      <c r="K37" s="475"/>
      <c r="L37" s="465"/>
      <c r="N37" s="465"/>
      <c r="O37" s="465"/>
    </row>
    <row r="38" spans="1:15" s="441" customFormat="1" x14ac:dyDescent="0.25">
      <c r="A38" s="604" t="s">
        <v>2063</v>
      </c>
      <c r="B38" s="613" t="s">
        <v>566</v>
      </c>
      <c r="C38" s="235" t="s">
        <v>193</v>
      </c>
      <c r="D38" s="442" t="s">
        <v>2066</v>
      </c>
      <c r="E38" s="238"/>
      <c r="F38" s="292">
        <f>F39</f>
        <v>2178.4</v>
      </c>
      <c r="G38" s="475"/>
      <c r="H38" s="475">
        <f>H39</f>
        <v>2178.4</v>
      </c>
      <c r="I38" s="475"/>
      <c r="J38" s="475">
        <f>J39</f>
        <v>2178.4</v>
      </c>
      <c r="K38" s="475"/>
      <c r="L38" s="465"/>
      <c r="N38" s="465"/>
      <c r="O38" s="465"/>
    </row>
    <row r="39" spans="1:15" s="441" customFormat="1" ht="47.25" x14ac:dyDescent="0.25">
      <c r="A39" s="523" t="s">
        <v>921</v>
      </c>
      <c r="B39" s="613" t="s">
        <v>566</v>
      </c>
      <c r="C39" s="235" t="s">
        <v>193</v>
      </c>
      <c r="D39" s="442" t="s">
        <v>2066</v>
      </c>
      <c r="E39" s="576">
        <v>100</v>
      </c>
      <c r="F39" s="292">
        <f>F40</f>
        <v>2178.4</v>
      </c>
      <c r="G39" s="475"/>
      <c r="H39" s="475">
        <f>H40</f>
        <v>2178.4</v>
      </c>
      <c r="I39" s="475"/>
      <c r="J39" s="475">
        <f>J40</f>
        <v>2178.4</v>
      </c>
      <c r="K39" s="475"/>
      <c r="L39" s="465"/>
      <c r="N39" s="465"/>
      <c r="O39" s="465"/>
    </row>
    <row r="40" spans="1:15" s="441" customFormat="1" x14ac:dyDescent="0.25">
      <c r="A40" s="523" t="s">
        <v>1747</v>
      </c>
      <c r="B40" s="613" t="s">
        <v>566</v>
      </c>
      <c r="C40" s="235" t="s">
        <v>193</v>
      </c>
      <c r="D40" s="442" t="s">
        <v>2066</v>
      </c>
      <c r="E40" s="238">
        <v>120</v>
      </c>
      <c r="F40" s="292">
        <f>'ведом. 2021-2023'!AD573</f>
        <v>2178.4</v>
      </c>
      <c r="G40" s="475"/>
      <c r="H40" s="475">
        <f>'ведом. 2021-2023'!AE573</f>
        <v>2178.4</v>
      </c>
      <c r="I40" s="475"/>
      <c r="J40" s="475">
        <f>'ведом. 2021-2023'!AF573</f>
        <v>2178.4</v>
      </c>
      <c r="K40" s="475"/>
      <c r="L40" s="465"/>
      <c r="N40" s="465"/>
      <c r="O40" s="465"/>
    </row>
    <row r="41" spans="1:15" s="441" customFormat="1" x14ac:dyDescent="0.25">
      <c r="A41" s="523" t="s">
        <v>2176</v>
      </c>
      <c r="B41" s="613" t="s">
        <v>566</v>
      </c>
      <c r="C41" s="235" t="s">
        <v>193</v>
      </c>
      <c r="D41" s="442" t="s">
        <v>2067</v>
      </c>
      <c r="E41" s="238"/>
      <c r="F41" s="292">
        <f>F43</f>
        <v>1765.1</v>
      </c>
      <c r="G41" s="475"/>
      <c r="H41" s="475">
        <f>H43</f>
        <v>1765.1</v>
      </c>
      <c r="I41" s="475"/>
      <c r="J41" s="475">
        <f>J43</f>
        <v>1765.1</v>
      </c>
      <c r="K41" s="475"/>
      <c r="L41" s="465"/>
      <c r="N41" s="465"/>
      <c r="O41" s="465"/>
    </row>
    <row r="42" spans="1:15" s="441" customFormat="1" ht="47.25" x14ac:dyDescent="0.25">
      <c r="A42" s="523" t="s">
        <v>921</v>
      </c>
      <c r="B42" s="613" t="s">
        <v>566</v>
      </c>
      <c r="C42" s="235" t="s">
        <v>193</v>
      </c>
      <c r="D42" s="442" t="s">
        <v>2067</v>
      </c>
      <c r="E42" s="576">
        <v>100</v>
      </c>
      <c r="F42" s="292">
        <f>F43</f>
        <v>1765.1</v>
      </c>
      <c r="G42" s="475"/>
      <c r="H42" s="475">
        <f>H43</f>
        <v>1765.1</v>
      </c>
      <c r="I42" s="475"/>
      <c r="J42" s="475">
        <f>J43</f>
        <v>1765.1</v>
      </c>
      <c r="K42" s="475"/>
      <c r="L42" s="465"/>
      <c r="N42" s="465"/>
      <c r="O42" s="465"/>
    </row>
    <row r="43" spans="1:15" s="441" customFormat="1" x14ac:dyDescent="0.25">
      <c r="A43" s="523" t="s">
        <v>1747</v>
      </c>
      <c r="B43" s="613" t="s">
        <v>566</v>
      </c>
      <c r="C43" s="235" t="s">
        <v>193</v>
      </c>
      <c r="D43" s="442" t="s">
        <v>2067</v>
      </c>
      <c r="E43" s="238">
        <v>120</v>
      </c>
      <c r="F43" s="292">
        <f>'ведом. 2021-2023'!AD576</f>
        <v>1765.1</v>
      </c>
      <c r="G43" s="475"/>
      <c r="H43" s="475">
        <f>'ведом. 2021-2023'!AE576</f>
        <v>1765.1</v>
      </c>
      <c r="I43" s="475"/>
      <c r="J43" s="475">
        <f>'ведом. 2021-2023'!AF576</f>
        <v>1765.1</v>
      </c>
      <c r="K43" s="475"/>
      <c r="L43" s="465"/>
      <c r="N43" s="465"/>
      <c r="O43" s="465"/>
    </row>
    <row r="44" spans="1:15" s="441" customFormat="1" x14ac:dyDescent="0.25">
      <c r="A44" s="528" t="s">
        <v>2064</v>
      </c>
      <c r="B44" s="613" t="s">
        <v>566</v>
      </c>
      <c r="C44" s="235" t="s">
        <v>193</v>
      </c>
      <c r="D44" s="442" t="s">
        <v>2065</v>
      </c>
      <c r="E44" s="238"/>
      <c r="F44" s="292">
        <f>F45+F50+F53</f>
        <v>7834.6</v>
      </c>
      <c r="G44" s="475"/>
      <c r="H44" s="475">
        <f>H45+H50+H53</f>
        <v>6634.6</v>
      </c>
      <c r="I44" s="475"/>
      <c r="J44" s="475">
        <f>J45+J50+J53</f>
        <v>6634.6</v>
      </c>
      <c r="K44" s="475"/>
      <c r="L44" s="465"/>
      <c r="N44" s="465"/>
      <c r="O44" s="465"/>
    </row>
    <row r="45" spans="1:15" s="441" customFormat="1" ht="31.5" x14ac:dyDescent="0.25">
      <c r="A45" s="523" t="s">
        <v>2068</v>
      </c>
      <c r="B45" s="613" t="s">
        <v>566</v>
      </c>
      <c r="C45" s="235" t="s">
        <v>193</v>
      </c>
      <c r="D45" s="442" t="s">
        <v>2069</v>
      </c>
      <c r="E45" s="238"/>
      <c r="F45" s="292">
        <f>F46+F48</f>
        <v>1518.1</v>
      </c>
      <c r="G45" s="292"/>
      <c r="H45" s="292">
        <f>H46+H48</f>
        <v>1518.1</v>
      </c>
      <c r="I45" s="292"/>
      <c r="J45" s="292">
        <f>J46+J48</f>
        <v>1518.1</v>
      </c>
      <c r="K45" s="475"/>
      <c r="L45" s="465"/>
      <c r="N45" s="465"/>
      <c r="O45" s="465"/>
    </row>
    <row r="46" spans="1:15" s="441" customFormat="1" x14ac:dyDescent="0.25">
      <c r="A46" s="523" t="s">
        <v>1781</v>
      </c>
      <c r="B46" s="613" t="s">
        <v>566</v>
      </c>
      <c r="C46" s="235" t="s">
        <v>193</v>
      </c>
      <c r="D46" s="442" t="s">
        <v>2069</v>
      </c>
      <c r="E46" s="238">
        <v>200</v>
      </c>
      <c r="F46" s="292">
        <f>F47</f>
        <v>1518</v>
      </c>
      <c r="G46" s="475"/>
      <c r="H46" s="475">
        <f>H47</f>
        <v>1518.1</v>
      </c>
      <c r="I46" s="475"/>
      <c r="J46" s="475">
        <f>J47</f>
        <v>1518.1</v>
      </c>
      <c r="K46" s="475"/>
      <c r="L46" s="465"/>
      <c r="N46" s="465"/>
      <c r="O46" s="465"/>
    </row>
    <row r="47" spans="1:15" s="441" customFormat="1" ht="31.5" x14ac:dyDescent="0.25">
      <c r="A47" s="523" t="s">
        <v>1273</v>
      </c>
      <c r="B47" s="613" t="s">
        <v>566</v>
      </c>
      <c r="C47" s="235" t="s">
        <v>193</v>
      </c>
      <c r="D47" s="442" t="s">
        <v>2069</v>
      </c>
      <c r="E47" s="238">
        <v>240</v>
      </c>
      <c r="F47" s="292">
        <f>'ведом. 2021-2023'!AD580</f>
        <v>1518</v>
      </c>
      <c r="G47" s="475"/>
      <c r="H47" s="475">
        <f>'ведом. 2021-2023'!AE580</f>
        <v>1518.1</v>
      </c>
      <c r="I47" s="475"/>
      <c r="J47" s="475">
        <f>'ведом. 2021-2023'!AF580</f>
        <v>1518.1</v>
      </c>
      <c r="K47" s="475"/>
      <c r="L47" s="465"/>
      <c r="N47" s="465"/>
      <c r="O47" s="465"/>
    </row>
    <row r="48" spans="1:15" s="513" customFormat="1" x14ac:dyDescent="0.25">
      <c r="A48" s="519" t="s">
        <v>923</v>
      </c>
      <c r="B48" s="613" t="s">
        <v>566</v>
      </c>
      <c r="C48" s="235" t="s">
        <v>193</v>
      </c>
      <c r="D48" s="442" t="s">
        <v>2069</v>
      </c>
      <c r="E48" s="238">
        <v>800</v>
      </c>
      <c r="F48" s="292">
        <f>F49</f>
        <v>0.1</v>
      </c>
      <c r="G48" s="292"/>
      <c r="H48" s="292">
        <f>H49</f>
        <v>0</v>
      </c>
      <c r="I48" s="292"/>
      <c r="J48" s="292">
        <f>J49</f>
        <v>0</v>
      </c>
      <c r="K48" s="475"/>
      <c r="L48" s="465"/>
      <c r="N48" s="465"/>
      <c r="O48" s="465"/>
    </row>
    <row r="49" spans="1:15" s="513" customFormat="1" x14ac:dyDescent="0.25">
      <c r="A49" s="519" t="s">
        <v>1319</v>
      </c>
      <c r="B49" s="613" t="s">
        <v>566</v>
      </c>
      <c r="C49" s="235" t="s">
        <v>193</v>
      </c>
      <c r="D49" s="442" t="s">
        <v>2069</v>
      </c>
      <c r="E49" s="238">
        <v>850</v>
      </c>
      <c r="F49" s="292">
        <f>'ведом. 2021-2023'!AD582</f>
        <v>0.1</v>
      </c>
      <c r="G49" s="475"/>
      <c r="H49" s="475">
        <f>'ведом. 2021-2023'!AE582</f>
        <v>0</v>
      </c>
      <c r="I49" s="475"/>
      <c r="J49" s="475">
        <f>'ведом. 2021-2023'!AF582</f>
        <v>0</v>
      </c>
      <c r="K49" s="475"/>
      <c r="L49" s="465"/>
      <c r="N49" s="465"/>
      <c r="O49" s="465"/>
    </row>
    <row r="50" spans="1:15" s="441" customFormat="1" ht="47.25" x14ac:dyDescent="0.25">
      <c r="A50" s="523" t="s">
        <v>2072</v>
      </c>
      <c r="B50" s="613" t="s">
        <v>566</v>
      </c>
      <c r="C50" s="235" t="s">
        <v>193</v>
      </c>
      <c r="D50" s="442" t="s">
        <v>2070</v>
      </c>
      <c r="E50" s="238"/>
      <c r="F50" s="292">
        <f>F51</f>
        <v>2961</v>
      </c>
      <c r="G50" s="475"/>
      <c r="H50" s="475">
        <f>H51</f>
        <v>2961</v>
      </c>
      <c r="I50" s="475"/>
      <c r="J50" s="475">
        <f>J51</f>
        <v>2961</v>
      </c>
      <c r="K50" s="475"/>
      <c r="L50" s="465"/>
      <c r="N50" s="465"/>
      <c r="O50" s="465"/>
    </row>
    <row r="51" spans="1:15" s="441" customFormat="1" ht="47.25" x14ac:dyDescent="0.25">
      <c r="A51" s="523" t="s">
        <v>921</v>
      </c>
      <c r="B51" s="613" t="s">
        <v>566</v>
      </c>
      <c r="C51" s="235" t="s">
        <v>193</v>
      </c>
      <c r="D51" s="442" t="s">
        <v>2070</v>
      </c>
      <c r="E51" s="576">
        <v>100</v>
      </c>
      <c r="F51" s="292">
        <f>F52</f>
        <v>2961</v>
      </c>
      <c r="G51" s="475"/>
      <c r="H51" s="475">
        <f>H52</f>
        <v>2961</v>
      </c>
      <c r="I51" s="475"/>
      <c r="J51" s="475">
        <f>J52</f>
        <v>2961</v>
      </c>
      <c r="K51" s="475"/>
      <c r="L51" s="465"/>
      <c r="N51" s="465"/>
      <c r="O51" s="465"/>
    </row>
    <row r="52" spans="1:15" s="441" customFormat="1" x14ac:dyDescent="0.25">
      <c r="A52" s="523" t="s">
        <v>1747</v>
      </c>
      <c r="B52" s="613" t="s">
        <v>566</v>
      </c>
      <c r="C52" s="235" t="s">
        <v>193</v>
      </c>
      <c r="D52" s="442" t="s">
        <v>2070</v>
      </c>
      <c r="E52" s="238">
        <v>120</v>
      </c>
      <c r="F52" s="292">
        <f>'ведом. 2021-2023'!AD585</f>
        <v>2961</v>
      </c>
      <c r="G52" s="475"/>
      <c r="H52" s="475">
        <f>'ведом. 2021-2023'!AE585</f>
        <v>2961</v>
      </c>
      <c r="I52" s="475"/>
      <c r="J52" s="475">
        <f>'ведом. 2021-2023'!AF585</f>
        <v>2961</v>
      </c>
      <c r="K52" s="475"/>
      <c r="L52" s="465"/>
      <c r="N52" s="465"/>
      <c r="O52" s="465"/>
    </row>
    <row r="53" spans="1:15" s="441" customFormat="1" ht="31.5" x14ac:dyDescent="0.25">
      <c r="A53" s="523" t="s">
        <v>2073</v>
      </c>
      <c r="B53" s="613" t="s">
        <v>566</v>
      </c>
      <c r="C53" s="235" t="s">
        <v>193</v>
      </c>
      <c r="D53" s="442" t="s">
        <v>2071</v>
      </c>
      <c r="E53" s="238"/>
      <c r="F53" s="292">
        <f>F54</f>
        <v>3355.5</v>
      </c>
      <c r="G53" s="475"/>
      <c r="H53" s="475">
        <f>H54</f>
        <v>2155.5</v>
      </c>
      <c r="I53" s="475"/>
      <c r="J53" s="475">
        <f>J54</f>
        <v>2155.5</v>
      </c>
      <c r="K53" s="475"/>
      <c r="L53" s="465"/>
      <c r="N53" s="465"/>
      <c r="O53" s="465"/>
    </row>
    <row r="54" spans="1:15" s="441" customFormat="1" ht="47.25" x14ac:dyDescent="0.25">
      <c r="A54" s="523" t="s">
        <v>921</v>
      </c>
      <c r="B54" s="613" t="s">
        <v>566</v>
      </c>
      <c r="C54" s="235" t="s">
        <v>193</v>
      </c>
      <c r="D54" s="442" t="s">
        <v>2071</v>
      </c>
      <c r="E54" s="576">
        <v>100</v>
      </c>
      <c r="F54" s="292">
        <f>F55</f>
        <v>3355.5</v>
      </c>
      <c r="G54" s="475"/>
      <c r="H54" s="475">
        <f>H55</f>
        <v>2155.5</v>
      </c>
      <c r="I54" s="475"/>
      <c r="J54" s="475">
        <f>J55</f>
        <v>2155.5</v>
      </c>
      <c r="K54" s="475"/>
      <c r="L54" s="465"/>
      <c r="N54" s="465"/>
      <c r="O54" s="465"/>
    </row>
    <row r="55" spans="1:15" s="441" customFormat="1" x14ac:dyDescent="0.25">
      <c r="A55" s="523" t="s">
        <v>1747</v>
      </c>
      <c r="B55" s="613" t="s">
        <v>566</v>
      </c>
      <c r="C55" s="235" t="s">
        <v>193</v>
      </c>
      <c r="D55" s="442" t="s">
        <v>2071</v>
      </c>
      <c r="E55" s="238">
        <v>120</v>
      </c>
      <c r="F55" s="292">
        <f>'ведом. 2021-2023'!AD588</f>
        <v>3355.5</v>
      </c>
      <c r="G55" s="475"/>
      <c r="H55" s="475">
        <f>'ведом. 2021-2023'!AE588</f>
        <v>2155.5</v>
      </c>
      <c r="I55" s="475"/>
      <c r="J55" s="475">
        <f>'ведом. 2021-2023'!AF588</f>
        <v>2155.5</v>
      </c>
      <c r="K55" s="475"/>
      <c r="L55" s="465"/>
      <c r="N55" s="465"/>
      <c r="O55" s="465"/>
    </row>
    <row r="56" spans="1:15" s="441" customFormat="1" ht="31.5" x14ac:dyDescent="0.25">
      <c r="A56" s="523" t="s">
        <v>1240</v>
      </c>
      <c r="B56" s="613" t="s">
        <v>566</v>
      </c>
      <c r="C56" s="235" t="s">
        <v>1181</v>
      </c>
      <c r="D56" s="249"/>
      <c r="E56" s="576"/>
      <c r="F56" s="292">
        <f t="shared" ref="F56:K56" si="5">F57+F69+F77+F94</f>
        <v>64313.9</v>
      </c>
      <c r="G56" s="475">
        <f t="shared" si="5"/>
        <v>3804</v>
      </c>
      <c r="H56" s="475">
        <f t="shared" si="5"/>
        <v>59121.3</v>
      </c>
      <c r="I56" s="475">
        <f t="shared" si="5"/>
        <v>3796</v>
      </c>
      <c r="J56" s="475">
        <f t="shared" si="5"/>
        <v>59643.3</v>
      </c>
      <c r="K56" s="475">
        <f t="shared" si="5"/>
        <v>3797</v>
      </c>
      <c r="L56" s="465"/>
      <c r="N56" s="465"/>
      <c r="O56" s="465"/>
    </row>
    <row r="57" spans="1:15" s="441" customFormat="1" x14ac:dyDescent="0.25">
      <c r="A57" s="520" t="s">
        <v>1998</v>
      </c>
      <c r="B57" s="613" t="s">
        <v>566</v>
      </c>
      <c r="C57" s="235" t="s">
        <v>1181</v>
      </c>
      <c r="D57" s="442" t="s">
        <v>1774</v>
      </c>
      <c r="E57" s="576"/>
      <c r="F57" s="292">
        <f t="shared" ref="F57:K57" si="6">F58</f>
        <v>1723.9</v>
      </c>
      <c r="G57" s="475">
        <f t="shared" si="6"/>
        <v>1609</v>
      </c>
      <c r="H57" s="475">
        <f t="shared" si="6"/>
        <v>1601</v>
      </c>
      <c r="I57" s="475">
        <f t="shared" si="6"/>
        <v>1601</v>
      </c>
      <c r="J57" s="475">
        <f t="shared" si="6"/>
        <v>2123</v>
      </c>
      <c r="K57" s="475">
        <f t="shared" si="6"/>
        <v>1602</v>
      </c>
      <c r="L57" s="465"/>
      <c r="N57" s="465"/>
      <c r="O57" s="465"/>
    </row>
    <row r="58" spans="1:15" s="441" customFormat="1" x14ac:dyDescent="0.25">
      <c r="A58" s="517" t="s">
        <v>2337</v>
      </c>
      <c r="B58" s="613" t="s">
        <v>566</v>
      </c>
      <c r="C58" s="235" t="s">
        <v>1181</v>
      </c>
      <c r="D58" s="442" t="s">
        <v>1801</v>
      </c>
      <c r="E58" s="576"/>
      <c r="F58" s="292">
        <f t="shared" ref="F58:K58" si="7">F59+F63</f>
        <v>1723.9</v>
      </c>
      <c r="G58" s="475">
        <f t="shared" si="7"/>
        <v>1609</v>
      </c>
      <c r="H58" s="475">
        <f t="shared" si="7"/>
        <v>1601</v>
      </c>
      <c r="I58" s="475">
        <f t="shared" si="7"/>
        <v>1601</v>
      </c>
      <c r="J58" s="475">
        <f t="shared" si="7"/>
        <v>2123</v>
      </c>
      <c r="K58" s="475">
        <f t="shared" si="7"/>
        <v>1602</v>
      </c>
      <c r="L58" s="465"/>
      <c r="N58" s="465"/>
      <c r="O58" s="465"/>
    </row>
    <row r="59" spans="1:15" s="441" customFormat="1" ht="31.5" x14ac:dyDescent="0.25">
      <c r="A59" s="521" t="s">
        <v>2014</v>
      </c>
      <c r="B59" s="613" t="s">
        <v>566</v>
      </c>
      <c r="C59" s="235" t="s">
        <v>1181</v>
      </c>
      <c r="D59" s="442" t="s">
        <v>1802</v>
      </c>
      <c r="E59" s="576"/>
      <c r="F59" s="292">
        <f>F60</f>
        <v>114.89999999999998</v>
      </c>
      <c r="G59" s="475"/>
      <c r="H59" s="475">
        <f>H60</f>
        <v>0</v>
      </c>
      <c r="I59" s="475"/>
      <c r="J59" s="475">
        <f>J60</f>
        <v>521</v>
      </c>
      <c r="K59" s="475"/>
      <c r="L59" s="465"/>
      <c r="N59" s="465"/>
      <c r="O59" s="465"/>
    </row>
    <row r="60" spans="1:15" s="441" customFormat="1" x14ac:dyDescent="0.25">
      <c r="A60" s="521" t="s">
        <v>2015</v>
      </c>
      <c r="B60" s="613" t="s">
        <v>566</v>
      </c>
      <c r="C60" s="235" t="s">
        <v>1181</v>
      </c>
      <c r="D60" s="442" t="s">
        <v>2016</v>
      </c>
      <c r="E60" s="576"/>
      <c r="F60" s="292">
        <f>F61</f>
        <v>114.89999999999998</v>
      </c>
      <c r="G60" s="475"/>
      <c r="H60" s="475">
        <f>H61</f>
        <v>0</v>
      </c>
      <c r="I60" s="475"/>
      <c r="J60" s="475">
        <f>J61</f>
        <v>521</v>
      </c>
      <c r="K60" s="475"/>
      <c r="L60" s="465"/>
      <c r="N60" s="465"/>
      <c r="O60" s="465"/>
    </row>
    <row r="61" spans="1:15" s="441" customFormat="1" x14ac:dyDescent="0.25">
      <c r="A61" s="523" t="s">
        <v>1781</v>
      </c>
      <c r="B61" s="613" t="s">
        <v>566</v>
      </c>
      <c r="C61" s="235" t="s">
        <v>1181</v>
      </c>
      <c r="D61" s="442" t="s">
        <v>2016</v>
      </c>
      <c r="E61" s="238">
        <v>200</v>
      </c>
      <c r="F61" s="292">
        <f>F62</f>
        <v>114.89999999999998</v>
      </c>
      <c r="G61" s="475"/>
      <c r="H61" s="475">
        <f>H62</f>
        <v>0</v>
      </c>
      <c r="I61" s="475"/>
      <c r="J61" s="475">
        <f>J62</f>
        <v>521</v>
      </c>
      <c r="K61" s="475"/>
      <c r="L61" s="465"/>
      <c r="N61" s="465"/>
      <c r="O61" s="465"/>
    </row>
    <row r="62" spans="1:15" s="441" customFormat="1" ht="31.5" x14ac:dyDescent="0.25">
      <c r="A62" s="523" t="s">
        <v>1273</v>
      </c>
      <c r="B62" s="613" t="s">
        <v>566</v>
      </c>
      <c r="C62" s="235" t="s">
        <v>1181</v>
      </c>
      <c r="D62" s="442" t="s">
        <v>2016</v>
      </c>
      <c r="E62" s="238">
        <v>240</v>
      </c>
      <c r="F62" s="292">
        <f>'ведом. 2021-2023'!AD33</f>
        <v>114.89999999999998</v>
      </c>
      <c r="G62" s="475"/>
      <c r="H62" s="475">
        <f>'ведом. 2021-2023'!AE33</f>
        <v>0</v>
      </c>
      <c r="I62" s="475"/>
      <c r="J62" s="475">
        <f>'ведом. 2021-2023'!AF33</f>
        <v>521</v>
      </c>
      <c r="K62" s="475"/>
      <c r="L62" s="465"/>
      <c r="N62" s="465"/>
      <c r="O62" s="465"/>
    </row>
    <row r="63" spans="1:15" s="441" customFormat="1" ht="47.25" x14ac:dyDescent="0.25">
      <c r="A63" s="521" t="s">
        <v>2017</v>
      </c>
      <c r="B63" s="613" t="s">
        <v>566</v>
      </c>
      <c r="C63" s="235" t="s">
        <v>1181</v>
      </c>
      <c r="D63" s="442" t="s">
        <v>2018</v>
      </c>
      <c r="E63" s="576"/>
      <c r="F63" s="292">
        <f t="shared" ref="F63:K63" si="8">F64</f>
        <v>1609</v>
      </c>
      <c r="G63" s="475">
        <f t="shared" si="8"/>
        <v>1609</v>
      </c>
      <c r="H63" s="475">
        <f t="shared" si="8"/>
        <v>1601</v>
      </c>
      <c r="I63" s="475">
        <f t="shared" si="8"/>
        <v>1601</v>
      </c>
      <c r="J63" s="475">
        <f t="shared" si="8"/>
        <v>1602</v>
      </c>
      <c r="K63" s="475">
        <f t="shared" si="8"/>
        <v>1602</v>
      </c>
      <c r="L63" s="465"/>
      <c r="N63" s="465"/>
      <c r="O63" s="465"/>
    </row>
    <row r="64" spans="1:15" s="441" customFormat="1" ht="47.25" x14ac:dyDescent="0.25">
      <c r="A64" s="521" t="s">
        <v>2019</v>
      </c>
      <c r="B64" s="613" t="s">
        <v>566</v>
      </c>
      <c r="C64" s="235" t="s">
        <v>1181</v>
      </c>
      <c r="D64" s="442" t="s">
        <v>2020</v>
      </c>
      <c r="E64" s="576"/>
      <c r="F64" s="292">
        <f t="shared" ref="F64:K64" si="9">F65+F67</f>
        <v>1609</v>
      </c>
      <c r="G64" s="475">
        <f t="shared" si="9"/>
        <v>1609</v>
      </c>
      <c r="H64" s="475">
        <f t="shared" si="9"/>
        <v>1601</v>
      </c>
      <c r="I64" s="475">
        <f t="shared" si="9"/>
        <v>1601</v>
      </c>
      <c r="J64" s="475">
        <f t="shared" si="9"/>
        <v>1602</v>
      </c>
      <c r="K64" s="475">
        <f t="shared" si="9"/>
        <v>1602</v>
      </c>
      <c r="L64" s="465"/>
      <c r="N64" s="465"/>
      <c r="O64" s="465"/>
    </row>
    <row r="65" spans="1:15" s="441" customFormat="1" ht="47.25" x14ac:dyDescent="0.25">
      <c r="A65" s="523" t="s">
        <v>921</v>
      </c>
      <c r="B65" s="613" t="s">
        <v>566</v>
      </c>
      <c r="C65" s="235" t="s">
        <v>1181</v>
      </c>
      <c r="D65" s="442" t="s">
        <v>2020</v>
      </c>
      <c r="E65" s="576">
        <v>100</v>
      </c>
      <c r="F65" s="292">
        <f t="shared" ref="F65:K65" si="10">F66</f>
        <v>1529.5</v>
      </c>
      <c r="G65" s="475">
        <f t="shared" si="10"/>
        <v>1529.5</v>
      </c>
      <c r="H65" s="475">
        <f t="shared" si="10"/>
        <v>1529.5</v>
      </c>
      <c r="I65" s="475">
        <f t="shared" si="10"/>
        <v>1529.5</v>
      </c>
      <c r="J65" s="475">
        <f t="shared" si="10"/>
        <v>1529.5</v>
      </c>
      <c r="K65" s="475">
        <f t="shared" si="10"/>
        <v>1529.5</v>
      </c>
      <c r="L65" s="465"/>
      <c r="N65" s="465"/>
      <c r="O65" s="465"/>
    </row>
    <row r="66" spans="1:15" s="441" customFormat="1" x14ac:dyDescent="0.25">
      <c r="A66" s="523" t="s">
        <v>1747</v>
      </c>
      <c r="B66" s="613" t="s">
        <v>566</v>
      </c>
      <c r="C66" s="235" t="s">
        <v>1181</v>
      </c>
      <c r="D66" s="442" t="s">
        <v>2020</v>
      </c>
      <c r="E66" s="576">
        <v>120</v>
      </c>
      <c r="F66" s="292">
        <f>'ведом. 2021-2023'!AD37</f>
        <v>1529.5</v>
      </c>
      <c r="G66" s="475">
        <f>F66</f>
        <v>1529.5</v>
      </c>
      <c r="H66" s="475">
        <f>'ведом. 2021-2023'!AE37</f>
        <v>1529.5</v>
      </c>
      <c r="I66" s="475">
        <f>H66</f>
        <v>1529.5</v>
      </c>
      <c r="J66" s="475">
        <f>'ведом. 2021-2023'!AF37</f>
        <v>1529.5</v>
      </c>
      <c r="K66" s="475">
        <f>J66</f>
        <v>1529.5</v>
      </c>
      <c r="L66" s="465"/>
      <c r="N66" s="465"/>
      <c r="O66" s="465"/>
    </row>
    <row r="67" spans="1:15" s="441" customFormat="1" x14ac:dyDescent="0.25">
      <c r="A67" s="523" t="s">
        <v>1781</v>
      </c>
      <c r="B67" s="613" t="s">
        <v>566</v>
      </c>
      <c r="C67" s="235" t="s">
        <v>1181</v>
      </c>
      <c r="D67" s="442" t="s">
        <v>2020</v>
      </c>
      <c r="E67" s="238">
        <v>200</v>
      </c>
      <c r="F67" s="292">
        <f t="shared" ref="F67:K67" si="11">F68</f>
        <v>79.5</v>
      </c>
      <c r="G67" s="475">
        <f t="shared" si="11"/>
        <v>79.5</v>
      </c>
      <c r="H67" s="475">
        <f t="shared" si="11"/>
        <v>71.5</v>
      </c>
      <c r="I67" s="475">
        <f t="shared" si="11"/>
        <v>71.5</v>
      </c>
      <c r="J67" s="475">
        <f t="shared" si="11"/>
        <v>72.5</v>
      </c>
      <c r="K67" s="475">
        <f t="shared" si="11"/>
        <v>72.5</v>
      </c>
      <c r="L67" s="465"/>
      <c r="N67" s="465"/>
      <c r="O67" s="465"/>
    </row>
    <row r="68" spans="1:15" s="441" customFormat="1" ht="31.5" x14ac:dyDescent="0.25">
      <c r="A68" s="523" t="s">
        <v>1273</v>
      </c>
      <c r="B68" s="613" t="s">
        <v>566</v>
      </c>
      <c r="C68" s="235" t="s">
        <v>1181</v>
      </c>
      <c r="D68" s="442" t="s">
        <v>2020</v>
      </c>
      <c r="E68" s="238">
        <v>240</v>
      </c>
      <c r="F68" s="292">
        <f>'ведом. 2021-2023'!AD39</f>
        <v>79.5</v>
      </c>
      <c r="G68" s="475">
        <f>F68</f>
        <v>79.5</v>
      </c>
      <c r="H68" s="475">
        <f>'ведом. 2021-2023'!AE39</f>
        <v>71.5</v>
      </c>
      <c r="I68" s="475">
        <f>H68</f>
        <v>71.5</v>
      </c>
      <c r="J68" s="475">
        <f>'ведом. 2021-2023'!AF39</f>
        <v>72.5</v>
      </c>
      <c r="K68" s="475">
        <f>J68</f>
        <v>72.5</v>
      </c>
      <c r="L68" s="465"/>
      <c r="N68" s="465"/>
      <c r="O68" s="465"/>
    </row>
    <row r="69" spans="1:15" s="441" customFormat="1" x14ac:dyDescent="0.25">
      <c r="A69" s="605" t="s">
        <v>2021</v>
      </c>
      <c r="B69" s="613" t="s">
        <v>566</v>
      </c>
      <c r="C69" s="235" t="s">
        <v>1181</v>
      </c>
      <c r="D69" s="249" t="s">
        <v>1759</v>
      </c>
      <c r="E69" s="238"/>
      <c r="F69" s="292">
        <f t="shared" ref="F69:K71" si="12">F70</f>
        <v>2195</v>
      </c>
      <c r="G69" s="475">
        <f t="shared" si="12"/>
        <v>2195</v>
      </c>
      <c r="H69" s="475">
        <f t="shared" si="12"/>
        <v>2195</v>
      </c>
      <c r="I69" s="475">
        <f t="shared" si="12"/>
        <v>2195</v>
      </c>
      <c r="J69" s="475">
        <f t="shared" si="12"/>
        <v>2195</v>
      </c>
      <c r="K69" s="475">
        <f t="shared" si="12"/>
        <v>2195</v>
      </c>
      <c r="L69" s="465"/>
      <c r="N69" s="465"/>
      <c r="O69" s="465"/>
    </row>
    <row r="70" spans="1:15" s="441" customFormat="1" x14ac:dyDescent="0.25">
      <c r="A70" s="520" t="s">
        <v>2028</v>
      </c>
      <c r="B70" s="613" t="s">
        <v>566</v>
      </c>
      <c r="C70" s="235" t="s">
        <v>1181</v>
      </c>
      <c r="D70" s="249" t="s">
        <v>1760</v>
      </c>
      <c r="E70" s="238"/>
      <c r="F70" s="292">
        <f t="shared" si="12"/>
        <v>2195</v>
      </c>
      <c r="G70" s="475">
        <f t="shared" si="12"/>
        <v>2195</v>
      </c>
      <c r="H70" s="475">
        <f t="shared" si="12"/>
        <v>2195</v>
      </c>
      <c r="I70" s="475">
        <f t="shared" si="12"/>
        <v>2195</v>
      </c>
      <c r="J70" s="475">
        <f t="shared" si="12"/>
        <v>2195</v>
      </c>
      <c r="K70" s="475">
        <f t="shared" si="12"/>
        <v>2195</v>
      </c>
      <c r="L70" s="465"/>
      <c r="N70" s="465"/>
      <c r="O70" s="465"/>
    </row>
    <row r="71" spans="1:15" s="441" customFormat="1" ht="47.25" x14ac:dyDescent="0.25">
      <c r="A71" s="520" t="s">
        <v>2036</v>
      </c>
      <c r="B71" s="613" t="s">
        <v>566</v>
      </c>
      <c r="C71" s="235" t="s">
        <v>1181</v>
      </c>
      <c r="D71" s="442" t="s">
        <v>1794</v>
      </c>
      <c r="E71" s="238"/>
      <c r="F71" s="292">
        <f t="shared" si="12"/>
        <v>2195</v>
      </c>
      <c r="G71" s="475">
        <f t="shared" si="12"/>
        <v>2195</v>
      </c>
      <c r="H71" s="475">
        <f t="shared" si="12"/>
        <v>2195</v>
      </c>
      <c r="I71" s="475">
        <f t="shared" si="12"/>
        <v>2195</v>
      </c>
      <c r="J71" s="475">
        <f t="shared" si="12"/>
        <v>2195</v>
      </c>
      <c r="K71" s="475">
        <f t="shared" si="12"/>
        <v>2195</v>
      </c>
      <c r="L71" s="465"/>
      <c r="N71" s="465"/>
      <c r="O71" s="465"/>
    </row>
    <row r="72" spans="1:15" s="441" customFormat="1" ht="47.25" x14ac:dyDescent="0.25">
      <c r="A72" s="523" t="s">
        <v>2278</v>
      </c>
      <c r="B72" s="613" t="s">
        <v>566</v>
      </c>
      <c r="C72" s="235" t="s">
        <v>1181</v>
      </c>
      <c r="D72" s="249" t="s">
        <v>1796</v>
      </c>
      <c r="E72" s="238"/>
      <c r="F72" s="292">
        <f t="shared" ref="F72:K72" si="13">F73+F75</f>
        <v>2195</v>
      </c>
      <c r="G72" s="475">
        <f t="shared" si="13"/>
        <v>2195</v>
      </c>
      <c r="H72" s="475">
        <f t="shared" si="13"/>
        <v>2195</v>
      </c>
      <c r="I72" s="475">
        <f t="shared" si="13"/>
        <v>2195</v>
      </c>
      <c r="J72" s="475">
        <f t="shared" si="13"/>
        <v>2195</v>
      </c>
      <c r="K72" s="475">
        <f t="shared" si="13"/>
        <v>2195</v>
      </c>
      <c r="L72" s="465"/>
      <c r="N72" s="465"/>
      <c r="O72" s="465"/>
    </row>
    <row r="73" spans="1:15" s="441" customFormat="1" ht="47.25" x14ac:dyDescent="0.25">
      <c r="A73" s="523" t="s">
        <v>921</v>
      </c>
      <c r="B73" s="613" t="s">
        <v>566</v>
      </c>
      <c r="C73" s="235" t="s">
        <v>1181</v>
      </c>
      <c r="D73" s="442" t="s">
        <v>1796</v>
      </c>
      <c r="E73" s="576">
        <v>100</v>
      </c>
      <c r="F73" s="292">
        <f t="shared" ref="F73:K73" si="14">F74</f>
        <v>1878</v>
      </c>
      <c r="G73" s="475">
        <f t="shared" si="14"/>
        <v>1878</v>
      </c>
      <c r="H73" s="475">
        <f t="shared" si="14"/>
        <v>1878</v>
      </c>
      <c r="I73" s="475">
        <f t="shared" si="14"/>
        <v>1878</v>
      </c>
      <c r="J73" s="475">
        <f t="shared" si="14"/>
        <v>1878</v>
      </c>
      <c r="K73" s="475">
        <f t="shared" si="14"/>
        <v>1878</v>
      </c>
      <c r="L73" s="465"/>
      <c r="N73" s="465"/>
      <c r="O73" s="465"/>
    </row>
    <row r="74" spans="1:15" s="441" customFormat="1" x14ac:dyDescent="0.25">
      <c r="A74" s="523" t="s">
        <v>1747</v>
      </c>
      <c r="B74" s="613" t="s">
        <v>566</v>
      </c>
      <c r="C74" s="235" t="s">
        <v>1181</v>
      </c>
      <c r="D74" s="249" t="s">
        <v>1796</v>
      </c>
      <c r="E74" s="238">
        <v>120</v>
      </c>
      <c r="F74" s="292">
        <f>'ведом. 2021-2023'!AD45</f>
        <v>1878</v>
      </c>
      <c r="G74" s="475">
        <f>F74</f>
        <v>1878</v>
      </c>
      <c r="H74" s="475">
        <f>'ведом. 2021-2023'!AE45</f>
        <v>1878</v>
      </c>
      <c r="I74" s="475">
        <f>H74</f>
        <v>1878</v>
      </c>
      <c r="J74" s="475">
        <f>'ведом. 2021-2023'!AF45</f>
        <v>1878</v>
      </c>
      <c r="K74" s="475">
        <f>J74</f>
        <v>1878</v>
      </c>
      <c r="L74" s="465"/>
      <c r="N74" s="465"/>
      <c r="O74" s="465"/>
    </row>
    <row r="75" spans="1:15" s="441" customFormat="1" x14ac:dyDescent="0.25">
      <c r="A75" s="523" t="s">
        <v>1781</v>
      </c>
      <c r="B75" s="613" t="s">
        <v>566</v>
      </c>
      <c r="C75" s="235" t="s">
        <v>1181</v>
      </c>
      <c r="D75" s="249" t="s">
        <v>1796</v>
      </c>
      <c r="E75" s="238">
        <v>200</v>
      </c>
      <c r="F75" s="292">
        <f t="shared" ref="F75:K75" si="15">F76</f>
        <v>317</v>
      </c>
      <c r="G75" s="475">
        <f t="shared" si="15"/>
        <v>317</v>
      </c>
      <c r="H75" s="475">
        <f t="shared" si="15"/>
        <v>317</v>
      </c>
      <c r="I75" s="475">
        <f t="shared" si="15"/>
        <v>317</v>
      </c>
      <c r="J75" s="475">
        <f t="shared" si="15"/>
        <v>317</v>
      </c>
      <c r="K75" s="475">
        <f t="shared" si="15"/>
        <v>317</v>
      </c>
      <c r="L75" s="465"/>
      <c r="N75" s="465"/>
      <c r="O75" s="465"/>
    </row>
    <row r="76" spans="1:15" s="441" customFormat="1" ht="31.5" x14ac:dyDescent="0.25">
      <c r="A76" s="523" t="s">
        <v>1273</v>
      </c>
      <c r="B76" s="613" t="s">
        <v>566</v>
      </c>
      <c r="C76" s="235" t="s">
        <v>1181</v>
      </c>
      <c r="D76" s="249" t="s">
        <v>1796</v>
      </c>
      <c r="E76" s="238">
        <v>240</v>
      </c>
      <c r="F76" s="292">
        <f>'ведом. 2021-2023'!AD47</f>
        <v>317</v>
      </c>
      <c r="G76" s="475">
        <f>F76</f>
        <v>317</v>
      </c>
      <c r="H76" s="475">
        <f>'ведом. 2021-2023'!AE47</f>
        <v>317</v>
      </c>
      <c r="I76" s="475">
        <f>H76</f>
        <v>317</v>
      </c>
      <c r="J76" s="475">
        <f>'ведом. 2021-2023'!AF47</f>
        <v>317</v>
      </c>
      <c r="K76" s="475">
        <f>J76</f>
        <v>317</v>
      </c>
      <c r="L76" s="465"/>
      <c r="N76" s="465"/>
      <c r="O76" s="465"/>
    </row>
    <row r="77" spans="1:15" s="441" customFormat="1" x14ac:dyDescent="0.25">
      <c r="A77" s="520" t="s">
        <v>1898</v>
      </c>
      <c r="B77" s="613" t="s">
        <v>566</v>
      </c>
      <c r="C77" s="235" t="s">
        <v>1181</v>
      </c>
      <c r="D77" s="442" t="s">
        <v>1771</v>
      </c>
      <c r="E77" s="576"/>
      <c r="F77" s="292">
        <f>F78</f>
        <v>52059</v>
      </c>
      <c r="G77" s="475"/>
      <c r="H77" s="475">
        <f>H78</f>
        <v>51993.3</v>
      </c>
      <c r="I77" s="475"/>
      <c r="J77" s="475">
        <f>J78</f>
        <v>51993.3</v>
      </c>
      <c r="K77" s="475"/>
      <c r="L77" s="465"/>
      <c r="N77" s="465"/>
      <c r="O77" s="465"/>
    </row>
    <row r="78" spans="1:15" s="441" customFormat="1" x14ac:dyDescent="0.25">
      <c r="A78" s="520" t="s">
        <v>1907</v>
      </c>
      <c r="B78" s="613" t="s">
        <v>566</v>
      </c>
      <c r="C78" s="235" t="s">
        <v>1181</v>
      </c>
      <c r="D78" s="442" t="s">
        <v>1908</v>
      </c>
      <c r="E78" s="238"/>
      <c r="F78" s="292">
        <f>F79</f>
        <v>52059</v>
      </c>
      <c r="G78" s="475"/>
      <c r="H78" s="475">
        <f>H79</f>
        <v>51993.3</v>
      </c>
      <c r="I78" s="475"/>
      <c r="J78" s="475">
        <f>J79</f>
        <v>51993.3</v>
      </c>
      <c r="K78" s="475"/>
      <c r="L78" s="465"/>
      <c r="N78" s="465"/>
      <c r="O78" s="465"/>
    </row>
    <row r="79" spans="1:15" s="441" customFormat="1" ht="31.5" x14ac:dyDescent="0.25">
      <c r="A79" s="520" t="s">
        <v>1909</v>
      </c>
      <c r="B79" s="613" t="s">
        <v>566</v>
      </c>
      <c r="C79" s="235" t="s">
        <v>1181</v>
      </c>
      <c r="D79" s="442" t="s">
        <v>1910</v>
      </c>
      <c r="E79" s="238"/>
      <c r="F79" s="292">
        <f>F80</f>
        <v>52059</v>
      </c>
      <c r="G79" s="475"/>
      <c r="H79" s="475">
        <f>H80</f>
        <v>51993.3</v>
      </c>
      <c r="I79" s="475"/>
      <c r="J79" s="475">
        <f>J80</f>
        <v>51993.3</v>
      </c>
      <c r="K79" s="475"/>
      <c r="L79" s="465"/>
      <c r="N79" s="465"/>
      <c r="O79" s="465"/>
    </row>
    <row r="80" spans="1:15" s="441" customFormat="1" x14ac:dyDescent="0.25">
      <c r="A80" s="520" t="s">
        <v>1913</v>
      </c>
      <c r="B80" s="613" t="s">
        <v>566</v>
      </c>
      <c r="C80" s="235" t="s">
        <v>1181</v>
      </c>
      <c r="D80" s="442" t="s">
        <v>1914</v>
      </c>
      <c r="E80" s="238"/>
      <c r="F80" s="292">
        <f>F81+F88+F91</f>
        <v>52059</v>
      </c>
      <c r="G80" s="475"/>
      <c r="H80" s="475">
        <f>H81+H88+H91</f>
        <v>51993.3</v>
      </c>
      <c r="I80" s="475"/>
      <c r="J80" s="475">
        <f>J81+J88+J91</f>
        <v>51993.3</v>
      </c>
      <c r="K80" s="475"/>
      <c r="L80" s="465"/>
      <c r="N80" s="465"/>
      <c r="O80" s="465"/>
    </row>
    <row r="81" spans="1:15" s="441" customFormat="1" ht="31.5" x14ac:dyDescent="0.25">
      <c r="A81" s="606" t="s">
        <v>1915</v>
      </c>
      <c r="B81" s="577" t="s">
        <v>566</v>
      </c>
      <c r="C81" s="444" t="s">
        <v>1181</v>
      </c>
      <c r="D81" s="442" t="s">
        <v>1916</v>
      </c>
      <c r="E81" s="238"/>
      <c r="F81" s="292">
        <f>F84+F86+F82</f>
        <v>6395.9999999999991</v>
      </c>
      <c r="G81" s="292"/>
      <c r="H81" s="292">
        <f t="shared" ref="H81:J81" si="16">H84+H86+H82</f>
        <v>6330.3</v>
      </c>
      <c r="I81" s="292"/>
      <c r="J81" s="292">
        <f t="shared" si="16"/>
        <v>6330.3</v>
      </c>
      <c r="K81" s="475"/>
      <c r="L81" s="465"/>
      <c r="N81" s="465"/>
      <c r="O81" s="465"/>
    </row>
    <row r="82" spans="1:15" s="513" customFormat="1" ht="47.25" x14ac:dyDescent="0.25">
      <c r="A82" s="519" t="s">
        <v>921</v>
      </c>
      <c r="B82" s="613" t="s">
        <v>566</v>
      </c>
      <c r="C82" s="235" t="s">
        <v>1181</v>
      </c>
      <c r="D82" s="442" t="s">
        <v>1916</v>
      </c>
      <c r="E82" s="576">
        <v>100</v>
      </c>
      <c r="F82" s="292">
        <f>F83</f>
        <v>0.4</v>
      </c>
      <c r="G82" s="292"/>
      <c r="H82" s="292">
        <f t="shared" ref="H82:J82" si="17">H83</f>
        <v>0</v>
      </c>
      <c r="I82" s="292"/>
      <c r="J82" s="292">
        <f t="shared" si="17"/>
        <v>0</v>
      </c>
      <c r="K82" s="475"/>
      <c r="L82" s="465"/>
      <c r="N82" s="465"/>
      <c r="O82" s="465"/>
    </row>
    <row r="83" spans="1:15" s="513" customFormat="1" x14ac:dyDescent="0.25">
      <c r="A83" s="519" t="s">
        <v>1747</v>
      </c>
      <c r="B83" s="613" t="s">
        <v>566</v>
      </c>
      <c r="C83" s="235" t="s">
        <v>1181</v>
      </c>
      <c r="D83" s="442" t="s">
        <v>1916</v>
      </c>
      <c r="E83" s="238">
        <v>120</v>
      </c>
      <c r="F83" s="292">
        <f>'ведом. 2021-2023'!AD54</f>
        <v>0.4</v>
      </c>
      <c r="G83" s="475"/>
      <c r="H83" s="475">
        <f>'ведом. 2021-2023'!AE54</f>
        <v>0</v>
      </c>
      <c r="I83" s="475"/>
      <c r="J83" s="475">
        <f>'ведом. 2021-2023'!AF54</f>
        <v>0</v>
      </c>
      <c r="K83" s="475"/>
      <c r="L83" s="465"/>
      <c r="N83" s="465"/>
      <c r="O83" s="465"/>
    </row>
    <row r="84" spans="1:15" s="441" customFormat="1" x14ac:dyDescent="0.25">
      <c r="A84" s="523" t="s">
        <v>1781</v>
      </c>
      <c r="B84" s="613" t="s">
        <v>566</v>
      </c>
      <c r="C84" s="235" t="s">
        <v>1181</v>
      </c>
      <c r="D84" s="442" t="s">
        <v>1916</v>
      </c>
      <c r="E84" s="238">
        <v>200</v>
      </c>
      <c r="F84" s="292">
        <f>F85</f>
        <v>6392.2</v>
      </c>
      <c r="G84" s="475"/>
      <c r="H84" s="475">
        <f>H85</f>
        <v>6330.3</v>
      </c>
      <c r="I84" s="475"/>
      <c r="J84" s="475">
        <f>J85</f>
        <v>6330.3</v>
      </c>
      <c r="K84" s="475"/>
      <c r="L84" s="465"/>
      <c r="N84" s="465"/>
      <c r="O84" s="465"/>
    </row>
    <row r="85" spans="1:15" s="441" customFormat="1" ht="31.5" x14ac:dyDescent="0.25">
      <c r="A85" s="523" t="s">
        <v>1273</v>
      </c>
      <c r="B85" s="613" t="s">
        <v>566</v>
      </c>
      <c r="C85" s="235" t="s">
        <v>1181</v>
      </c>
      <c r="D85" s="442" t="s">
        <v>1916</v>
      </c>
      <c r="E85" s="238">
        <v>240</v>
      </c>
      <c r="F85" s="292">
        <f>'ведом. 2021-2023'!AD56</f>
        <v>6392.2</v>
      </c>
      <c r="G85" s="475"/>
      <c r="H85" s="475">
        <f>'ведом. 2021-2023'!AE56</f>
        <v>6330.3</v>
      </c>
      <c r="I85" s="475"/>
      <c r="J85" s="475">
        <f>'ведом. 2021-2023'!AF56</f>
        <v>6330.3</v>
      </c>
      <c r="K85" s="475"/>
      <c r="L85" s="465"/>
      <c r="N85" s="465"/>
      <c r="O85" s="465"/>
    </row>
    <row r="86" spans="1:15" s="513" customFormat="1" x14ac:dyDescent="0.25">
      <c r="A86" s="519" t="s">
        <v>923</v>
      </c>
      <c r="B86" s="613" t="s">
        <v>566</v>
      </c>
      <c r="C86" s="235" t="s">
        <v>1181</v>
      </c>
      <c r="D86" s="442" t="s">
        <v>1916</v>
      </c>
      <c r="E86" s="238">
        <v>800</v>
      </c>
      <c r="F86" s="292">
        <f>F87</f>
        <v>3.4</v>
      </c>
      <c r="G86" s="475"/>
      <c r="H86" s="475">
        <f>H87</f>
        <v>0</v>
      </c>
      <c r="I86" s="475"/>
      <c r="J86" s="475">
        <f>J87</f>
        <v>0</v>
      </c>
      <c r="K86" s="475"/>
      <c r="L86" s="465"/>
      <c r="N86" s="465"/>
      <c r="O86" s="465"/>
    </row>
    <row r="87" spans="1:15" s="513" customFormat="1" x14ac:dyDescent="0.25">
      <c r="A87" s="519" t="s">
        <v>1319</v>
      </c>
      <c r="B87" s="613" t="s">
        <v>566</v>
      </c>
      <c r="C87" s="235" t="s">
        <v>1181</v>
      </c>
      <c r="D87" s="442" t="s">
        <v>1916</v>
      </c>
      <c r="E87" s="238">
        <v>850</v>
      </c>
      <c r="F87" s="292">
        <f>'ведом. 2021-2023'!AD58</f>
        <v>3.4</v>
      </c>
      <c r="G87" s="475"/>
      <c r="H87" s="475">
        <f>'ведом. 2021-2023'!AE58</f>
        <v>0</v>
      </c>
      <c r="I87" s="475"/>
      <c r="J87" s="475">
        <f>'ведом. 2021-2023'!AF58</f>
        <v>0</v>
      </c>
      <c r="K87" s="475"/>
      <c r="L87" s="465"/>
      <c r="N87" s="465"/>
      <c r="O87" s="465"/>
    </row>
    <row r="88" spans="1:15" s="441" customFormat="1" ht="31.5" x14ac:dyDescent="0.25">
      <c r="A88" s="523" t="s">
        <v>1917</v>
      </c>
      <c r="B88" s="613" t="s">
        <v>566</v>
      </c>
      <c r="C88" s="235" t="s">
        <v>1181</v>
      </c>
      <c r="D88" s="442" t="s">
        <v>1918</v>
      </c>
      <c r="E88" s="576"/>
      <c r="F88" s="292">
        <f>F89</f>
        <v>15039.3</v>
      </c>
      <c r="G88" s="475"/>
      <c r="H88" s="475">
        <f>H89</f>
        <v>15039.3</v>
      </c>
      <c r="I88" s="475"/>
      <c r="J88" s="475">
        <f>J89</f>
        <v>15039.3</v>
      </c>
      <c r="K88" s="475"/>
      <c r="L88" s="465"/>
      <c r="N88" s="465"/>
      <c r="O88" s="465"/>
    </row>
    <row r="89" spans="1:15" s="441" customFormat="1" ht="47.25" x14ac:dyDescent="0.25">
      <c r="A89" s="523" t="s">
        <v>921</v>
      </c>
      <c r="B89" s="613" t="s">
        <v>566</v>
      </c>
      <c r="C89" s="235" t="s">
        <v>1181</v>
      </c>
      <c r="D89" s="442" t="s">
        <v>1918</v>
      </c>
      <c r="E89" s="576">
        <v>100</v>
      </c>
      <c r="F89" s="292">
        <f>F90</f>
        <v>15039.3</v>
      </c>
      <c r="G89" s="475"/>
      <c r="H89" s="475">
        <f>H90</f>
        <v>15039.3</v>
      </c>
      <c r="I89" s="475"/>
      <c r="J89" s="475">
        <f>J90</f>
        <v>15039.3</v>
      </c>
      <c r="K89" s="475"/>
      <c r="L89" s="465"/>
      <c r="N89" s="465"/>
      <c r="O89" s="465"/>
    </row>
    <row r="90" spans="1:15" s="441" customFormat="1" x14ac:dyDescent="0.25">
      <c r="A90" s="523" t="s">
        <v>1747</v>
      </c>
      <c r="B90" s="613" t="s">
        <v>566</v>
      </c>
      <c r="C90" s="235" t="s">
        <v>1181</v>
      </c>
      <c r="D90" s="442" t="s">
        <v>1918</v>
      </c>
      <c r="E90" s="238">
        <v>120</v>
      </c>
      <c r="F90" s="292">
        <f>'ведом. 2021-2023'!AD61</f>
        <v>15039.3</v>
      </c>
      <c r="G90" s="475"/>
      <c r="H90" s="475">
        <f>'ведом. 2021-2023'!AE61</f>
        <v>15039.3</v>
      </c>
      <c r="I90" s="475"/>
      <c r="J90" s="475">
        <f>'ведом. 2021-2023'!AF61</f>
        <v>15039.3</v>
      </c>
      <c r="K90" s="475"/>
      <c r="L90" s="465"/>
      <c r="N90" s="465"/>
      <c r="O90" s="465"/>
    </row>
    <row r="91" spans="1:15" s="441" customFormat="1" ht="31.5" x14ac:dyDescent="0.25">
      <c r="A91" s="523" t="s">
        <v>1919</v>
      </c>
      <c r="B91" s="613" t="s">
        <v>566</v>
      </c>
      <c r="C91" s="235" t="s">
        <v>1181</v>
      </c>
      <c r="D91" s="442" t="s">
        <v>1920</v>
      </c>
      <c r="E91" s="576"/>
      <c r="F91" s="292">
        <f>F92</f>
        <v>30623.7</v>
      </c>
      <c r="G91" s="475"/>
      <c r="H91" s="475">
        <f>H92</f>
        <v>30623.7</v>
      </c>
      <c r="I91" s="475"/>
      <c r="J91" s="475">
        <f>J92</f>
        <v>30623.7</v>
      </c>
      <c r="K91" s="475"/>
      <c r="L91" s="465"/>
      <c r="N91" s="465"/>
      <c r="O91" s="465"/>
    </row>
    <row r="92" spans="1:15" s="441" customFormat="1" ht="47.25" x14ac:dyDescent="0.25">
      <c r="A92" s="523" t="s">
        <v>921</v>
      </c>
      <c r="B92" s="613" t="s">
        <v>566</v>
      </c>
      <c r="C92" s="235" t="s">
        <v>1181</v>
      </c>
      <c r="D92" s="442" t="s">
        <v>1920</v>
      </c>
      <c r="E92" s="576">
        <v>100</v>
      </c>
      <c r="F92" s="292">
        <f>F93</f>
        <v>30623.7</v>
      </c>
      <c r="G92" s="475"/>
      <c r="H92" s="475">
        <f>H93</f>
        <v>30623.7</v>
      </c>
      <c r="I92" s="475"/>
      <c r="J92" s="475">
        <f>J93</f>
        <v>30623.7</v>
      </c>
      <c r="K92" s="475"/>
      <c r="L92" s="465"/>
      <c r="N92" s="465"/>
      <c r="O92" s="465"/>
    </row>
    <row r="93" spans="1:15" s="441" customFormat="1" x14ac:dyDescent="0.25">
      <c r="A93" s="523" t="s">
        <v>1747</v>
      </c>
      <c r="B93" s="613" t="s">
        <v>566</v>
      </c>
      <c r="C93" s="235" t="s">
        <v>1181</v>
      </c>
      <c r="D93" s="442" t="s">
        <v>1920</v>
      </c>
      <c r="E93" s="238">
        <v>120</v>
      </c>
      <c r="F93" s="292">
        <f>'ведом. 2021-2023'!AD64</f>
        <v>30623.7</v>
      </c>
      <c r="G93" s="475"/>
      <c r="H93" s="475">
        <f>'ведом. 2021-2023'!AE64</f>
        <v>30623.7</v>
      </c>
      <c r="I93" s="475"/>
      <c r="J93" s="475">
        <f>'ведом. 2021-2023'!AF64</f>
        <v>30623.7</v>
      </c>
      <c r="K93" s="475"/>
      <c r="L93" s="465"/>
      <c r="N93" s="465"/>
      <c r="O93" s="465"/>
    </row>
    <row r="94" spans="1:15" s="441" customFormat="1" ht="31.5" x14ac:dyDescent="0.25">
      <c r="A94" s="520" t="s">
        <v>2102</v>
      </c>
      <c r="B94" s="613" t="s">
        <v>566</v>
      </c>
      <c r="C94" s="235" t="s">
        <v>1181</v>
      </c>
      <c r="D94" s="442" t="s">
        <v>1805</v>
      </c>
      <c r="E94" s="238"/>
      <c r="F94" s="292">
        <f>F95</f>
        <v>8336</v>
      </c>
      <c r="G94" s="475"/>
      <c r="H94" s="475">
        <f>H95</f>
        <v>3332</v>
      </c>
      <c r="I94" s="475"/>
      <c r="J94" s="475">
        <f>J95</f>
        <v>3332</v>
      </c>
      <c r="K94" s="475"/>
      <c r="L94" s="465"/>
      <c r="N94" s="465"/>
      <c r="O94" s="465"/>
    </row>
    <row r="95" spans="1:15" s="441" customFormat="1" ht="47.25" x14ac:dyDescent="0.25">
      <c r="A95" s="520" t="s">
        <v>2103</v>
      </c>
      <c r="B95" s="613" t="s">
        <v>566</v>
      </c>
      <c r="C95" s="235" t="s">
        <v>1181</v>
      </c>
      <c r="D95" s="442" t="s">
        <v>2104</v>
      </c>
      <c r="E95" s="238"/>
      <c r="F95" s="292">
        <f>F96</f>
        <v>8336</v>
      </c>
      <c r="G95" s="475"/>
      <c r="H95" s="475">
        <f>H96</f>
        <v>3332</v>
      </c>
      <c r="I95" s="475"/>
      <c r="J95" s="475">
        <f>J96</f>
        <v>3332</v>
      </c>
      <c r="K95" s="475"/>
      <c r="L95" s="465"/>
      <c r="N95" s="465"/>
      <c r="O95" s="465"/>
    </row>
    <row r="96" spans="1:15" s="441" customFormat="1" ht="31.5" x14ac:dyDescent="0.25">
      <c r="A96" s="528" t="s">
        <v>2105</v>
      </c>
      <c r="B96" s="613" t="s">
        <v>566</v>
      </c>
      <c r="C96" s="235" t="s">
        <v>1181</v>
      </c>
      <c r="D96" s="442" t="s">
        <v>2106</v>
      </c>
      <c r="E96" s="238"/>
      <c r="F96" s="292">
        <f>F97</f>
        <v>8336</v>
      </c>
      <c r="G96" s="475"/>
      <c r="H96" s="475">
        <f>H97</f>
        <v>3332</v>
      </c>
      <c r="I96" s="475"/>
      <c r="J96" s="475">
        <f>J97</f>
        <v>3332</v>
      </c>
      <c r="K96" s="475"/>
      <c r="L96" s="465"/>
      <c r="N96" s="465"/>
      <c r="O96" s="465"/>
    </row>
    <row r="97" spans="1:15" s="441" customFormat="1" ht="94.5" x14ac:dyDescent="0.25">
      <c r="A97" s="528" t="s">
        <v>2242</v>
      </c>
      <c r="B97" s="613" t="s">
        <v>566</v>
      </c>
      <c r="C97" s="235" t="s">
        <v>1181</v>
      </c>
      <c r="D97" s="471" t="s">
        <v>2107</v>
      </c>
      <c r="E97" s="238"/>
      <c r="F97" s="292">
        <f>F98</f>
        <v>8336</v>
      </c>
      <c r="G97" s="475"/>
      <c r="H97" s="475">
        <f>H98</f>
        <v>3332</v>
      </c>
      <c r="I97" s="475"/>
      <c r="J97" s="475">
        <f>J98</f>
        <v>3332</v>
      </c>
      <c r="K97" s="475"/>
      <c r="L97" s="465"/>
      <c r="N97" s="465"/>
      <c r="O97" s="465"/>
    </row>
    <row r="98" spans="1:15" s="441" customFormat="1" x14ac:dyDescent="0.25">
      <c r="A98" s="523" t="s">
        <v>1781</v>
      </c>
      <c r="B98" s="613" t="s">
        <v>566</v>
      </c>
      <c r="C98" s="235" t="s">
        <v>1181</v>
      </c>
      <c r="D98" s="471" t="s">
        <v>2107</v>
      </c>
      <c r="E98" s="238">
        <v>200</v>
      </c>
      <c r="F98" s="292">
        <f>F99</f>
        <v>8336</v>
      </c>
      <c r="G98" s="475"/>
      <c r="H98" s="475">
        <f>H99</f>
        <v>3332</v>
      </c>
      <c r="I98" s="475"/>
      <c r="J98" s="475">
        <f>J99</f>
        <v>3332</v>
      </c>
      <c r="K98" s="475"/>
      <c r="L98" s="465"/>
      <c r="N98" s="465"/>
      <c r="O98" s="465"/>
    </row>
    <row r="99" spans="1:15" s="441" customFormat="1" ht="31.5" x14ac:dyDescent="0.25">
      <c r="A99" s="523" t="s">
        <v>1273</v>
      </c>
      <c r="B99" s="613" t="s">
        <v>566</v>
      </c>
      <c r="C99" s="235" t="s">
        <v>1181</v>
      </c>
      <c r="D99" s="471" t="s">
        <v>2107</v>
      </c>
      <c r="E99" s="238">
        <v>240</v>
      </c>
      <c r="F99" s="292">
        <f>'ведом. 2021-2023'!AD70</f>
        <v>8336</v>
      </c>
      <c r="G99" s="475"/>
      <c r="H99" s="475">
        <f>'ведом. 2021-2023'!AE70</f>
        <v>3332</v>
      </c>
      <c r="I99" s="475"/>
      <c r="J99" s="475">
        <f>'ведом. 2021-2023'!AF70</f>
        <v>3332</v>
      </c>
      <c r="K99" s="475"/>
      <c r="L99" s="465"/>
      <c r="N99" s="465"/>
      <c r="O99" s="465"/>
    </row>
    <row r="100" spans="1:15" s="441" customFormat="1" ht="31.5" x14ac:dyDescent="0.25">
      <c r="A100" s="523" t="s">
        <v>1594</v>
      </c>
      <c r="B100" s="613" t="s">
        <v>566</v>
      </c>
      <c r="C100" s="235" t="s">
        <v>1746</v>
      </c>
      <c r="D100" s="270"/>
      <c r="E100" s="238"/>
      <c r="F100" s="292">
        <f>F107+F128+F122+F101</f>
        <v>24506.400000000001</v>
      </c>
      <c r="G100" s="475"/>
      <c r="H100" s="475">
        <f>H107+H128+H122+H101</f>
        <v>24349.300000000003</v>
      </c>
      <c r="I100" s="475"/>
      <c r="J100" s="475">
        <f>J107+J128+J122+J101</f>
        <v>24349.300000000003</v>
      </c>
      <c r="K100" s="475"/>
      <c r="L100" s="465"/>
      <c r="N100" s="465"/>
      <c r="O100" s="465"/>
    </row>
    <row r="101" spans="1:15" s="513" customFormat="1" x14ac:dyDescent="0.25">
      <c r="A101" s="520" t="s">
        <v>1998</v>
      </c>
      <c r="B101" s="613" t="s">
        <v>566</v>
      </c>
      <c r="C101" s="235" t="s">
        <v>1746</v>
      </c>
      <c r="D101" s="442" t="s">
        <v>1774</v>
      </c>
      <c r="E101" s="576"/>
      <c r="F101" s="292">
        <f t="shared" ref="F101:H105" si="18">F102</f>
        <v>157.1</v>
      </c>
      <c r="G101" s="475"/>
      <c r="H101" s="475">
        <f t="shared" si="18"/>
        <v>0</v>
      </c>
      <c r="I101" s="475"/>
      <c r="J101" s="475">
        <f>J102</f>
        <v>0</v>
      </c>
      <c r="K101" s="475"/>
      <c r="L101" s="465"/>
      <c r="N101" s="465"/>
      <c r="O101" s="465"/>
    </row>
    <row r="102" spans="1:15" s="513" customFormat="1" x14ac:dyDescent="0.25">
      <c r="A102" s="517" t="s">
        <v>2337</v>
      </c>
      <c r="B102" s="613" t="s">
        <v>566</v>
      </c>
      <c r="C102" s="235" t="s">
        <v>1746</v>
      </c>
      <c r="D102" s="442" t="s">
        <v>1801</v>
      </c>
      <c r="E102" s="576"/>
      <c r="F102" s="292">
        <f t="shared" si="18"/>
        <v>157.1</v>
      </c>
      <c r="G102" s="475"/>
      <c r="H102" s="475">
        <f t="shared" si="18"/>
        <v>0</v>
      </c>
      <c r="I102" s="475"/>
      <c r="J102" s="475">
        <f>J103</f>
        <v>0</v>
      </c>
      <c r="K102" s="475"/>
      <c r="L102" s="465"/>
      <c r="N102" s="465"/>
      <c r="O102" s="465"/>
    </row>
    <row r="103" spans="1:15" s="513" customFormat="1" ht="31.5" x14ac:dyDescent="0.25">
      <c r="A103" s="521" t="s">
        <v>2014</v>
      </c>
      <c r="B103" s="613" t="s">
        <v>566</v>
      </c>
      <c r="C103" s="235" t="s">
        <v>1746</v>
      </c>
      <c r="D103" s="442" t="s">
        <v>1802</v>
      </c>
      <c r="E103" s="576"/>
      <c r="F103" s="292">
        <f t="shared" si="18"/>
        <v>157.1</v>
      </c>
      <c r="G103" s="475"/>
      <c r="H103" s="475">
        <f t="shared" si="18"/>
        <v>0</v>
      </c>
      <c r="I103" s="475"/>
      <c r="J103" s="475">
        <f>J104</f>
        <v>0</v>
      </c>
      <c r="K103" s="475"/>
      <c r="L103" s="465"/>
      <c r="N103" s="465"/>
      <c r="O103" s="465"/>
    </row>
    <row r="104" spans="1:15" s="513" customFormat="1" x14ac:dyDescent="0.25">
      <c r="A104" s="521" t="s">
        <v>2015</v>
      </c>
      <c r="B104" s="613" t="s">
        <v>566</v>
      </c>
      <c r="C104" s="235" t="s">
        <v>1746</v>
      </c>
      <c r="D104" s="442" t="s">
        <v>2016</v>
      </c>
      <c r="E104" s="576"/>
      <c r="F104" s="292">
        <f t="shared" si="18"/>
        <v>157.1</v>
      </c>
      <c r="G104" s="475"/>
      <c r="H104" s="475">
        <f t="shared" si="18"/>
        <v>0</v>
      </c>
      <c r="I104" s="475"/>
      <c r="J104" s="475">
        <f>J105</f>
        <v>0</v>
      </c>
      <c r="K104" s="475"/>
      <c r="L104" s="465"/>
      <c r="N104" s="465"/>
      <c r="O104" s="465"/>
    </row>
    <row r="105" spans="1:15" s="513" customFormat="1" x14ac:dyDescent="0.25">
      <c r="A105" s="519" t="s">
        <v>1781</v>
      </c>
      <c r="B105" s="613" t="s">
        <v>566</v>
      </c>
      <c r="C105" s="235" t="s">
        <v>1746</v>
      </c>
      <c r="D105" s="442" t="s">
        <v>2016</v>
      </c>
      <c r="E105" s="238">
        <v>200</v>
      </c>
      <c r="F105" s="292">
        <f t="shared" si="18"/>
        <v>157.1</v>
      </c>
      <c r="G105" s="475"/>
      <c r="H105" s="475">
        <f t="shared" si="18"/>
        <v>0</v>
      </c>
      <c r="I105" s="475"/>
      <c r="J105" s="475">
        <f>J106</f>
        <v>0</v>
      </c>
      <c r="K105" s="475"/>
      <c r="L105" s="465"/>
      <c r="N105" s="465"/>
      <c r="O105" s="465"/>
    </row>
    <row r="106" spans="1:15" s="513" customFormat="1" ht="31.5" x14ac:dyDescent="0.25">
      <c r="A106" s="519" t="s">
        <v>1273</v>
      </c>
      <c r="B106" s="613" t="s">
        <v>566</v>
      </c>
      <c r="C106" s="235" t="s">
        <v>1746</v>
      </c>
      <c r="D106" s="442" t="s">
        <v>2016</v>
      </c>
      <c r="E106" s="238">
        <v>240</v>
      </c>
      <c r="F106" s="292">
        <f>'ведом. 2021-2023'!AD613+'ведом. 2021-2023'!AD1155</f>
        <v>157.1</v>
      </c>
      <c r="G106" s="475"/>
      <c r="H106" s="475">
        <f>'ведом. 2021-2023'!AE613+'ведом. 2021-2023'!AE1155</f>
        <v>0</v>
      </c>
      <c r="I106" s="475"/>
      <c r="J106" s="475">
        <f>'ведом. 2021-2023'!AF1155+'ведом. 2021-2023'!AF614</f>
        <v>0</v>
      </c>
      <c r="K106" s="475"/>
      <c r="L106" s="465"/>
      <c r="N106" s="465"/>
      <c r="O106" s="465"/>
    </row>
    <row r="107" spans="1:15" s="441" customFormat="1" x14ac:dyDescent="0.25">
      <c r="A107" s="520" t="s">
        <v>1898</v>
      </c>
      <c r="B107" s="613" t="s">
        <v>566</v>
      </c>
      <c r="C107" s="235" t="s">
        <v>1746</v>
      </c>
      <c r="D107" s="442" t="s">
        <v>1771</v>
      </c>
      <c r="E107" s="238"/>
      <c r="F107" s="292">
        <f>F108</f>
        <v>17046.900000000001</v>
      </c>
      <c r="G107" s="475"/>
      <c r="H107" s="475">
        <f>H108</f>
        <v>17046.900000000001</v>
      </c>
      <c r="I107" s="475"/>
      <c r="J107" s="475">
        <f>J108</f>
        <v>17046.900000000001</v>
      </c>
      <c r="K107" s="475"/>
      <c r="L107" s="465"/>
      <c r="N107" s="465"/>
      <c r="O107" s="465"/>
    </row>
    <row r="108" spans="1:15" s="441" customFormat="1" x14ac:dyDescent="0.25">
      <c r="A108" s="520" t="s">
        <v>1907</v>
      </c>
      <c r="B108" s="613" t="s">
        <v>566</v>
      </c>
      <c r="C108" s="235" t="s">
        <v>1746</v>
      </c>
      <c r="D108" s="442" t="s">
        <v>1908</v>
      </c>
      <c r="E108" s="238"/>
      <c r="F108" s="292">
        <f>F109</f>
        <v>17046.900000000001</v>
      </c>
      <c r="G108" s="475"/>
      <c r="H108" s="475">
        <f>H109</f>
        <v>17046.900000000001</v>
      </c>
      <c r="I108" s="475"/>
      <c r="J108" s="475">
        <f>J109</f>
        <v>17046.900000000001</v>
      </c>
      <c r="K108" s="475"/>
      <c r="L108" s="465"/>
      <c r="N108" s="465"/>
      <c r="O108" s="465"/>
    </row>
    <row r="109" spans="1:15" s="441" customFormat="1" ht="31.5" x14ac:dyDescent="0.25">
      <c r="A109" s="520" t="s">
        <v>1909</v>
      </c>
      <c r="B109" s="613" t="s">
        <v>566</v>
      </c>
      <c r="C109" s="235" t="s">
        <v>1746</v>
      </c>
      <c r="D109" s="442" t="s">
        <v>1910</v>
      </c>
      <c r="E109" s="238"/>
      <c r="F109" s="292">
        <f>F110</f>
        <v>17046.900000000001</v>
      </c>
      <c r="G109" s="475"/>
      <c r="H109" s="475">
        <f>H110</f>
        <v>17046.900000000001</v>
      </c>
      <c r="I109" s="475"/>
      <c r="J109" s="475">
        <f>J110</f>
        <v>17046.900000000001</v>
      </c>
      <c r="K109" s="475"/>
      <c r="L109" s="465"/>
      <c r="N109" s="465"/>
      <c r="O109" s="465"/>
    </row>
    <row r="110" spans="1:15" s="441" customFormat="1" x14ac:dyDescent="0.25">
      <c r="A110" s="528" t="s">
        <v>1927</v>
      </c>
      <c r="B110" s="613" t="s">
        <v>566</v>
      </c>
      <c r="C110" s="235" t="s">
        <v>1746</v>
      </c>
      <c r="D110" s="471" t="s">
        <v>1928</v>
      </c>
      <c r="E110" s="238"/>
      <c r="F110" s="292">
        <f>F111+F116+F119</f>
        <v>17046.900000000001</v>
      </c>
      <c r="G110" s="475"/>
      <c r="H110" s="475">
        <f>H111+H116+H119</f>
        <v>17046.900000000001</v>
      </c>
      <c r="I110" s="475"/>
      <c r="J110" s="475">
        <f>J111+J116+J119</f>
        <v>17046.900000000001</v>
      </c>
      <c r="K110" s="475"/>
      <c r="L110" s="465"/>
      <c r="N110" s="465"/>
      <c r="O110" s="465"/>
    </row>
    <row r="111" spans="1:15" s="441" customFormat="1" ht="31.5" x14ac:dyDescent="0.25">
      <c r="A111" s="523" t="s">
        <v>1929</v>
      </c>
      <c r="B111" s="613" t="s">
        <v>566</v>
      </c>
      <c r="C111" s="235" t="s">
        <v>1746</v>
      </c>
      <c r="D111" s="471" t="s">
        <v>1930</v>
      </c>
      <c r="E111" s="238"/>
      <c r="F111" s="292">
        <f>F112+F114</f>
        <v>3263.4</v>
      </c>
      <c r="G111" s="475"/>
      <c r="H111" s="475">
        <f>H112+H114</f>
        <v>3263.4</v>
      </c>
      <c r="I111" s="475"/>
      <c r="J111" s="475">
        <f>J112+J114</f>
        <v>3263.4</v>
      </c>
      <c r="K111" s="475"/>
      <c r="L111" s="465"/>
      <c r="N111" s="465"/>
      <c r="O111" s="465"/>
    </row>
    <row r="112" spans="1:15" s="441" customFormat="1" x14ac:dyDescent="0.25">
      <c r="A112" s="523" t="s">
        <v>1781</v>
      </c>
      <c r="B112" s="613" t="s">
        <v>566</v>
      </c>
      <c r="C112" s="235" t="s">
        <v>1746</v>
      </c>
      <c r="D112" s="471" t="s">
        <v>1930</v>
      </c>
      <c r="E112" s="238">
        <v>200</v>
      </c>
      <c r="F112" s="292">
        <f>F113</f>
        <v>3263.3</v>
      </c>
      <c r="G112" s="475"/>
      <c r="H112" s="475">
        <f>H113</f>
        <v>3263.4</v>
      </c>
      <c r="I112" s="475"/>
      <c r="J112" s="475">
        <f>J113</f>
        <v>3263.4</v>
      </c>
      <c r="K112" s="475"/>
      <c r="L112" s="465"/>
      <c r="N112" s="465"/>
      <c r="O112" s="465"/>
    </row>
    <row r="113" spans="1:15" s="441" customFormat="1" ht="31.5" x14ac:dyDescent="0.25">
      <c r="A113" s="523" t="s">
        <v>1273</v>
      </c>
      <c r="B113" s="613" t="s">
        <v>566</v>
      </c>
      <c r="C113" s="235" t="s">
        <v>1746</v>
      </c>
      <c r="D113" s="471" t="s">
        <v>1930</v>
      </c>
      <c r="E113" s="238">
        <v>240</v>
      </c>
      <c r="F113" s="292">
        <f>'ведом. 2021-2023'!AD621</f>
        <v>3263.3</v>
      </c>
      <c r="G113" s="475"/>
      <c r="H113" s="475">
        <f>'ведом. 2021-2023'!AE621</f>
        <v>3263.4</v>
      </c>
      <c r="I113" s="475"/>
      <c r="J113" s="475">
        <f>'ведом. 2021-2023'!AF621</f>
        <v>3263.4</v>
      </c>
      <c r="K113" s="475"/>
      <c r="L113" s="465"/>
      <c r="N113" s="465"/>
      <c r="O113" s="465"/>
    </row>
    <row r="114" spans="1:15" s="513" customFormat="1" x14ac:dyDescent="0.25">
      <c r="A114" s="519" t="s">
        <v>923</v>
      </c>
      <c r="B114" s="613" t="s">
        <v>566</v>
      </c>
      <c r="C114" s="235" t="s">
        <v>1746</v>
      </c>
      <c r="D114" s="471" t="s">
        <v>1930</v>
      </c>
      <c r="E114" s="238">
        <v>800</v>
      </c>
      <c r="F114" s="292">
        <f>F115</f>
        <v>0.1</v>
      </c>
      <c r="G114" s="475"/>
      <c r="H114" s="475">
        <f>H115</f>
        <v>0</v>
      </c>
      <c r="I114" s="475"/>
      <c r="J114" s="475">
        <f>J115</f>
        <v>0</v>
      </c>
      <c r="K114" s="475"/>
      <c r="L114" s="465"/>
      <c r="N114" s="465"/>
      <c r="O114" s="465"/>
    </row>
    <row r="115" spans="1:15" s="513" customFormat="1" x14ac:dyDescent="0.25">
      <c r="A115" s="519" t="s">
        <v>1319</v>
      </c>
      <c r="B115" s="613" t="s">
        <v>566</v>
      </c>
      <c r="C115" s="235" t="s">
        <v>1746</v>
      </c>
      <c r="D115" s="471" t="s">
        <v>1930</v>
      </c>
      <c r="E115" s="238">
        <v>850</v>
      </c>
      <c r="F115" s="292">
        <f>'ведом. 2021-2023'!AD623</f>
        <v>0.1</v>
      </c>
      <c r="G115" s="475"/>
      <c r="H115" s="475">
        <v>0</v>
      </c>
      <c r="I115" s="475"/>
      <c r="J115" s="475">
        <v>0</v>
      </c>
      <c r="K115" s="475"/>
      <c r="L115" s="465"/>
      <c r="N115" s="465"/>
      <c r="O115" s="465"/>
    </row>
    <row r="116" spans="1:15" s="441" customFormat="1" ht="31.5" x14ac:dyDescent="0.25">
      <c r="A116" s="523" t="s">
        <v>1934</v>
      </c>
      <c r="B116" s="613" t="s">
        <v>566</v>
      </c>
      <c r="C116" s="235" t="s">
        <v>1746</v>
      </c>
      <c r="D116" s="249" t="str">
        <f>D117</f>
        <v>12 5 01 00162</v>
      </c>
      <c r="E116" s="238"/>
      <c r="F116" s="292">
        <f>F118</f>
        <v>7844.7</v>
      </c>
      <c r="G116" s="475"/>
      <c r="H116" s="475">
        <f>H118</f>
        <v>7844.7</v>
      </c>
      <c r="I116" s="475"/>
      <c r="J116" s="475">
        <f>J118</f>
        <v>7844.7</v>
      </c>
      <c r="K116" s="475"/>
      <c r="L116" s="465"/>
      <c r="N116" s="465"/>
      <c r="O116" s="465"/>
    </row>
    <row r="117" spans="1:15" s="441" customFormat="1" ht="47.25" x14ac:dyDescent="0.25">
      <c r="A117" s="523" t="s">
        <v>921</v>
      </c>
      <c r="B117" s="613" t="s">
        <v>566</v>
      </c>
      <c r="C117" s="235" t="s">
        <v>1746</v>
      </c>
      <c r="D117" s="249" t="str">
        <f>D118</f>
        <v>12 5 01 00162</v>
      </c>
      <c r="E117" s="238">
        <v>100</v>
      </c>
      <c r="F117" s="292">
        <f>F118</f>
        <v>7844.7</v>
      </c>
      <c r="G117" s="475"/>
      <c r="H117" s="475">
        <f>H118</f>
        <v>7844.7</v>
      </c>
      <c r="I117" s="475"/>
      <c r="J117" s="475">
        <f>J118</f>
        <v>7844.7</v>
      </c>
      <c r="K117" s="475"/>
      <c r="L117" s="465"/>
      <c r="N117" s="465"/>
      <c r="O117" s="465"/>
    </row>
    <row r="118" spans="1:15" s="441" customFormat="1" x14ac:dyDescent="0.25">
      <c r="A118" s="523" t="s">
        <v>1747</v>
      </c>
      <c r="B118" s="613" t="s">
        <v>566</v>
      </c>
      <c r="C118" s="235" t="s">
        <v>1746</v>
      </c>
      <c r="D118" s="471" t="s">
        <v>1931</v>
      </c>
      <c r="E118" s="238">
        <v>120</v>
      </c>
      <c r="F118" s="292">
        <f>'ведом. 2021-2023'!AD626</f>
        <v>7844.7</v>
      </c>
      <c r="G118" s="475"/>
      <c r="H118" s="475">
        <f>'ведом. 2021-2023'!AE626</f>
        <v>7844.7</v>
      </c>
      <c r="I118" s="475"/>
      <c r="J118" s="475">
        <f>'ведом. 2021-2023'!AF626</f>
        <v>7844.7</v>
      </c>
      <c r="K118" s="475"/>
      <c r="L118" s="465"/>
      <c r="N118" s="465"/>
      <c r="O118" s="465"/>
    </row>
    <row r="119" spans="1:15" s="441" customFormat="1" ht="31.5" x14ac:dyDescent="0.25">
      <c r="A119" s="523" t="s">
        <v>1933</v>
      </c>
      <c r="B119" s="613" t="s">
        <v>566</v>
      </c>
      <c r="C119" s="235" t="s">
        <v>1746</v>
      </c>
      <c r="D119" s="249" t="str">
        <f>D120</f>
        <v>12 5 01 00163</v>
      </c>
      <c r="E119" s="238"/>
      <c r="F119" s="292">
        <f>F120</f>
        <v>5938.8</v>
      </c>
      <c r="G119" s="475"/>
      <c r="H119" s="475">
        <f>H120</f>
        <v>5938.8</v>
      </c>
      <c r="I119" s="475"/>
      <c r="J119" s="475">
        <f>J120</f>
        <v>5938.8</v>
      </c>
      <c r="K119" s="475"/>
      <c r="L119" s="465"/>
      <c r="N119" s="465"/>
      <c r="O119" s="465"/>
    </row>
    <row r="120" spans="1:15" s="441" customFormat="1" ht="47.25" x14ac:dyDescent="0.25">
      <c r="A120" s="523" t="s">
        <v>921</v>
      </c>
      <c r="B120" s="613" t="s">
        <v>566</v>
      </c>
      <c r="C120" s="235" t="s">
        <v>1746</v>
      </c>
      <c r="D120" s="249" t="str">
        <f>D121</f>
        <v>12 5 01 00163</v>
      </c>
      <c r="E120" s="238">
        <v>100</v>
      </c>
      <c r="F120" s="292">
        <f>F121</f>
        <v>5938.8</v>
      </c>
      <c r="G120" s="475"/>
      <c r="H120" s="475">
        <f>H121</f>
        <v>5938.8</v>
      </c>
      <c r="I120" s="475"/>
      <c r="J120" s="475">
        <f>J121</f>
        <v>5938.8</v>
      </c>
      <c r="K120" s="475"/>
      <c r="L120" s="465"/>
      <c r="N120" s="465"/>
      <c r="O120" s="465"/>
    </row>
    <row r="121" spans="1:15" s="441" customFormat="1" x14ac:dyDescent="0.25">
      <c r="A121" s="523" t="s">
        <v>1747</v>
      </c>
      <c r="B121" s="613" t="s">
        <v>566</v>
      </c>
      <c r="C121" s="235" t="s">
        <v>1746</v>
      </c>
      <c r="D121" s="471" t="s">
        <v>1932</v>
      </c>
      <c r="E121" s="238">
        <v>120</v>
      </c>
      <c r="F121" s="292">
        <f>'ведом. 2021-2023'!AD629</f>
        <v>5938.8</v>
      </c>
      <c r="G121" s="475"/>
      <c r="H121" s="475">
        <f>'ведом. 2021-2023'!AE629</f>
        <v>5938.8</v>
      </c>
      <c r="I121" s="475"/>
      <c r="J121" s="475">
        <f>'ведом. 2021-2023'!AF629</f>
        <v>5938.8</v>
      </c>
      <c r="K121" s="475"/>
      <c r="L121" s="465"/>
      <c r="N121" s="465"/>
      <c r="O121" s="465"/>
    </row>
    <row r="122" spans="1:15" s="441" customFormat="1" ht="31.5" x14ac:dyDescent="0.25">
      <c r="A122" s="520" t="s">
        <v>2102</v>
      </c>
      <c r="B122" s="613" t="s">
        <v>566</v>
      </c>
      <c r="C122" s="235" t="s">
        <v>1746</v>
      </c>
      <c r="D122" s="442" t="s">
        <v>1805</v>
      </c>
      <c r="E122" s="238"/>
      <c r="F122" s="292">
        <f>F123</f>
        <v>15.5</v>
      </c>
      <c r="G122" s="475"/>
      <c r="H122" s="475">
        <f>H123</f>
        <v>15.5</v>
      </c>
      <c r="I122" s="475"/>
      <c r="J122" s="475">
        <f>J123</f>
        <v>15.5</v>
      </c>
      <c r="K122" s="475"/>
      <c r="L122" s="465"/>
      <c r="N122" s="465"/>
      <c r="O122" s="465"/>
    </row>
    <row r="123" spans="1:15" s="441" customFormat="1" ht="47.25" x14ac:dyDescent="0.25">
      <c r="A123" s="520" t="s">
        <v>2103</v>
      </c>
      <c r="B123" s="613" t="s">
        <v>566</v>
      </c>
      <c r="C123" s="235" t="s">
        <v>1746</v>
      </c>
      <c r="D123" s="442" t="s">
        <v>2104</v>
      </c>
      <c r="E123" s="238"/>
      <c r="F123" s="292">
        <f>F124</f>
        <v>15.5</v>
      </c>
      <c r="G123" s="475"/>
      <c r="H123" s="475">
        <f>H124</f>
        <v>15.5</v>
      </c>
      <c r="I123" s="475"/>
      <c r="J123" s="475">
        <f>J124</f>
        <v>15.5</v>
      </c>
      <c r="K123" s="475"/>
      <c r="L123" s="465"/>
      <c r="N123" s="465"/>
      <c r="O123" s="465"/>
    </row>
    <row r="124" spans="1:15" s="441" customFormat="1" ht="31.5" x14ac:dyDescent="0.25">
      <c r="A124" s="528" t="s">
        <v>2105</v>
      </c>
      <c r="B124" s="613" t="s">
        <v>566</v>
      </c>
      <c r="C124" s="235" t="s">
        <v>1746</v>
      </c>
      <c r="D124" s="442" t="s">
        <v>2106</v>
      </c>
      <c r="E124" s="238"/>
      <c r="F124" s="292">
        <f>F125</f>
        <v>15.5</v>
      </c>
      <c r="G124" s="475"/>
      <c r="H124" s="475">
        <f>H125</f>
        <v>15.5</v>
      </c>
      <c r="I124" s="475"/>
      <c r="J124" s="475">
        <f>J125</f>
        <v>15.5</v>
      </c>
      <c r="K124" s="475"/>
      <c r="L124" s="465"/>
      <c r="N124" s="465"/>
      <c r="O124" s="465"/>
    </row>
    <row r="125" spans="1:15" s="441" customFormat="1" ht="94.5" x14ac:dyDescent="0.25">
      <c r="A125" s="528" t="s">
        <v>2242</v>
      </c>
      <c r="B125" s="613" t="s">
        <v>566</v>
      </c>
      <c r="C125" s="235" t="s">
        <v>1746</v>
      </c>
      <c r="D125" s="471" t="s">
        <v>2107</v>
      </c>
      <c r="E125" s="238"/>
      <c r="F125" s="292">
        <f>F126</f>
        <v>15.5</v>
      </c>
      <c r="G125" s="475"/>
      <c r="H125" s="475">
        <f>H126</f>
        <v>15.5</v>
      </c>
      <c r="I125" s="475"/>
      <c r="J125" s="475">
        <f>J126</f>
        <v>15.5</v>
      </c>
      <c r="K125" s="475"/>
      <c r="L125" s="465"/>
      <c r="N125" s="465"/>
      <c r="O125" s="465"/>
    </row>
    <row r="126" spans="1:15" s="441" customFormat="1" x14ac:dyDescent="0.25">
      <c r="A126" s="523" t="s">
        <v>1781</v>
      </c>
      <c r="B126" s="613" t="s">
        <v>566</v>
      </c>
      <c r="C126" s="235" t="s">
        <v>1746</v>
      </c>
      <c r="D126" s="471" t="s">
        <v>2107</v>
      </c>
      <c r="E126" s="238">
        <v>200</v>
      </c>
      <c r="F126" s="292">
        <f>F127</f>
        <v>15.5</v>
      </c>
      <c r="G126" s="475"/>
      <c r="H126" s="475">
        <f>H127</f>
        <v>15.5</v>
      </c>
      <c r="I126" s="475"/>
      <c r="J126" s="475">
        <f>J127</f>
        <v>15.5</v>
      </c>
      <c r="K126" s="475"/>
      <c r="L126" s="465"/>
      <c r="N126" s="465"/>
      <c r="O126" s="465"/>
    </row>
    <row r="127" spans="1:15" s="441" customFormat="1" ht="31.5" x14ac:dyDescent="0.25">
      <c r="A127" s="523" t="s">
        <v>1273</v>
      </c>
      <c r="B127" s="613" t="s">
        <v>566</v>
      </c>
      <c r="C127" s="235" t="s">
        <v>1746</v>
      </c>
      <c r="D127" s="471" t="s">
        <v>2107</v>
      </c>
      <c r="E127" s="238">
        <v>240</v>
      </c>
      <c r="F127" s="292">
        <f>'ведом. 2021-2023'!AD1161+'ведом. 2021-2023'!AD635</f>
        <v>15.5</v>
      </c>
      <c r="G127" s="475"/>
      <c r="H127" s="475">
        <f>'ведом. 2021-2023'!AE1161+'ведом. 2021-2023'!AE635</f>
        <v>15.5</v>
      </c>
      <c r="I127" s="475"/>
      <c r="J127" s="475">
        <f>'ведом. 2021-2023'!AF1161+'ведом. 2021-2023'!AF635</f>
        <v>15.5</v>
      </c>
      <c r="K127" s="475"/>
      <c r="L127" s="465"/>
      <c r="N127" s="465"/>
      <c r="O127" s="465"/>
    </row>
    <row r="128" spans="1:15" s="441" customFormat="1" ht="31.5" x14ac:dyDescent="0.25">
      <c r="A128" s="520" t="s">
        <v>2048</v>
      </c>
      <c r="B128" s="613" t="s">
        <v>566</v>
      </c>
      <c r="C128" s="235" t="s">
        <v>1746</v>
      </c>
      <c r="D128" s="442" t="s">
        <v>1756</v>
      </c>
      <c r="E128" s="238"/>
      <c r="F128" s="292">
        <f>F129+F132</f>
        <v>7286.9</v>
      </c>
      <c r="G128" s="475"/>
      <c r="H128" s="475">
        <f>H129+H132</f>
        <v>7286.9</v>
      </c>
      <c r="I128" s="475"/>
      <c r="J128" s="475">
        <f>J129+J132</f>
        <v>7286.9</v>
      </c>
      <c r="K128" s="475"/>
      <c r="L128" s="465"/>
      <c r="N128" s="465"/>
      <c r="O128" s="465"/>
    </row>
    <row r="129" spans="1:15" s="441" customFormat="1" x14ac:dyDescent="0.25">
      <c r="A129" s="528" t="s">
        <v>2045</v>
      </c>
      <c r="B129" s="613" t="s">
        <v>566</v>
      </c>
      <c r="C129" s="235" t="s">
        <v>1746</v>
      </c>
      <c r="D129" s="442" t="s">
        <v>2055</v>
      </c>
      <c r="E129" s="593"/>
      <c r="F129" s="292">
        <f>F130</f>
        <v>2069</v>
      </c>
      <c r="G129" s="475"/>
      <c r="H129" s="475">
        <f>H130</f>
        <v>1880</v>
      </c>
      <c r="I129" s="475"/>
      <c r="J129" s="475">
        <f>J130</f>
        <v>1880</v>
      </c>
      <c r="K129" s="475"/>
      <c r="L129" s="465"/>
      <c r="N129" s="465"/>
      <c r="O129" s="465"/>
    </row>
    <row r="130" spans="1:15" s="441" customFormat="1" ht="47.25" x14ac:dyDescent="0.25">
      <c r="A130" s="523" t="s">
        <v>921</v>
      </c>
      <c r="B130" s="613" t="s">
        <v>566</v>
      </c>
      <c r="C130" s="235" t="s">
        <v>1746</v>
      </c>
      <c r="D130" s="442" t="s">
        <v>2055</v>
      </c>
      <c r="E130" s="238">
        <v>100</v>
      </c>
      <c r="F130" s="292">
        <f>F131</f>
        <v>2069</v>
      </c>
      <c r="G130" s="475"/>
      <c r="H130" s="475">
        <f>H131</f>
        <v>1880</v>
      </c>
      <c r="I130" s="475"/>
      <c r="J130" s="475">
        <f>J131</f>
        <v>1880</v>
      </c>
      <c r="K130" s="475"/>
      <c r="L130" s="465"/>
      <c r="N130" s="465"/>
      <c r="O130" s="465"/>
    </row>
    <row r="131" spans="1:15" s="441" customFormat="1" x14ac:dyDescent="0.25">
      <c r="A131" s="523" t="s">
        <v>1747</v>
      </c>
      <c r="B131" s="613" t="s">
        <v>566</v>
      </c>
      <c r="C131" s="235" t="s">
        <v>1746</v>
      </c>
      <c r="D131" s="442" t="s">
        <v>2055</v>
      </c>
      <c r="E131" s="238">
        <v>120</v>
      </c>
      <c r="F131" s="292">
        <f>'ведом. 2021-2023'!AD1165</f>
        <v>2069</v>
      </c>
      <c r="G131" s="475"/>
      <c r="H131" s="475">
        <f>'ведом. 2021-2023'!AE1165</f>
        <v>1880</v>
      </c>
      <c r="I131" s="475"/>
      <c r="J131" s="475">
        <f>'ведом. 2021-2023'!AF1165</f>
        <v>1880</v>
      </c>
      <c r="K131" s="475"/>
      <c r="L131" s="465"/>
      <c r="N131" s="465"/>
      <c r="O131" s="465"/>
    </row>
    <row r="132" spans="1:15" s="441" customFormat="1" x14ac:dyDescent="0.25">
      <c r="A132" s="528" t="s">
        <v>2046</v>
      </c>
      <c r="B132" s="613" t="s">
        <v>566</v>
      </c>
      <c r="C132" s="235" t="s">
        <v>1746</v>
      </c>
      <c r="D132" s="442" t="s">
        <v>2047</v>
      </c>
      <c r="E132" s="238"/>
      <c r="F132" s="292">
        <f>F133+F138+F141</f>
        <v>5217.8999999999996</v>
      </c>
      <c r="G132" s="475"/>
      <c r="H132" s="475">
        <f>H133+H138+H141</f>
        <v>5406.9</v>
      </c>
      <c r="I132" s="475"/>
      <c r="J132" s="475">
        <f>J133+J138+J141</f>
        <v>5406.9</v>
      </c>
      <c r="K132" s="475"/>
      <c r="L132" s="465"/>
      <c r="N132" s="465"/>
      <c r="O132" s="465"/>
    </row>
    <row r="133" spans="1:15" s="441" customFormat="1" x14ac:dyDescent="0.25">
      <c r="A133" s="523" t="s">
        <v>2049</v>
      </c>
      <c r="B133" s="613" t="s">
        <v>566</v>
      </c>
      <c r="C133" s="235" t="s">
        <v>1746</v>
      </c>
      <c r="D133" s="442" t="s">
        <v>2050</v>
      </c>
      <c r="E133" s="238"/>
      <c r="F133" s="292">
        <f>F134+F136</f>
        <v>862.1</v>
      </c>
      <c r="G133" s="292"/>
      <c r="H133" s="292">
        <f t="shared" ref="H133:J133" si="19">H134+H136</f>
        <v>988.1</v>
      </c>
      <c r="I133" s="292"/>
      <c r="J133" s="292">
        <f t="shared" si="19"/>
        <v>988.1</v>
      </c>
      <c r="K133" s="475"/>
      <c r="L133" s="465"/>
      <c r="N133" s="465"/>
      <c r="O133" s="465"/>
    </row>
    <row r="134" spans="1:15" s="441" customFormat="1" x14ac:dyDescent="0.25">
      <c r="A134" s="523" t="s">
        <v>1781</v>
      </c>
      <c r="B134" s="613" t="s">
        <v>566</v>
      </c>
      <c r="C134" s="235" t="s">
        <v>1746</v>
      </c>
      <c r="D134" s="442" t="s">
        <v>2050</v>
      </c>
      <c r="E134" s="238">
        <v>200</v>
      </c>
      <c r="F134" s="292">
        <f>F135</f>
        <v>847.9</v>
      </c>
      <c r="G134" s="475"/>
      <c r="H134" s="475">
        <f>H135</f>
        <v>988.1</v>
      </c>
      <c r="I134" s="475"/>
      <c r="J134" s="475">
        <f>J135</f>
        <v>988.1</v>
      </c>
      <c r="K134" s="475"/>
      <c r="L134" s="465"/>
      <c r="N134" s="465"/>
      <c r="O134" s="465"/>
    </row>
    <row r="135" spans="1:15" s="441" customFormat="1" ht="31.5" x14ac:dyDescent="0.25">
      <c r="A135" s="523" t="s">
        <v>1273</v>
      </c>
      <c r="B135" s="613" t="s">
        <v>566</v>
      </c>
      <c r="C135" s="235" t="s">
        <v>1746</v>
      </c>
      <c r="D135" s="442" t="s">
        <v>2050</v>
      </c>
      <c r="E135" s="238">
        <v>240</v>
      </c>
      <c r="F135" s="292">
        <f>'ведом. 2021-2023'!AD1169</f>
        <v>847.9</v>
      </c>
      <c r="G135" s="475"/>
      <c r="H135" s="475">
        <f>'ведом. 2021-2023'!AE1169</f>
        <v>988.1</v>
      </c>
      <c r="I135" s="475"/>
      <c r="J135" s="475">
        <f>'ведом. 2021-2023'!AF1169</f>
        <v>988.1</v>
      </c>
      <c r="K135" s="475"/>
      <c r="L135" s="465"/>
      <c r="N135" s="465"/>
      <c r="O135" s="465"/>
    </row>
    <row r="136" spans="1:15" s="513" customFormat="1" x14ac:dyDescent="0.25">
      <c r="A136" s="519" t="s">
        <v>923</v>
      </c>
      <c r="B136" s="613" t="s">
        <v>566</v>
      </c>
      <c r="C136" s="235" t="s">
        <v>1746</v>
      </c>
      <c r="D136" s="442" t="s">
        <v>2050</v>
      </c>
      <c r="E136" s="238">
        <v>800</v>
      </c>
      <c r="F136" s="292">
        <f>F137</f>
        <v>14.2</v>
      </c>
      <c r="G136" s="292"/>
      <c r="H136" s="292">
        <f t="shared" ref="H136:J136" si="20">H137</f>
        <v>0</v>
      </c>
      <c r="I136" s="292"/>
      <c r="J136" s="292">
        <f t="shared" si="20"/>
        <v>0</v>
      </c>
      <c r="K136" s="475"/>
      <c r="L136" s="465"/>
      <c r="N136" s="465"/>
      <c r="O136" s="465"/>
    </row>
    <row r="137" spans="1:15" s="513" customFormat="1" x14ac:dyDescent="0.25">
      <c r="A137" s="519" t="s">
        <v>1319</v>
      </c>
      <c r="B137" s="613" t="s">
        <v>566</v>
      </c>
      <c r="C137" s="235" t="s">
        <v>1746</v>
      </c>
      <c r="D137" s="442" t="s">
        <v>2050</v>
      </c>
      <c r="E137" s="238">
        <v>850</v>
      </c>
      <c r="F137" s="292">
        <f>'ведом. 2021-2023'!AD1171</f>
        <v>14.2</v>
      </c>
      <c r="G137" s="475"/>
      <c r="H137" s="475">
        <f>'ведом. 2021-2023'!AE1171</f>
        <v>0</v>
      </c>
      <c r="I137" s="475"/>
      <c r="J137" s="475">
        <f>'ведом. 2021-2023'!AF1171</f>
        <v>0</v>
      </c>
      <c r="K137" s="475"/>
      <c r="L137" s="465"/>
      <c r="N137" s="465"/>
      <c r="O137" s="465"/>
    </row>
    <row r="138" spans="1:15" s="441" customFormat="1" ht="31.5" x14ac:dyDescent="0.25">
      <c r="A138" s="523" t="s">
        <v>2051</v>
      </c>
      <c r="B138" s="613" t="s">
        <v>566</v>
      </c>
      <c r="C138" s="235" t="s">
        <v>1746</v>
      </c>
      <c r="D138" s="442" t="s">
        <v>2052</v>
      </c>
      <c r="E138" s="238"/>
      <c r="F138" s="292">
        <f>F139</f>
        <v>1560.2</v>
      </c>
      <c r="G138" s="475"/>
      <c r="H138" s="475">
        <f>H139</f>
        <v>1411.2</v>
      </c>
      <c r="I138" s="475"/>
      <c r="J138" s="475">
        <f>J139</f>
        <v>1411.2</v>
      </c>
      <c r="K138" s="475"/>
      <c r="L138" s="465"/>
      <c r="N138" s="465"/>
      <c r="O138" s="465"/>
    </row>
    <row r="139" spans="1:15" s="441" customFormat="1" ht="47.25" x14ac:dyDescent="0.25">
      <c r="A139" s="523" t="s">
        <v>921</v>
      </c>
      <c r="B139" s="613" t="s">
        <v>566</v>
      </c>
      <c r="C139" s="235" t="s">
        <v>1746</v>
      </c>
      <c r="D139" s="442" t="s">
        <v>2052</v>
      </c>
      <c r="E139" s="238">
        <v>100</v>
      </c>
      <c r="F139" s="292">
        <f>F140</f>
        <v>1560.2</v>
      </c>
      <c r="G139" s="475"/>
      <c r="H139" s="475">
        <f>H140</f>
        <v>1411.2</v>
      </c>
      <c r="I139" s="475"/>
      <c r="J139" s="475">
        <f>J140</f>
        <v>1411.2</v>
      </c>
      <c r="K139" s="475"/>
      <c r="L139" s="465"/>
      <c r="N139" s="465"/>
      <c r="O139" s="465"/>
    </row>
    <row r="140" spans="1:15" s="441" customFormat="1" x14ac:dyDescent="0.25">
      <c r="A140" s="523" t="s">
        <v>1747</v>
      </c>
      <c r="B140" s="613" t="s">
        <v>566</v>
      </c>
      <c r="C140" s="235" t="s">
        <v>1746</v>
      </c>
      <c r="D140" s="442" t="s">
        <v>2052</v>
      </c>
      <c r="E140" s="238">
        <v>120</v>
      </c>
      <c r="F140" s="292">
        <f>'ведом. 2021-2023'!AD1174</f>
        <v>1560.2</v>
      </c>
      <c r="G140" s="475"/>
      <c r="H140" s="475">
        <f>'ведом. 2021-2023'!AE1174</f>
        <v>1411.2</v>
      </c>
      <c r="I140" s="475"/>
      <c r="J140" s="475">
        <f>'ведом. 2021-2023'!AF1174</f>
        <v>1411.2</v>
      </c>
      <c r="K140" s="475"/>
      <c r="L140" s="465"/>
      <c r="N140" s="465"/>
      <c r="O140" s="465"/>
    </row>
    <row r="141" spans="1:15" s="441" customFormat="1" ht="31.5" x14ac:dyDescent="0.25">
      <c r="A141" s="523" t="s">
        <v>2054</v>
      </c>
      <c r="B141" s="613" t="s">
        <v>566</v>
      </c>
      <c r="C141" s="235" t="s">
        <v>1746</v>
      </c>
      <c r="D141" s="442" t="s">
        <v>2053</v>
      </c>
      <c r="E141" s="238"/>
      <c r="F141" s="292">
        <f>F142</f>
        <v>2795.6</v>
      </c>
      <c r="G141" s="475"/>
      <c r="H141" s="475">
        <f>H142</f>
        <v>3007.6</v>
      </c>
      <c r="I141" s="475"/>
      <c r="J141" s="475">
        <f>J142</f>
        <v>3007.6</v>
      </c>
      <c r="K141" s="475"/>
      <c r="L141" s="465"/>
      <c r="N141" s="465"/>
      <c r="O141" s="465"/>
    </row>
    <row r="142" spans="1:15" s="441" customFormat="1" ht="47.25" x14ac:dyDescent="0.25">
      <c r="A142" s="523" t="s">
        <v>921</v>
      </c>
      <c r="B142" s="613" t="s">
        <v>566</v>
      </c>
      <c r="C142" s="235" t="s">
        <v>1746</v>
      </c>
      <c r="D142" s="442" t="s">
        <v>2053</v>
      </c>
      <c r="E142" s="238">
        <v>100</v>
      </c>
      <c r="F142" s="292">
        <f>F143</f>
        <v>2795.6</v>
      </c>
      <c r="G142" s="475"/>
      <c r="H142" s="475">
        <f>H143</f>
        <v>3007.6</v>
      </c>
      <c r="I142" s="475"/>
      <c r="J142" s="475">
        <f>J143</f>
        <v>3007.6</v>
      </c>
      <c r="K142" s="475"/>
      <c r="L142" s="465"/>
      <c r="N142" s="465"/>
      <c r="O142" s="465"/>
    </row>
    <row r="143" spans="1:15" s="441" customFormat="1" x14ac:dyDescent="0.25">
      <c r="A143" s="523" t="s">
        <v>1747</v>
      </c>
      <c r="B143" s="613" t="s">
        <v>566</v>
      </c>
      <c r="C143" s="235" t="s">
        <v>1746</v>
      </c>
      <c r="D143" s="442" t="s">
        <v>2053</v>
      </c>
      <c r="E143" s="238">
        <v>120</v>
      </c>
      <c r="F143" s="292">
        <f>'ведом. 2021-2023'!AD1177</f>
        <v>2795.6</v>
      </c>
      <c r="G143" s="475"/>
      <c r="H143" s="475">
        <f>'ведом. 2021-2023'!AE1177</f>
        <v>3007.6</v>
      </c>
      <c r="I143" s="475"/>
      <c r="J143" s="475">
        <f>'ведом. 2021-2023'!AF1177</f>
        <v>3007.6</v>
      </c>
      <c r="K143" s="475"/>
      <c r="L143" s="465"/>
      <c r="N143" s="465"/>
      <c r="O143" s="465"/>
    </row>
    <row r="144" spans="1:15" s="441" customFormat="1" x14ac:dyDescent="0.25">
      <c r="A144" s="523" t="s">
        <v>937</v>
      </c>
      <c r="B144" s="613" t="s">
        <v>566</v>
      </c>
      <c r="C144" s="235" t="s">
        <v>205</v>
      </c>
      <c r="D144" s="249"/>
      <c r="E144" s="238"/>
      <c r="F144" s="292">
        <f>F145+F151</f>
        <v>4405</v>
      </c>
      <c r="G144" s="475"/>
      <c r="H144" s="475">
        <f>H145+H151</f>
        <v>4405</v>
      </c>
      <c r="I144" s="475"/>
      <c r="J144" s="475">
        <f>J145+J151</f>
        <v>4405</v>
      </c>
      <c r="K144" s="475"/>
      <c r="L144" s="465"/>
      <c r="N144" s="465"/>
      <c r="O144" s="465"/>
    </row>
    <row r="145" spans="1:15" s="441" customFormat="1" ht="31.5" x14ac:dyDescent="0.25">
      <c r="A145" s="520" t="s">
        <v>2102</v>
      </c>
      <c r="B145" s="613" t="s">
        <v>566</v>
      </c>
      <c r="C145" s="235" t="s">
        <v>205</v>
      </c>
      <c r="D145" s="442" t="s">
        <v>1805</v>
      </c>
      <c r="E145" s="238"/>
      <c r="F145" s="292">
        <f>F146</f>
        <v>1</v>
      </c>
      <c r="G145" s="475"/>
      <c r="H145" s="475">
        <f>H146</f>
        <v>1</v>
      </c>
      <c r="I145" s="475"/>
      <c r="J145" s="475">
        <f>J146</f>
        <v>1</v>
      </c>
      <c r="K145" s="475"/>
      <c r="L145" s="465"/>
      <c r="N145" s="465"/>
      <c r="O145" s="465"/>
    </row>
    <row r="146" spans="1:15" s="441" customFormat="1" ht="47.25" x14ac:dyDescent="0.25">
      <c r="A146" s="520" t="s">
        <v>2103</v>
      </c>
      <c r="B146" s="613" t="s">
        <v>566</v>
      </c>
      <c r="C146" s="235" t="s">
        <v>205</v>
      </c>
      <c r="D146" s="442" t="s">
        <v>2104</v>
      </c>
      <c r="E146" s="238"/>
      <c r="F146" s="292">
        <f>F147</f>
        <v>1</v>
      </c>
      <c r="G146" s="475"/>
      <c r="H146" s="475">
        <f>H147</f>
        <v>1</v>
      </c>
      <c r="I146" s="475"/>
      <c r="J146" s="475">
        <f>J147</f>
        <v>1</v>
      </c>
      <c r="K146" s="475"/>
      <c r="L146" s="465"/>
      <c r="N146" s="465"/>
      <c r="O146" s="465"/>
    </row>
    <row r="147" spans="1:15" s="441" customFormat="1" ht="31.5" x14ac:dyDescent="0.25">
      <c r="A147" s="528" t="s">
        <v>2105</v>
      </c>
      <c r="B147" s="613" t="s">
        <v>566</v>
      </c>
      <c r="C147" s="235" t="s">
        <v>205</v>
      </c>
      <c r="D147" s="442" t="s">
        <v>2106</v>
      </c>
      <c r="E147" s="238"/>
      <c r="F147" s="292">
        <f>F148</f>
        <v>1</v>
      </c>
      <c r="G147" s="475"/>
      <c r="H147" s="475">
        <f>H148</f>
        <v>1</v>
      </c>
      <c r="I147" s="475"/>
      <c r="J147" s="475">
        <f>J148</f>
        <v>1</v>
      </c>
      <c r="K147" s="475"/>
      <c r="L147" s="465"/>
      <c r="N147" s="465"/>
      <c r="O147" s="465"/>
    </row>
    <row r="148" spans="1:15" s="441" customFormat="1" ht="94.5" x14ac:dyDescent="0.25">
      <c r="A148" s="528" t="s">
        <v>2242</v>
      </c>
      <c r="B148" s="613" t="s">
        <v>566</v>
      </c>
      <c r="C148" s="235" t="s">
        <v>205</v>
      </c>
      <c r="D148" s="471" t="s">
        <v>2107</v>
      </c>
      <c r="E148" s="238"/>
      <c r="F148" s="292">
        <f>F149</f>
        <v>1</v>
      </c>
      <c r="G148" s="475"/>
      <c r="H148" s="475">
        <f>H149</f>
        <v>1</v>
      </c>
      <c r="I148" s="475"/>
      <c r="J148" s="475">
        <f>J149</f>
        <v>1</v>
      </c>
      <c r="K148" s="475"/>
      <c r="L148" s="465"/>
      <c r="N148" s="465"/>
      <c r="O148" s="465"/>
    </row>
    <row r="149" spans="1:15" s="441" customFormat="1" x14ac:dyDescent="0.25">
      <c r="A149" s="523" t="s">
        <v>1781</v>
      </c>
      <c r="B149" s="613" t="s">
        <v>566</v>
      </c>
      <c r="C149" s="235" t="s">
        <v>205</v>
      </c>
      <c r="D149" s="471" t="s">
        <v>2107</v>
      </c>
      <c r="E149" s="238">
        <v>200</v>
      </c>
      <c r="F149" s="292">
        <f>F150</f>
        <v>1</v>
      </c>
      <c r="G149" s="475"/>
      <c r="H149" s="475">
        <f>H150</f>
        <v>1</v>
      </c>
      <c r="I149" s="475"/>
      <c r="J149" s="475">
        <f>J150</f>
        <v>1</v>
      </c>
      <c r="K149" s="475"/>
      <c r="L149" s="465"/>
      <c r="N149" s="465"/>
      <c r="O149" s="465"/>
    </row>
    <row r="150" spans="1:15" s="441" customFormat="1" ht="31.5" x14ac:dyDescent="0.25">
      <c r="A150" s="523" t="s">
        <v>1273</v>
      </c>
      <c r="B150" s="613" t="s">
        <v>566</v>
      </c>
      <c r="C150" s="235" t="s">
        <v>205</v>
      </c>
      <c r="D150" s="471" t="s">
        <v>2107</v>
      </c>
      <c r="E150" s="238">
        <v>240</v>
      </c>
      <c r="F150" s="292">
        <f>'ведом. 2021-2023'!AD1194</f>
        <v>1</v>
      </c>
      <c r="G150" s="475"/>
      <c r="H150" s="475">
        <f>'ведом. 2021-2023'!AE1194</f>
        <v>1</v>
      </c>
      <c r="I150" s="475"/>
      <c r="J150" s="475">
        <f>'ведом. 2021-2023'!AF1194</f>
        <v>1</v>
      </c>
      <c r="K150" s="475"/>
      <c r="L150" s="465"/>
      <c r="N150" s="465"/>
      <c r="O150" s="465"/>
    </row>
    <row r="151" spans="1:15" s="441" customFormat="1" ht="31.5" x14ac:dyDescent="0.25">
      <c r="A151" s="520" t="s">
        <v>2048</v>
      </c>
      <c r="B151" s="613" t="s">
        <v>566</v>
      </c>
      <c r="C151" s="235" t="s">
        <v>205</v>
      </c>
      <c r="D151" s="442" t="s">
        <v>1756</v>
      </c>
      <c r="E151" s="238"/>
      <c r="F151" s="292">
        <f>F152</f>
        <v>4404</v>
      </c>
      <c r="G151" s="475"/>
      <c r="H151" s="475">
        <f>H152</f>
        <v>4404</v>
      </c>
      <c r="I151" s="475"/>
      <c r="J151" s="475">
        <f>J152</f>
        <v>4404</v>
      </c>
      <c r="K151" s="475"/>
      <c r="L151" s="465"/>
      <c r="N151" s="465"/>
      <c r="O151" s="465"/>
    </row>
    <row r="152" spans="1:15" s="441" customFormat="1" x14ac:dyDescent="0.25">
      <c r="A152" s="528" t="s">
        <v>2056</v>
      </c>
      <c r="B152" s="613" t="s">
        <v>566</v>
      </c>
      <c r="C152" s="235" t="s">
        <v>205</v>
      </c>
      <c r="D152" s="442" t="s">
        <v>2057</v>
      </c>
      <c r="E152" s="238"/>
      <c r="F152" s="292">
        <f>F153+F156+F159</f>
        <v>4404</v>
      </c>
      <c r="G152" s="475"/>
      <c r="H152" s="475">
        <f>H153+H156+H159</f>
        <v>4404</v>
      </c>
      <c r="I152" s="475"/>
      <c r="J152" s="475">
        <f>J153+J156+J159</f>
        <v>4404</v>
      </c>
      <c r="K152" s="475"/>
      <c r="L152" s="465"/>
      <c r="N152" s="465"/>
      <c r="O152" s="465"/>
    </row>
    <row r="153" spans="1:15" s="441" customFormat="1" ht="31.5" x14ac:dyDescent="0.25">
      <c r="A153" s="523" t="s">
        <v>2058</v>
      </c>
      <c r="B153" s="613" t="s">
        <v>566</v>
      </c>
      <c r="C153" s="235" t="s">
        <v>205</v>
      </c>
      <c r="D153" s="442" t="s">
        <v>2059</v>
      </c>
      <c r="E153" s="238"/>
      <c r="F153" s="292">
        <f>F154</f>
        <v>415.1</v>
      </c>
      <c r="G153" s="475"/>
      <c r="H153" s="475">
        <f>H154</f>
        <v>415.1</v>
      </c>
      <c r="I153" s="475"/>
      <c r="J153" s="475">
        <f>J154</f>
        <v>415.1</v>
      </c>
      <c r="K153" s="475"/>
      <c r="L153" s="465"/>
      <c r="N153" s="465"/>
      <c r="O153" s="465"/>
    </row>
    <row r="154" spans="1:15" s="441" customFormat="1" x14ac:dyDescent="0.25">
      <c r="A154" s="523" t="s">
        <v>1781</v>
      </c>
      <c r="B154" s="613" t="s">
        <v>566</v>
      </c>
      <c r="C154" s="235" t="s">
        <v>205</v>
      </c>
      <c r="D154" s="442" t="s">
        <v>2059</v>
      </c>
      <c r="E154" s="238">
        <v>200</v>
      </c>
      <c r="F154" s="292">
        <f>F155</f>
        <v>415.1</v>
      </c>
      <c r="G154" s="475"/>
      <c r="H154" s="475">
        <f>H155</f>
        <v>415.1</v>
      </c>
      <c r="I154" s="475"/>
      <c r="J154" s="475">
        <f>J155</f>
        <v>415.1</v>
      </c>
      <c r="K154" s="475"/>
      <c r="L154" s="465"/>
      <c r="N154" s="465"/>
      <c r="O154" s="465"/>
    </row>
    <row r="155" spans="1:15" s="441" customFormat="1" ht="31.5" x14ac:dyDescent="0.25">
      <c r="A155" s="523" t="s">
        <v>1273</v>
      </c>
      <c r="B155" s="613" t="s">
        <v>566</v>
      </c>
      <c r="C155" s="235" t="s">
        <v>205</v>
      </c>
      <c r="D155" s="442" t="s">
        <v>2059</v>
      </c>
      <c r="E155" s="238">
        <v>240</v>
      </c>
      <c r="F155" s="292">
        <f>'ведом. 2021-2023'!AD1199</f>
        <v>415.1</v>
      </c>
      <c r="G155" s="475"/>
      <c r="H155" s="475">
        <f>'ведом. 2021-2023'!AE1199</f>
        <v>415.1</v>
      </c>
      <c r="I155" s="475"/>
      <c r="J155" s="475">
        <f>'ведом. 2021-2023'!AF1199</f>
        <v>415.1</v>
      </c>
      <c r="K155" s="475"/>
      <c r="L155" s="465"/>
      <c r="N155" s="465"/>
      <c r="O155" s="465"/>
    </row>
    <row r="156" spans="1:15" s="441" customFormat="1" ht="47.25" x14ac:dyDescent="0.25">
      <c r="A156" s="514" t="s">
        <v>2256</v>
      </c>
      <c r="B156" s="613" t="s">
        <v>566</v>
      </c>
      <c r="C156" s="235" t="s">
        <v>205</v>
      </c>
      <c r="D156" s="442" t="s">
        <v>2060</v>
      </c>
      <c r="E156" s="238"/>
      <c r="F156" s="292">
        <f>F157</f>
        <v>1879.2</v>
      </c>
      <c r="G156" s="475"/>
      <c r="H156" s="475">
        <f>H157</f>
        <v>1879.2</v>
      </c>
      <c r="I156" s="475"/>
      <c r="J156" s="475">
        <f>J157</f>
        <v>1879.2</v>
      </c>
      <c r="K156" s="475"/>
      <c r="L156" s="465"/>
      <c r="N156" s="465"/>
      <c r="O156" s="465"/>
    </row>
    <row r="157" spans="1:15" s="441" customFormat="1" ht="47.25" x14ac:dyDescent="0.25">
      <c r="A157" s="523" t="s">
        <v>921</v>
      </c>
      <c r="B157" s="613" t="s">
        <v>566</v>
      </c>
      <c r="C157" s="235" t="s">
        <v>205</v>
      </c>
      <c r="D157" s="442" t="s">
        <v>2060</v>
      </c>
      <c r="E157" s="238">
        <v>100</v>
      </c>
      <c r="F157" s="292">
        <f>F158</f>
        <v>1879.2</v>
      </c>
      <c r="G157" s="475"/>
      <c r="H157" s="475">
        <f>H158</f>
        <v>1879.2</v>
      </c>
      <c r="I157" s="475"/>
      <c r="J157" s="475">
        <f>J158</f>
        <v>1879.2</v>
      </c>
      <c r="K157" s="475"/>
      <c r="L157" s="465"/>
      <c r="N157" s="465"/>
      <c r="O157" s="465"/>
    </row>
    <row r="158" spans="1:15" s="441" customFormat="1" x14ac:dyDescent="0.25">
      <c r="A158" s="523" t="s">
        <v>1747</v>
      </c>
      <c r="B158" s="613" t="s">
        <v>566</v>
      </c>
      <c r="C158" s="235" t="s">
        <v>205</v>
      </c>
      <c r="D158" s="442" t="s">
        <v>2060</v>
      </c>
      <c r="E158" s="238">
        <v>120</v>
      </c>
      <c r="F158" s="292">
        <f>'ведом. 2021-2023'!AD1202</f>
        <v>1879.2</v>
      </c>
      <c r="G158" s="475"/>
      <c r="H158" s="475">
        <f>'ведом. 2021-2023'!AE1202</f>
        <v>1879.2</v>
      </c>
      <c r="I158" s="475"/>
      <c r="J158" s="475">
        <f>'ведом. 2021-2023'!AF1202</f>
        <v>1879.2</v>
      </c>
      <c r="K158" s="475"/>
      <c r="L158" s="465"/>
      <c r="N158" s="465"/>
      <c r="O158" s="465"/>
    </row>
    <row r="159" spans="1:15" s="441" customFormat="1" ht="47.25" x14ac:dyDescent="0.25">
      <c r="A159" s="527" t="s">
        <v>2061</v>
      </c>
      <c r="B159" s="613" t="s">
        <v>566</v>
      </c>
      <c r="C159" s="235" t="s">
        <v>205</v>
      </c>
      <c r="D159" s="442" t="s">
        <v>2062</v>
      </c>
      <c r="E159" s="238"/>
      <c r="F159" s="292">
        <f>F160</f>
        <v>2109.6999999999998</v>
      </c>
      <c r="G159" s="475"/>
      <c r="H159" s="475">
        <f>H160</f>
        <v>2109.6999999999998</v>
      </c>
      <c r="I159" s="475"/>
      <c r="J159" s="475">
        <f>J160</f>
        <v>2109.6999999999998</v>
      </c>
      <c r="K159" s="475"/>
      <c r="L159" s="465"/>
      <c r="N159" s="465"/>
      <c r="O159" s="465"/>
    </row>
    <row r="160" spans="1:15" s="441" customFormat="1" ht="47.25" x14ac:dyDescent="0.25">
      <c r="A160" s="523" t="s">
        <v>921</v>
      </c>
      <c r="B160" s="613" t="s">
        <v>566</v>
      </c>
      <c r="C160" s="235" t="s">
        <v>205</v>
      </c>
      <c r="D160" s="442" t="s">
        <v>2062</v>
      </c>
      <c r="E160" s="238">
        <v>100</v>
      </c>
      <c r="F160" s="292">
        <f>F161</f>
        <v>2109.6999999999998</v>
      </c>
      <c r="G160" s="475"/>
      <c r="H160" s="475">
        <f>H161</f>
        <v>2109.6999999999998</v>
      </c>
      <c r="I160" s="475"/>
      <c r="J160" s="475">
        <f>J161</f>
        <v>2109.6999999999998</v>
      </c>
      <c r="K160" s="475"/>
      <c r="L160" s="465"/>
      <c r="N160" s="465"/>
      <c r="O160" s="465"/>
    </row>
    <row r="161" spans="1:15" s="441" customFormat="1" x14ac:dyDescent="0.25">
      <c r="A161" s="523" t="s">
        <v>1747</v>
      </c>
      <c r="B161" s="613" t="s">
        <v>566</v>
      </c>
      <c r="C161" s="235" t="s">
        <v>205</v>
      </c>
      <c r="D161" s="442" t="s">
        <v>2062</v>
      </c>
      <c r="E161" s="238">
        <v>120</v>
      </c>
      <c r="F161" s="292">
        <f>'ведом. 2021-2023'!AD1205</f>
        <v>2109.6999999999998</v>
      </c>
      <c r="G161" s="475"/>
      <c r="H161" s="475">
        <f>'ведом. 2021-2023'!AE1205</f>
        <v>2109.6999999999998</v>
      </c>
      <c r="I161" s="475"/>
      <c r="J161" s="475">
        <f>'ведом. 2021-2023'!AF1205</f>
        <v>2109.6999999999998</v>
      </c>
      <c r="K161" s="475"/>
      <c r="L161" s="465"/>
      <c r="N161" s="465"/>
      <c r="O161" s="465"/>
    </row>
    <row r="162" spans="1:15" s="441" customFormat="1" x14ac:dyDescent="0.25">
      <c r="A162" s="523" t="s">
        <v>39</v>
      </c>
      <c r="B162" s="613" t="s">
        <v>566</v>
      </c>
      <c r="C162" s="235">
        <v>11</v>
      </c>
      <c r="D162" s="270"/>
      <c r="E162" s="238"/>
      <c r="F162" s="292">
        <f>F163</f>
        <v>3058.7999999999993</v>
      </c>
      <c r="G162" s="475"/>
      <c r="H162" s="475">
        <f>H163</f>
        <v>1050.9000000000001</v>
      </c>
      <c r="I162" s="475"/>
      <c r="J162" s="475">
        <f>J163</f>
        <v>6929</v>
      </c>
      <c r="K162" s="475"/>
      <c r="L162" s="465"/>
      <c r="N162" s="465"/>
      <c r="O162" s="465"/>
    </row>
    <row r="163" spans="1:15" s="441" customFormat="1" x14ac:dyDescent="0.25">
      <c r="A163" s="523" t="s">
        <v>2194</v>
      </c>
      <c r="B163" s="613" t="s">
        <v>566</v>
      </c>
      <c r="C163" s="235">
        <v>11</v>
      </c>
      <c r="D163" s="249" t="s">
        <v>1815</v>
      </c>
      <c r="E163" s="238"/>
      <c r="F163" s="292">
        <f>F164+F167</f>
        <v>3058.7999999999993</v>
      </c>
      <c r="G163" s="475"/>
      <c r="H163" s="475">
        <f>H164+H167</f>
        <v>1050.9000000000001</v>
      </c>
      <c r="I163" s="475"/>
      <c r="J163" s="475">
        <f>J164+J167</f>
        <v>6929</v>
      </c>
      <c r="K163" s="475"/>
      <c r="L163" s="465"/>
      <c r="N163" s="465"/>
      <c r="O163" s="465"/>
    </row>
    <row r="164" spans="1:15" s="441" customFormat="1" x14ac:dyDescent="0.25">
      <c r="A164" s="528" t="s">
        <v>2131</v>
      </c>
      <c r="B164" s="613" t="s">
        <v>566</v>
      </c>
      <c r="C164" s="235">
        <v>11</v>
      </c>
      <c r="D164" s="442" t="s">
        <v>2132</v>
      </c>
      <c r="E164" s="238"/>
      <c r="F164" s="292">
        <f>F165</f>
        <v>1647.7999999999993</v>
      </c>
      <c r="G164" s="475"/>
      <c r="H164" s="475">
        <f>H165</f>
        <v>0</v>
      </c>
      <c r="I164" s="475"/>
      <c r="J164" s="475">
        <f>J165</f>
        <v>5518</v>
      </c>
      <c r="K164" s="475"/>
      <c r="L164" s="465"/>
      <c r="N164" s="465"/>
      <c r="O164" s="465"/>
    </row>
    <row r="165" spans="1:15" s="441" customFormat="1" x14ac:dyDescent="0.25">
      <c r="A165" s="523" t="s">
        <v>923</v>
      </c>
      <c r="B165" s="613" t="s">
        <v>566</v>
      </c>
      <c r="C165" s="235">
        <v>11</v>
      </c>
      <c r="D165" s="442" t="s">
        <v>2132</v>
      </c>
      <c r="E165" s="238">
        <v>800</v>
      </c>
      <c r="F165" s="292">
        <f>F166</f>
        <v>1647.7999999999993</v>
      </c>
      <c r="G165" s="475"/>
      <c r="H165" s="475">
        <f>H166</f>
        <v>0</v>
      </c>
      <c r="I165" s="475"/>
      <c r="J165" s="475">
        <f>J166</f>
        <v>5518</v>
      </c>
      <c r="K165" s="475"/>
      <c r="L165" s="465"/>
      <c r="N165" s="465"/>
      <c r="O165" s="465"/>
    </row>
    <row r="166" spans="1:15" s="441" customFormat="1" x14ac:dyDescent="0.25">
      <c r="A166" s="523" t="s">
        <v>1814</v>
      </c>
      <c r="B166" s="613" t="s">
        <v>566</v>
      </c>
      <c r="C166" s="235">
        <v>11</v>
      </c>
      <c r="D166" s="442" t="s">
        <v>2132</v>
      </c>
      <c r="E166" s="238">
        <v>870</v>
      </c>
      <c r="F166" s="292">
        <f>'ведом. 2021-2023'!AD75</f>
        <v>1647.7999999999993</v>
      </c>
      <c r="G166" s="475"/>
      <c r="H166" s="475">
        <f>'ведом. 2021-2023'!AE75</f>
        <v>0</v>
      </c>
      <c r="I166" s="475"/>
      <c r="J166" s="475">
        <f>'ведом. 2021-2023'!AF75</f>
        <v>5518</v>
      </c>
      <c r="K166" s="475"/>
      <c r="L166" s="465"/>
      <c r="N166" s="465"/>
      <c r="O166" s="465"/>
    </row>
    <row r="167" spans="1:15" s="441" customFormat="1" ht="31.5" x14ac:dyDescent="0.25">
      <c r="A167" s="528" t="s">
        <v>2157</v>
      </c>
      <c r="B167" s="613" t="s">
        <v>566</v>
      </c>
      <c r="C167" s="235">
        <v>11</v>
      </c>
      <c r="D167" s="442" t="s">
        <v>2158</v>
      </c>
      <c r="E167" s="238"/>
      <c r="F167" s="292">
        <f>F168</f>
        <v>1411</v>
      </c>
      <c r="G167" s="475"/>
      <c r="H167" s="475">
        <f>H168</f>
        <v>1050.9000000000001</v>
      </c>
      <c r="I167" s="475"/>
      <c r="J167" s="475">
        <f>J168</f>
        <v>1411</v>
      </c>
      <c r="K167" s="475"/>
      <c r="L167" s="465"/>
      <c r="N167" s="465"/>
      <c r="O167" s="465"/>
    </row>
    <row r="168" spans="1:15" s="441" customFormat="1" x14ac:dyDescent="0.25">
      <c r="A168" s="523" t="s">
        <v>923</v>
      </c>
      <c r="B168" s="613" t="s">
        <v>566</v>
      </c>
      <c r="C168" s="235">
        <v>11</v>
      </c>
      <c r="D168" s="442" t="s">
        <v>2158</v>
      </c>
      <c r="E168" s="238">
        <v>800</v>
      </c>
      <c r="F168" s="292">
        <f>F169</f>
        <v>1411</v>
      </c>
      <c r="G168" s="475"/>
      <c r="H168" s="475">
        <f>H169</f>
        <v>1050.9000000000001</v>
      </c>
      <c r="I168" s="475"/>
      <c r="J168" s="475">
        <f>J169</f>
        <v>1411</v>
      </c>
      <c r="K168" s="475"/>
      <c r="L168" s="465"/>
      <c r="N168" s="465"/>
      <c r="O168" s="465"/>
    </row>
    <row r="169" spans="1:15" s="441" customFormat="1" x14ac:dyDescent="0.25">
      <c r="A169" s="523" t="s">
        <v>1814</v>
      </c>
      <c r="B169" s="613" t="s">
        <v>566</v>
      </c>
      <c r="C169" s="235">
        <v>11</v>
      </c>
      <c r="D169" s="442" t="s">
        <v>2158</v>
      </c>
      <c r="E169" s="238">
        <v>870</v>
      </c>
      <c r="F169" s="292">
        <f>'ведом. 2021-2023'!AD78</f>
        <v>1411</v>
      </c>
      <c r="G169" s="475"/>
      <c r="H169" s="475">
        <f>'ведом. 2021-2023'!AE78</f>
        <v>1050.9000000000001</v>
      </c>
      <c r="I169" s="475"/>
      <c r="J169" s="475">
        <f>'ведом. 2021-2023'!AF78</f>
        <v>1411</v>
      </c>
      <c r="K169" s="475"/>
      <c r="L169" s="465"/>
      <c r="N169" s="465"/>
      <c r="O169" s="465"/>
    </row>
    <row r="170" spans="1:15" s="441" customFormat="1" x14ac:dyDescent="0.25">
      <c r="A170" s="523" t="s">
        <v>287</v>
      </c>
      <c r="B170" s="613" t="s">
        <v>566</v>
      </c>
      <c r="C170" s="235">
        <v>13</v>
      </c>
      <c r="D170" s="270"/>
      <c r="E170" s="238"/>
      <c r="F170" s="292">
        <f t="shared" ref="F170:K170" si="21">F177+F239+F254+F264+F171</f>
        <v>171447.5</v>
      </c>
      <c r="G170" s="475">
        <f t="shared" si="21"/>
        <v>1436</v>
      </c>
      <c r="H170" s="475">
        <f t="shared" si="21"/>
        <v>112447.6</v>
      </c>
      <c r="I170" s="475">
        <f t="shared" si="21"/>
        <v>916</v>
      </c>
      <c r="J170" s="475">
        <f t="shared" si="21"/>
        <v>104594.20000000001</v>
      </c>
      <c r="K170" s="475">
        <f t="shared" si="21"/>
        <v>532</v>
      </c>
      <c r="L170" s="465"/>
      <c r="N170" s="465"/>
      <c r="O170" s="465"/>
    </row>
    <row r="171" spans="1:15" s="513" customFormat="1" x14ac:dyDescent="0.25">
      <c r="A171" s="520" t="s">
        <v>1998</v>
      </c>
      <c r="B171" s="613" t="s">
        <v>566</v>
      </c>
      <c r="C171" s="235">
        <v>13</v>
      </c>
      <c r="D171" s="442" t="s">
        <v>1774</v>
      </c>
      <c r="E171" s="576"/>
      <c r="F171" s="292">
        <f>F172</f>
        <v>0</v>
      </c>
      <c r="G171" s="475"/>
      <c r="H171" s="475">
        <f>H172</f>
        <v>374</v>
      </c>
      <c r="I171" s="475"/>
      <c r="J171" s="475">
        <f>J172</f>
        <v>0</v>
      </c>
      <c r="K171" s="475"/>
      <c r="L171" s="465"/>
      <c r="N171" s="465"/>
      <c r="O171" s="465"/>
    </row>
    <row r="172" spans="1:15" s="513" customFormat="1" x14ac:dyDescent="0.25">
      <c r="A172" s="517" t="s">
        <v>2337</v>
      </c>
      <c r="B172" s="613" t="s">
        <v>566</v>
      </c>
      <c r="C172" s="235">
        <v>13</v>
      </c>
      <c r="D172" s="442" t="s">
        <v>1801</v>
      </c>
      <c r="E172" s="576"/>
      <c r="F172" s="292">
        <f>F173</f>
        <v>0</v>
      </c>
      <c r="G172" s="475"/>
      <c r="H172" s="475">
        <f>H173</f>
        <v>374</v>
      </c>
      <c r="I172" s="475"/>
      <c r="J172" s="475">
        <f>J173</f>
        <v>0</v>
      </c>
      <c r="K172" s="475"/>
      <c r="L172" s="465"/>
      <c r="N172" s="465"/>
      <c r="O172" s="465"/>
    </row>
    <row r="173" spans="1:15" s="513" customFormat="1" ht="31.5" x14ac:dyDescent="0.25">
      <c r="A173" s="521" t="s">
        <v>2014</v>
      </c>
      <c r="B173" s="613" t="s">
        <v>566</v>
      </c>
      <c r="C173" s="235">
        <v>13</v>
      </c>
      <c r="D173" s="442" t="s">
        <v>1802</v>
      </c>
      <c r="E173" s="576"/>
      <c r="F173" s="292">
        <f>F174</f>
        <v>0</v>
      </c>
      <c r="G173" s="475"/>
      <c r="H173" s="475">
        <f>H174</f>
        <v>374</v>
      </c>
      <c r="I173" s="475"/>
      <c r="J173" s="475">
        <f>J174</f>
        <v>0</v>
      </c>
      <c r="K173" s="475"/>
      <c r="L173" s="465"/>
      <c r="N173" s="465"/>
      <c r="O173" s="465"/>
    </row>
    <row r="174" spans="1:15" s="513" customFormat="1" x14ac:dyDescent="0.25">
      <c r="A174" s="521" t="s">
        <v>2015</v>
      </c>
      <c r="B174" s="613" t="s">
        <v>566</v>
      </c>
      <c r="C174" s="235">
        <v>13</v>
      </c>
      <c r="D174" s="442" t="s">
        <v>2016</v>
      </c>
      <c r="E174" s="576"/>
      <c r="F174" s="292">
        <f>F175</f>
        <v>0</v>
      </c>
      <c r="G174" s="475"/>
      <c r="H174" s="475">
        <f>H175</f>
        <v>374</v>
      </c>
      <c r="I174" s="475"/>
      <c r="J174" s="475">
        <f>J175</f>
        <v>0</v>
      </c>
      <c r="K174" s="475"/>
      <c r="L174" s="465"/>
      <c r="N174" s="465"/>
      <c r="O174" s="465"/>
    </row>
    <row r="175" spans="1:15" s="513" customFormat="1" x14ac:dyDescent="0.25">
      <c r="A175" s="519" t="s">
        <v>1781</v>
      </c>
      <c r="B175" s="613" t="s">
        <v>566</v>
      </c>
      <c r="C175" s="235">
        <v>13</v>
      </c>
      <c r="D175" s="442" t="s">
        <v>2016</v>
      </c>
      <c r="E175" s="238">
        <v>200</v>
      </c>
      <c r="F175" s="292">
        <f>F176</f>
        <v>0</v>
      </c>
      <c r="G175" s="475"/>
      <c r="H175" s="475">
        <f>H176</f>
        <v>374</v>
      </c>
      <c r="I175" s="475"/>
      <c r="J175" s="475">
        <f>J176</f>
        <v>0</v>
      </c>
      <c r="K175" s="475"/>
      <c r="L175" s="465"/>
      <c r="N175" s="465"/>
      <c r="O175" s="465"/>
    </row>
    <row r="176" spans="1:15" s="513" customFormat="1" ht="31.5" x14ac:dyDescent="0.25">
      <c r="A176" s="519" t="s">
        <v>1273</v>
      </c>
      <c r="B176" s="613" t="s">
        <v>566</v>
      </c>
      <c r="C176" s="235">
        <v>13</v>
      </c>
      <c r="D176" s="442" t="s">
        <v>2016</v>
      </c>
      <c r="E176" s="238">
        <v>240</v>
      </c>
      <c r="F176" s="292">
        <f>'ведом. 2021-2023'!AD85</f>
        <v>0</v>
      </c>
      <c r="G176" s="475"/>
      <c r="H176" s="475">
        <f>'ведом. 2021-2023'!AE85+'ведом. 2021-2023'!AE652</f>
        <v>374</v>
      </c>
      <c r="I176" s="475"/>
      <c r="J176" s="475">
        <f>'ведом. 2021-2023'!AF85+'ведом. 2021-2023'!AF652</f>
        <v>0</v>
      </c>
      <c r="K176" s="475"/>
      <c r="L176" s="465"/>
      <c r="N176" s="465"/>
      <c r="O176" s="465"/>
    </row>
    <row r="177" spans="1:15" s="441" customFormat="1" x14ac:dyDescent="0.25">
      <c r="A177" s="520" t="s">
        <v>1898</v>
      </c>
      <c r="B177" s="613" t="s">
        <v>566</v>
      </c>
      <c r="C177" s="235">
        <v>13</v>
      </c>
      <c r="D177" s="442" t="s">
        <v>1771</v>
      </c>
      <c r="E177" s="238"/>
      <c r="F177" s="292">
        <f t="shared" ref="F177:K177" si="22">F178+F209</f>
        <v>128171.09999999999</v>
      </c>
      <c r="G177" s="475">
        <f t="shared" si="22"/>
        <v>492</v>
      </c>
      <c r="H177" s="475">
        <f t="shared" si="22"/>
        <v>85224.6</v>
      </c>
      <c r="I177" s="475">
        <f t="shared" si="22"/>
        <v>492</v>
      </c>
      <c r="J177" s="475">
        <f t="shared" si="22"/>
        <v>78129.200000000012</v>
      </c>
      <c r="K177" s="475">
        <f t="shared" si="22"/>
        <v>492</v>
      </c>
      <c r="L177" s="465"/>
      <c r="N177" s="465"/>
      <c r="O177" s="465"/>
    </row>
    <row r="178" spans="1:15" s="441" customFormat="1" x14ac:dyDescent="0.25">
      <c r="A178" s="520" t="s">
        <v>1893</v>
      </c>
      <c r="B178" s="613" t="s">
        <v>566</v>
      </c>
      <c r="C178" s="235">
        <v>13</v>
      </c>
      <c r="D178" s="442" t="s">
        <v>1772</v>
      </c>
      <c r="E178" s="238"/>
      <c r="F178" s="292">
        <f t="shared" ref="F178:K178" si="23">F179+F188+F194</f>
        <v>47675.7</v>
      </c>
      <c r="G178" s="475">
        <f t="shared" si="23"/>
        <v>492</v>
      </c>
      <c r="H178" s="475">
        <f t="shared" si="23"/>
        <v>26510.3</v>
      </c>
      <c r="I178" s="475">
        <f t="shared" si="23"/>
        <v>492</v>
      </c>
      <c r="J178" s="475">
        <f t="shared" si="23"/>
        <v>29414.9</v>
      </c>
      <c r="K178" s="475">
        <f t="shared" si="23"/>
        <v>492</v>
      </c>
      <c r="L178" s="465"/>
      <c r="N178" s="465"/>
      <c r="O178" s="465"/>
    </row>
    <row r="179" spans="1:15" s="441" customFormat="1" ht="31.5" x14ac:dyDescent="0.25">
      <c r="A179" s="521" t="s">
        <v>1894</v>
      </c>
      <c r="B179" s="613" t="s">
        <v>566</v>
      </c>
      <c r="C179" s="235">
        <v>13</v>
      </c>
      <c r="D179" s="442" t="s">
        <v>1895</v>
      </c>
      <c r="E179" s="238"/>
      <c r="F179" s="292">
        <f>F180</f>
        <v>30414.600000000002</v>
      </c>
      <c r="G179" s="475"/>
      <c r="H179" s="475">
        <f>H180</f>
        <v>9352</v>
      </c>
      <c r="I179" s="475"/>
      <c r="J179" s="475">
        <f>J180</f>
        <v>12256.6</v>
      </c>
      <c r="K179" s="475"/>
      <c r="L179" s="465"/>
      <c r="N179" s="465"/>
      <c r="O179" s="465"/>
    </row>
    <row r="180" spans="1:15" s="441" customFormat="1" ht="31.5" x14ac:dyDescent="0.25">
      <c r="A180" s="528" t="s">
        <v>1896</v>
      </c>
      <c r="B180" s="613" t="s">
        <v>566</v>
      </c>
      <c r="C180" s="235">
        <v>13</v>
      </c>
      <c r="D180" s="442" t="s">
        <v>1897</v>
      </c>
      <c r="E180" s="576"/>
      <c r="F180" s="292">
        <f>F181+F186+F183</f>
        <v>30414.600000000002</v>
      </c>
      <c r="G180" s="475"/>
      <c r="H180" s="475">
        <f>H181+H186+H183</f>
        <v>9352</v>
      </c>
      <c r="I180" s="475"/>
      <c r="J180" s="475">
        <f>J181+J186+J183</f>
        <v>12256.6</v>
      </c>
      <c r="K180" s="475"/>
      <c r="L180" s="465"/>
      <c r="N180" s="465"/>
      <c r="O180" s="465"/>
    </row>
    <row r="181" spans="1:15" s="441" customFormat="1" x14ac:dyDescent="0.25">
      <c r="A181" s="523" t="s">
        <v>1781</v>
      </c>
      <c r="B181" s="613" t="s">
        <v>566</v>
      </c>
      <c r="C181" s="235">
        <v>13</v>
      </c>
      <c r="D181" s="442" t="s">
        <v>1897</v>
      </c>
      <c r="E181" s="238">
        <v>200</v>
      </c>
      <c r="F181" s="292">
        <f>F182</f>
        <v>21582.2</v>
      </c>
      <c r="G181" s="475"/>
      <c r="H181" s="475">
        <f>H182</f>
        <v>2060</v>
      </c>
      <c r="I181" s="475"/>
      <c r="J181" s="475">
        <f>J182</f>
        <v>2260</v>
      </c>
      <c r="K181" s="475"/>
      <c r="L181" s="465"/>
      <c r="N181" s="465"/>
      <c r="O181" s="465"/>
    </row>
    <row r="182" spans="1:15" s="441" customFormat="1" ht="31.5" x14ac:dyDescent="0.25">
      <c r="A182" s="523" t="s">
        <v>1273</v>
      </c>
      <c r="B182" s="613" t="s">
        <v>566</v>
      </c>
      <c r="C182" s="235">
        <v>13</v>
      </c>
      <c r="D182" s="442" t="s">
        <v>1897</v>
      </c>
      <c r="E182" s="238">
        <v>240</v>
      </c>
      <c r="F182" s="292">
        <f>'ведом. 2021-2023'!AD658+'ведом. 2021-2023'!AD91+'ведом. 2021-2023'!AD909</f>
        <v>21582.2</v>
      </c>
      <c r="G182" s="475"/>
      <c r="H182" s="475">
        <f>'ведом. 2021-2023'!AE658+'ведом. 2021-2023'!AE91</f>
        <v>2060</v>
      </c>
      <c r="I182" s="475"/>
      <c r="J182" s="475">
        <f>'ведом. 2021-2023'!AF658+'ведом. 2021-2023'!AF91</f>
        <v>2260</v>
      </c>
      <c r="K182" s="475"/>
      <c r="L182" s="465"/>
      <c r="N182" s="465"/>
      <c r="O182" s="465"/>
    </row>
    <row r="183" spans="1:15" s="513" customFormat="1" x14ac:dyDescent="0.25">
      <c r="A183" s="519" t="s">
        <v>1754</v>
      </c>
      <c r="B183" s="613" t="s">
        <v>566</v>
      </c>
      <c r="C183" s="235">
        <v>13</v>
      </c>
      <c r="D183" s="442" t="s">
        <v>1897</v>
      </c>
      <c r="E183" s="238">
        <v>300</v>
      </c>
      <c r="F183" s="292">
        <f>F184+F185</f>
        <v>2832.4</v>
      </c>
      <c r="G183" s="475"/>
      <c r="H183" s="475">
        <f>H184+H185</f>
        <v>2292</v>
      </c>
      <c r="I183" s="475"/>
      <c r="J183" s="475">
        <f>J184+J185</f>
        <v>2292</v>
      </c>
      <c r="K183" s="475"/>
      <c r="L183" s="465"/>
      <c r="N183" s="465"/>
      <c r="O183" s="465"/>
    </row>
    <row r="184" spans="1:15" s="513" customFormat="1" x14ac:dyDescent="0.25">
      <c r="A184" s="519" t="s">
        <v>1804</v>
      </c>
      <c r="B184" s="613" t="s">
        <v>566</v>
      </c>
      <c r="C184" s="235">
        <v>13</v>
      </c>
      <c r="D184" s="442" t="s">
        <v>1897</v>
      </c>
      <c r="E184" s="238">
        <v>310</v>
      </c>
      <c r="F184" s="292">
        <f>'ведом. 2021-2023'!AD93</f>
        <v>2652.4</v>
      </c>
      <c r="G184" s="475"/>
      <c r="H184" s="475">
        <f>'ведом. 2021-2023'!AE93</f>
        <v>2112</v>
      </c>
      <c r="I184" s="475"/>
      <c r="J184" s="475">
        <f>'ведом. 2021-2023'!AF93</f>
        <v>2112</v>
      </c>
      <c r="K184" s="475"/>
      <c r="L184" s="465"/>
      <c r="N184" s="465"/>
      <c r="O184" s="465"/>
    </row>
    <row r="185" spans="1:15" s="513" customFormat="1" x14ac:dyDescent="0.25">
      <c r="A185" s="519" t="s">
        <v>868</v>
      </c>
      <c r="B185" s="613" t="s">
        <v>566</v>
      </c>
      <c r="C185" s="235">
        <v>13</v>
      </c>
      <c r="D185" s="442" t="s">
        <v>1897</v>
      </c>
      <c r="E185" s="238">
        <v>320</v>
      </c>
      <c r="F185" s="292">
        <f>'ведом. 2021-2023'!AD94</f>
        <v>180</v>
      </c>
      <c r="G185" s="475"/>
      <c r="H185" s="475">
        <f>'ведом. 2021-2023'!AE94</f>
        <v>180</v>
      </c>
      <c r="I185" s="475"/>
      <c r="J185" s="475">
        <f>'ведом. 2021-2023'!AF94</f>
        <v>180</v>
      </c>
      <c r="K185" s="475"/>
      <c r="L185" s="465"/>
      <c r="N185" s="465"/>
      <c r="O185" s="465"/>
    </row>
    <row r="186" spans="1:15" s="513" customFormat="1" ht="31.5" x14ac:dyDescent="0.25">
      <c r="A186" s="523" t="s">
        <v>1342</v>
      </c>
      <c r="B186" s="613" t="s">
        <v>566</v>
      </c>
      <c r="C186" s="235">
        <v>13</v>
      </c>
      <c r="D186" s="442" t="s">
        <v>1897</v>
      </c>
      <c r="E186" s="238">
        <v>600</v>
      </c>
      <c r="F186" s="292">
        <f>F187</f>
        <v>6000</v>
      </c>
      <c r="G186" s="475"/>
      <c r="H186" s="475">
        <f>H187</f>
        <v>5000</v>
      </c>
      <c r="I186" s="475"/>
      <c r="J186" s="475">
        <f>J187</f>
        <v>7704.6</v>
      </c>
      <c r="K186" s="475"/>
      <c r="L186" s="465"/>
      <c r="N186" s="465"/>
      <c r="O186" s="465"/>
    </row>
    <row r="187" spans="1:15" s="513" customFormat="1" x14ac:dyDescent="0.25">
      <c r="A187" s="523" t="s">
        <v>1343</v>
      </c>
      <c r="B187" s="613" t="s">
        <v>566</v>
      </c>
      <c r="C187" s="235">
        <v>13</v>
      </c>
      <c r="D187" s="442" t="s">
        <v>1897</v>
      </c>
      <c r="E187" s="238">
        <v>610</v>
      </c>
      <c r="F187" s="292">
        <f>'ведом. 2021-2023'!AD96</f>
        <v>6000</v>
      </c>
      <c r="G187" s="475"/>
      <c r="H187" s="475">
        <f>'ведом. 2021-2023'!AE96</f>
        <v>5000</v>
      </c>
      <c r="I187" s="475"/>
      <c r="J187" s="475">
        <f>'ведом. 2021-2023'!AF96</f>
        <v>7704.6</v>
      </c>
      <c r="K187" s="475"/>
      <c r="L187" s="465"/>
      <c r="N187" s="465"/>
      <c r="O187" s="465"/>
    </row>
    <row r="188" spans="1:15" s="441" customFormat="1" ht="31.5" x14ac:dyDescent="0.25">
      <c r="A188" s="521" t="s">
        <v>1899</v>
      </c>
      <c r="B188" s="613" t="s">
        <v>566</v>
      </c>
      <c r="C188" s="235">
        <v>13</v>
      </c>
      <c r="D188" s="442" t="s">
        <v>1900</v>
      </c>
      <c r="E188" s="581"/>
      <c r="F188" s="292">
        <f t="shared" ref="F188:K188" si="24">F189</f>
        <v>492</v>
      </c>
      <c r="G188" s="475">
        <f t="shared" si="24"/>
        <v>492</v>
      </c>
      <c r="H188" s="475">
        <f t="shared" si="24"/>
        <v>492</v>
      </c>
      <c r="I188" s="475">
        <f t="shared" si="24"/>
        <v>492</v>
      </c>
      <c r="J188" s="475">
        <f t="shared" si="24"/>
        <v>492</v>
      </c>
      <c r="K188" s="475">
        <f t="shared" si="24"/>
        <v>492</v>
      </c>
      <c r="L188" s="465"/>
      <c r="N188" s="465"/>
      <c r="O188" s="465"/>
    </row>
    <row r="189" spans="1:15" s="441" customFormat="1" ht="31.5" x14ac:dyDescent="0.25">
      <c r="A189" s="521" t="s">
        <v>1822</v>
      </c>
      <c r="B189" s="613" t="s">
        <v>566</v>
      </c>
      <c r="C189" s="235">
        <v>13</v>
      </c>
      <c r="D189" s="442" t="s">
        <v>1901</v>
      </c>
      <c r="E189" s="581"/>
      <c r="F189" s="292">
        <f t="shared" ref="F189:K189" si="25">F190+F192</f>
        <v>492</v>
      </c>
      <c r="G189" s="475">
        <f t="shared" si="25"/>
        <v>492</v>
      </c>
      <c r="H189" s="475">
        <f t="shared" si="25"/>
        <v>492</v>
      </c>
      <c r="I189" s="475">
        <f t="shared" si="25"/>
        <v>492</v>
      </c>
      <c r="J189" s="475">
        <f t="shared" si="25"/>
        <v>492</v>
      </c>
      <c r="K189" s="475">
        <f t="shared" si="25"/>
        <v>492</v>
      </c>
      <c r="L189" s="465"/>
      <c r="N189" s="465"/>
      <c r="O189" s="465"/>
    </row>
    <row r="190" spans="1:15" s="503" customFormat="1" ht="47.25" x14ac:dyDescent="0.25">
      <c r="A190" s="523" t="s">
        <v>921</v>
      </c>
      <c r="B190" s="613" t="s">
        <v>566</v>
      </c>
      <c r="C190" s="235">
        <v>13</v>
      </c>
      <c r="D190" s="442" t="s">
        <v>1901</v>
      </c>
      <c r="E190" s="581">
        <v>100</v>
      </c>
      <c r="F190" s="292">
        <f t="shared" ref="F190:K190" si="26">F191</f>
        <v>423.6</v>
      </c>
      <c r="G190" s="475">
        <f t="shared" si="26"/>
        <v>423.6</v>
      </c>
      <c r="H190" s="475">
        <f t="shared" si="26"/>
        <v>423.6</v>
      </c>
      <c r="I190" s="475">
        <f t="shared" si="26"/>
        <v>423.6</v>
      </c>
      <c r="J190" s="475">
        <f t="shared" si="26"/>
        <v>423.6</v>
      </c>
      <c r="K190" s="475">
        <f t="shared" si="26"/>
        <v>423.6</v>
      </c>
      <c r="L190" s="465"/>
      <c r="N190" s="465"/>
      <c r="O190" s="465"/>
    </row>
    <row r="191" spans="1:15" s="441" customFormat="1" x14ac:dyDescent="0.25">
      <c r="A191" s="523" t="s">
        <v>1747</v>
      </c>
      <c r="B191" s="613" t="s">
        <v>566</v>
      </c>
      <c r="C191" s="235">
        <v>13</v>
      </c>
      <c r="D191" s="442" t="s">
        <v>1901</v>
      </c>
      <c r="E191" s="581">
        <v>120</v>
      </c>
      <c r="F191" s="292">
        <f>'ведом. 2021-2023'!AD662</f>
        <v>423.6</v>
      </c>
      <c r="G191" s="475">
        <f>F191</f>
        <v>423.6</v>
      </c>
      <c r="H191" s="475">
        <f>'ведом. 2021-2023'!AE662</f>
        <v>423.6</v>
      </c>
      <c r="I191" s="475">
        <f>H191</f>
        <v>423.6</v>
      </c>
      <c r="J191" s="475">
        <f>'ведом. 2021-2023'!AF662</f>
        <v>423.6</v>
      </c>
      <c r="K191" s="475">
        <f>J191</f>
        <v>423.6</v>
      </c>
      <c r="L191" s="465"/>
      <c r="N191" s="465"/>
      <c r="O191" s="465"/>
    </row>
    <row r="192" spans="1:15" s="441" customFormat="1" x14ac:dyDescent="0.25">
      <c r="A192" s="523" t="s">
        <v>1781</v>
      </c>
      <c r="B192" s="613" t="s">
        <v>566</v>
      </c>
      <c r="C192" s="235">
        <v>13</v>
      </c>
      <c r="D192" s="442" t="s">
        <v>1901</v>
      </c>
      <c r="E192" s="581">
        <v>200</v>
      </c>
      <c r="F192" s="292">
        <f t="shared" ref="F192:K192" si="27">F193</f>
        <v>68.400000000000006</v>
      </c>
      <c r="G192" s="475">
        <f t="shared" si="27"/>
        <v>68.400000000000006</v>
      </c>
      <c r="H192" s="475">
        <f t="shared" si="27"/>
        <v>68.400000000000006</v>
      </c>
      <c r="I192" s="475">
        <f t="shared" si="27"/>
        <v>68.400000000000006</v>
      </c>
      <c r="J192" s="475">
        <f t="shared" si="27"/>
        <v>68.400000000000006</v>
      </c>
      <c r="K192" s="475">
        <f t="shared" si="27"/>
        <v>68.400000000000006</v>
      </c>
      <c r="L192" s="465"/>
      <c r="N192" s="465"/>
      <c r="O192" s="465"/>
    </row>
    <row r="193" spans="1:15" s="441" customFormat="1" ht="31.5" x14ac:dyDescent="0.25">
      <c r="A193" s="523" t="s">
        <v>1273</v>
      </c>
      <c r="B193" s="613" t="s">
        <v>566</v>
      </c>
      <c r="C193" s="235">
        <v>13</v>
      </c>
      <c r="D193" s="442" t="s">
        <v>1901</v>
      </c>
      <c r="E193" s="581">
        <v>240</v>
      </c>
      <c r="F193" s="292">
        <f>'ведом. 2021-2023'!AD664</f>
        <v>68.400000000000006</v>
      </c>
      <c r="G193" s="475">
        <f>F193</f>
        <v>68.400000000000006</v>
      </c>
      <c r="H193" s="475">
        <f>'ведом. 2021-2023'!AE664</f>
        <v>68.400000000000006</v>
      </c>
      <c r="I193" s="475">
        <f>H193</f>
        <v>68.400000000000006</v>
      </c>
      <c r="J193" s="475">
        <f>'ведом. 2021-2023'!AF664</f>
        <v>68.400000000000006</v>
      </c>
      <c r="K193" s="475">
        <f>J193</f>
        <v>68.400000000000006</v>
      </c>
      <c r="L193" s="465"/>
      <c r="N193" s="465"/>
      <c r="O193" s="465"/>
    </row>
    <row r="194" spans="1:15" s="441" customFormat="1" ht="31.5" x14ac:dyDescent="0.25">
      <c r="A194" s="520" t="s">
        <v>2169</v>
      </c>
      <c r="B194" s="613" t="s">
        <v>566</v>
      </c>
      <c r="C194" s="235">
        <v>13</v>
      </c>
      <c r="D194" s="442" t="s">
        <v>2177</v>
      </c>
      <c r="E194" s="238"/>
      <c r="F194" s="292">
        <f>F195</f>
        <v>16769.099999999999</v>
      </c>
      <c r="G194" s="475"/>
      <c r="H194" s="475">
        <f>H195</f>
        <v>16666.3</v>
      </c>
      <c r="I194" s="475"/>
      <c r="J194" s="475">
        <f>J195</f>
        <v>16666.3</v>
      </c>
      <c r="K194" s="475"/>
      <c r="L194" s="465"/>
      <c r="N194" s="465"/>
      <c r="O194" s="465"/>
    </row>
    <row r="195" spans="1:15" s="441" customFormat="1" x14ac:dyDescent="0.25">
      <c r="A195" s="520" t="s">
        <v>2180</v>
      </c>
      <c r="B195" s="613" t="s">
        <v>566</v>
      </c>
      <c r="C195" s="235">
        <v>13</v>
      </c>
      <c r="D195" s="442" t="s">
        <v>2178</v>
      </c>
      <c r="E195" s="238"/>
      <c r="F195" s="292">
        <f>F196+F203+F206</f>
        <v>16769.099999999999</v>
      </c>
      <c r="G195" s="475"/>
      <c r="H195" s="475">
        <f>H196+H203+H206</f>
        <v>16666.3</v>
      </c>
      <c r="I195" s="475"/>
      <c r="J195" s="475">
        <f>J196+J203+J206</f>
        <v>16666.3</v>
      </c>
      <c r="K195" s="475"/>
      <c r="L195" s="465"/>
      <c r="N195" s="465"/>
      <c r="O195" s="465"/>
    </row>
    <row r="196" spans="1:15" s="441" customFormat="1" ht="31.5" x14ac:dyDescent="0.25">
      <c r="A196" s="520" t="s">
        <v>1924</v>
      </c>
      <c r="B196" s="613" t="s">
        <v>566</v>
      </c>
      <c r="C196" s="235">
        <v>13</v>
      </c>
      <c r="D196" s="442" t="s">
        <v>2179</v>
      </c>
      <c r="E196" s="238"/>
      <c r="F196" s="292">
        <f>F197+F201+F199</f>
        <v>1607.8999999999999</v>
      </c>
      <c r="G196" s="292"/>
      <c r="H196" s="292">
        <f t="shared" ref="H196:J196" si="28">H197+H201+H199</f>
        <v>1419</v>
      </c>
      <c r="I196" s="292"/>
      <c r="J196" s="292">
        <f t="shared" si="28"/>
        <v>1419</v>
      </c>
      <c r="K196" s="475"/>
      <c r="L196" s="465"/>
      <c r="N196" s="465"/>
      <c r="O196" s="465"/>
    </row>
    <row r="197" spans="1:15" s="441" customFormat="1" x14ac:dyDescent="0.25">
      <c r="A197" s="523" t="s">
        <v>1781</v>
      </c>
      <c r="B197" s="613" t="s">
        <v>566</v>
      </c>
      <c r="C197" s="235">
        <v>13</v>
      </c>
      <c r="D197" s="442" t="s">
        <v>2179</v>
      </c>
      <c r="E197" s="238">
        <v>200</v>
      </c>
      <c r="F197" s="292">
        <f>F198</f>
        <v>1521.7</v>
      </c>
      <c r="G197" s="475"/>
      <c r="H197" s="475">
        <f>H198</f>
        <v>1419</v>
      </c>
      <c r="I197" s="475"/>
      <c r="J197" s="475">
        <f>J198</f>
        <v>1419</v>
      </c>
      <c r="K197" s="475"/>
      <c r="L197" s="465"/>
      <c r="N197" s="465"/>
      <c r="O197" s="465"/>
    </row>
    <row r="198" spans="1:15" s="441" customFormat="1" ht="31.5" x14ac:dyDescent="0.25">
      <c r="A198" s="523" t="s">
        <v>1273</v>
      </c>
      <c r="B198" s="613" t="s">
        <v>566</v>
      </c>
      <c r="C198" s="235">
        <v>13</v>
      </c>
      <c r="D198" s="442" t="s">
        <v>2179</v>
      </c>
      <c r="E198" s="238">
        <v>240</v>
      </c>
      <c r="F198" s="292">
        <f>'ведом. 2021-2023'!AD669</f>
        <v>1521.7</v>
      </c>
      <c r="G198" s="475"/>
      <c r="H198" s="475">
        <f>'ведом. 2021-2023'!AE669</f>
        <v>1419</v>
      </c>
      <c r="I198" s="475"/>
      <c r="J198" s="475">
        <f>'ведом. 2021-2023'!AF669</f>
        <v>1419</v>
      </c>
      <c r="K198" s="475"/>
      <c r="L198" s="465"/>
      <c r="N198" s="465"/>
      <c r="O198" s="465"/>
    </row>
    <row r="199" spans="1:15" s="513" customFormat="1" x14ac:dyDescent="0.25">
      <c r="A199" s="519" t="s">
        <v>1754</v>
      </c>
      <c r="B199" s="613" t="s">
        <v>566</v>
      </c>
      <c r="C199" s="235">
        <v>13</v>
      </c>
      <c r="D199" s="442" t="s">
        <v>2179</v>
      </c>
      <c r="E199" s="238">
        <v>300</v>
      </c>
      <c r="F199" s="292">
        <f>F200</f>
        <v>86.1</v>
      </c>
      <c r="G199" s="292"/>
      <c r="H199" s="292">
        <f t="shared" ref="H199:J199" si="29">H200</f>
        <v>0</v>
      </c>
      <c r="I199" s="292"/>
      <c r="J199" s="292">
        <f t="shared" si="29"/>
        <v>0</v>
      </c>
      <c r="K199" s="475"/>
      <c r="L199" s="465"/>
      <c r="N199" s="465"/>
      <c r="O199" s="465"/>
    </row>
    <row r="200" spans="1:15" s="513" customFormat="1" x14ac:dyDescent="0.25">
      <c r="A200" s="519" t="s">
        <v>868</v>
      </c>
      <c r="B200" s="613" t="s">
        <v>566</v>
      </c>
      <c r="C200" s="235">
        <v>13</v>
      </c>
      <c r="D200" s="442" t="s">
        <v>2179</v>
      </c>
      <c r="E200" s="238">
        <v>320</v>
      </c>
      <c r="F200" s="292">
        <f>'ведом. 2021-2023'!AD671</f>
        <v>86.1</v>
      </c>
      <c r="G200" s="475"/>
      <c r="H200" s="475">
        <v>0</v>
      </c>
      <c r="I200" s="475"/>
      <c r="J200" s="475">
        <v>0</v>
      </c>
      <c r="K200" s="475"/>
      <c r="L200" s="465"/>
      <c r="N200" s="465"/>
      <c r="O200" s="465"/>
    </row>
    <row r="201" spans="1:15" s="513" customFormat="1" x14ac:dyDescent="0.25">
      <c r="A201" s="519" t="s">
        <v>923</v>
      </c>
      <c r="B201" s="613" t="s">
        <v>566</v>
      </c>
      <c r="C201" s="235">
        <v>13</v>
      </c>
      <c r="D201" s="442" t="s">
        <v>2179</v>
      </c>
      <c r="E201" s="238">
        <v>800</v>
      </c>
      <c r="F201" s="292">
        <f>F202</f>
        <v>0.1</v>
      </c>
      <c r="G201" s="475"/>
      <c r="H201" s="475">
        <f>H202</f>
        <v>0</v>
      </c>
      <c r="I201" s="475"/>
      <c r="J201" s="475">
        <f>J202</f>
        <v>0</v>
      </c>
      <c r="K201" s="475"/>
      <c r="L201" s="465"/>
      <c r="N201" s="465"/>
      <c r="O201" s="465"/>
    </row>
    <row r="202" spans="1:15" s="513" customFormat="1" x14ac:dyDescent="0.25">
      <c r="A202" s="519" t="s">
        <v>1319</v>
      </c>
      <c r="B202" s="613" t="s">
        <v>566</v>
      </c>
      <c r="C202" s="235">
        <v>13</v>
      </c>
      <c r="D202" s="442" t="s">
        <v>2179</v>
      </c>
      <c r="E202" s="238">
        <v>850</v>
      </c>
      <c r="F202" s="292">
        <f>'ведом. 2021-2023'!AD673</f>
        <v>0.1</v>
      </c>
      <c r="G202" s="475"/>
      <c r="H202" s="475">
        <f>'ведом. 2021-2023'!AE673</f>
        <v>0</v>
      </c>
      <c r="I202" s="475"/>
      <c r="J202" s="475">
        <f>'ведом. 2021-2023'!AF673</f>
        <v>0</v>
      </c>
      <c r="K202" s="475"/>
      <c r="L202" s="465"/>
      <c r="N202" s="465"/>
      <c r="O202" s="465"/>
    </row>
    <row r="203" spans="1:15" s="441" customFormat="1" ht="31.5" x14ac:dyDescent="0.25">
      <c r="A203" s="523" t="s">
        <v>1925</v>
      </c>
      <c r="B203" s="613" t="s">
        <v>566</v>
      </c>
      <c r="C203" s="235">
        <v>13</v>
      </c>
      <c r="D203" s="249" t="str">
        <f>D204</f>
        <v>12 1 07 00132</v>
      </c>
      <c r="E203" s="238"/>
      <c r="F203" s="292">
        <f>F204</f>
        <v>5461.7</v>
      </c>
      <c r="G203" s="292"/>
      <c r="H203" s="292">
        <f t="shared" ref="H203:J203" si="30">H204</f>
        <v>5547.8</v>
      </c>
      <c r="I203" s="292"/>
      <c r="J203" s="292">
        <f t="shared" si="30"/>
        <v>5547.8</v>
      </c>
      <c r="K203" s="475"/>
      <c r="L203" s="465"/>
      <c r="N203" s="465"/>
      <c r="O203" s="465"/>
    </row>
    <row r="204" spans="1:15" s="441" customFormat="1" ht="47.25" x14ac:dyDescent="0.25">
      <c r="A204" s="523" t="s">
        <v>921</v>
      </c>
      <c r="B204" s="613" t="s">
        <v>566</v>
      </c>
      <c r="C204" s="235">
        <v>13</v>
      </c>
      <c r="D204" s="249" t="str">
        <f>D205</f>
        <v>12 1 07 00132</v>
      </c>
      <c r="E204" s="238">
        <v>100</v>
      </c>
      <c r="F204" s="292">
        <f>F205</f>
        <v>5461.7</v>
      </c>
      <c r="G204" s="475"/>
      <c r="H204" s="475">
        <f>H205</f>
        <v>5547.8</v>
      </c>
      <c r="I204" s="475"/>
      <c r="J204" s="475">
        <f>J205</f>
        <v>5547.8</v>
      </c>
      <c r="K204" s="475"/>
      <c r="L204" s="465"/>
      <c r="N204" s="465"/>
      <c r="O204" s="465"/>
    </row>
    <row r="205" spans="1:15" s="441" customFormat="1" x14ac:dyDescent="0.25">
      <c r="A205" s="523" t="s">
        <v>1747</v>
      </c>
      <c r="B205" s="613" t="s">
        <v>566</v>
      </c>
      <c r="C205" s="235">
        <v>13</v>
      </c>
      <c r="D205" s="442" t="s">
        <v>2181</v>
      </c>
      <c r="E205" s="238">
        <v>120</v>
      </c>
      <c r="F205" s="292">
        <f>'ведом. 2021-2023'!AD676</f>
        <v>5461.7</v>
      </c>
      <c r="G205" s="475"/>
      <c r="H205" s="475">
        <f>'ведом. 2021-2023'!AE676</f>
        <v>5547.8</v>
      </c>
      <c r="I205" s="475"/>
      <c r="J205" s="475">
        <f>'ведом. 2021-2023'!AF676</f>
        <v>5547.8</v>
      </c>
      <c r="K205" s="475"/>
      <c r="L205" s="465"/>
      <c r="N205" s="465"/>
      <c r="O205" s="465"/>
    </row>
    <row r="206" spans="1:15" s="441" customFormat="1" ht="31.5" x14ac:dyDescent="0.25">
      <c r="A206" s="523" t="s">
        <v>1926</v>
      </c>
      <c r="B206" s="613" t="s">
        <v>566</v>
      </c>
      <c r="C206" s="235">
        <v>13</v>
      </c>
      <c r="D206" s="249" t="str">
        <f>D207</f>
        <v>12 1 07 00133</v>
      </c>
      <c r="E206" s="238"/>
      <c r="F206" s="292">
        <f>F207</f>
        <v>9699.5</v>
      </c>
      <c r="G206" s="475"/>
      <c r="H206" s="475">
        <f>H207</f>
        <v>9699.5</v>
      </c>
      <c r="I206" s="475"/>
      <c r="J206" s="475">
        <f>J207</f>
        <v>9699.5</v>
      </c>
      <c r="K206" s="475"/>
      <c r="L206" s="465"/>
      <c r="N206" s="465"/>
      <c r="O206" s="465"/>
    </row>
    <row r="207" spans="1:15" s="441" customFormat="1" ht="47.25" x14ac:dyDescent="0.25">
      <c r="A207" s="523" t="s">
        <v>921</v>
      </c>
      <c r="B207" s="613" t="s">
        <v>566</v>
      </c>
      <c r="C207" s="235">
        <v>13</v>
      </c>
      <c r="D207" s="249" t="str">
        <f>D208</f>
        <v>12 1 07 00133</v>
      </c>
      <c r="E207" s="238">
        <v>100</v>
      </c>
      <c r="F207" s="292">
        <f>F208</f>
        <v>9699.5</v>
      </c>
      <c r="G207" s="475"/>
      <c r="H207" s="475">
        <f>H208</f>
        <v>9699.5</v>
      </c>
      <c r="I207" s="475"/>
      <c r="J207" s="475">
        <f>J208</f>
        <v>9699.5</v>
      </c>
      <c r="K207" s="475"/>
      <c r="L207" s="465"/>
      <c r="N207" s="465"/>
      <c r="O207" s="465"/>
    </row>
    <row r="208" spans="1:15" s="441" customFormat="1" x14ac:dyDescent="0.25">
      <c r="A208" s="523" t="s">
        <v>1747</v>
      </c>
      <c r="B208" s="613" t="s">
        <v>566</v>
      </c>
      <c r="C208" s="235">
        <v>13</v>
      </c>
      <c r="D208" s="442" t="s">
        <v>2182</v>
      </c>
      <c r="E208" s="238">
        <v>120</v>
      </c>
      <c r="F208" s="292">
        <f>'ведом. 2021-2023'!AD679</f>
        <v>9699.5</v>
      </c>
      <c r="G208" s="475"/>
      <c r="H208" s="475">
        <f>'ведом. 2021-2023'!AE679</f>
        <v>9699.5</v>
      </c>
      <c r="I208" s="475"/>
      <c r="J208" s="475">
        <f>'ведом. 2021-2023'!AF679</f>
        <v>9699.5</v>
      </c>
      <c r="K208" s="475"/>
      <c r="L208" s="465"/>
      <c r="N208" s="465"/>
      <c r="O208" s="465"/>
    </row>
    <row r="209" spans="1:15" s="441" customFormat="1" x14ac:dyDescent="0.25">
      <c r="A209" s="520" t="s">
        <v>1907</v>
      </c>
      <c r="B209" s="613" t="s">
        <v>566</v>
      </c>
      <c r="C209" s="235">
        <v>13</v>
      </c>
      <c r="D209" s="471" t="s">
        <v>1908</v>
      </c>
      <c r="E209" s="238"/>
      <c r="F209" s="292">
        <f>F210</f>
        <v>80495.399999999994</v>
      </c>
      <c r="G209" s="475"/>
      <c r="H209" s="475">
        <f>H210</f>
        <v>58714.3</v>
      </c>
      <c r="I209" s="475"/>
      <c r="J209" s="475">
        <f>J210</f>
        <v>48714.3</v>
      </c>
      <c r="K209" s="475"/>
      <c r="L209" s="465"/>
      <c r="N209" s="465"/>
      <c r="O209" s="465"/>
    </row>
    <row r="210" spans="1:15" s="441" customFormat="1" ht="31.5" x14ac:dyDescent="0.25">
      <c r="A210" s="520" t="s">
        <v>1909</v>
      </c>
      <c r="B210" s="613" t="s">
        <v>566</v>
      </c>
      <c r="C210" s="235">
        <v>13</v>
      </c>
      <c r="D210" s="471" t="s">
        <v>1910</v>
      </c>
      <c r="E210" s="238"/>
      <c r="F210" s="292">
        <f>F211+F214+F217</f>
        <v>80495.399999999994</v>
      </c>
      <c r="G210" s="475"/>
      <c r="H210" s="475">
        <f>H211+H214+H217</f>
        <v>58714.3</v>
      </c>
      <c r="I210" s="475"/>
      <c r="J210" s="475">
        <f>J211+J214+J217</f>
        <v>48714.3</v>
      </c>
      <c r="K210" s="475"/>
      <c r="L210" s="465"/>
      <c r="N210" s="465"/>
      <c r="O210" s="465"/>
    </row>
    <row r="211" spans="1:15" s="441" customFormat="1" x14ac:dyDescent="0.25">
      <c r="A211" s="528" t="s">
        <v>1943</v>
      </c>
      <c r="B211" s="613" t="s">
        <v>566</v>
      </c>
      <c r="C211" s="235">
        <v>13</v>
      </c>
      <c r="D211" s="471" t="s">
        <v>1944</v>
      </c>
      <c r="E211" s="238"/>
      <c r="F211" s="292">
        <f>F212</f>
        <v>125</v>
      </c>
      <c r="G211" s="475"/>
      <c r="H211" s="475">
        <f>H212</f>
        <v>125</v>
      </c>
      <c r="I211" s="475"/>
      <c r="J211" s="475">
        <f>J212</f>
        <v>125</v>
      </c>
      <c r="K211" s="475"/>
      <c r="L211" s="465"/>
      <c r="N211" s="465"/>
      <c r="O211" s="465"/>
    </row>
    <row r="212" spans="1:15" s="441" customFormat="1" x14ac:dyDescent="0.25">
      <c r="A212" s="523" t="s">
        <v>923</v>
      </c>
      <c r="B212" s="613" t="s">
        <v>566</v>
      </c>
      <c r="C212" s="235">
        <v>13</v>
      </c>
      <c r="D212" s="471" t="s">
        <v>1944</v>
      </c>
      <c r="E212" s="238">
        <v>800</v>
      </c>
      <c r="F212" s="292">
        <f>F213</f>
        <v>125</v>
      </c>
      <c r="G212" s="475"/>
      <c r="H212" s="475">
        <f>H213</f>
        <v>125</v>
      </c>
      <c r="I212" s="475"/>
      <c r="J212" s="475">
        <f>J213</f>
        <v>125</v>
      </c>
      <c r="K212" s="475"/>
      <c r="L212" s="465"/>
      <c r="N212" s="465"/>
      <c r="O212" s="465"/>
    </row>
    <row r="213" spans="1:15" s="441" customFormat="1" x14ac:dyDescent="0.25">
      <c r="A213" s="523" t="s">
        <v>1319</v>
      </c>
      <c r="B213" s="613" t="s">
        <v>566</v>
      </c>
      <c r="C213" s="235">
        <v>13</v>
      </c>
      <c r="D213" s="471" t="s">
        <v>1944</v>
      </c>
      <c r="E213" s="238">
        <v>850</v>
      </c>
      <c r="F213" s="292">
        <f>'ведом. 2021-2023'!AD101</f>
        <v>125</v>
      </c>
      <c r="G213" s="475"/>
      <c r="H213" s="475">
        <f>'ведом. 2021-2023'!AE101</f>
        <v>125</v>
      </c>
      <c r="I213" s="475"/>
      <c r="J213" s="475">
        <f>'ведом. 2021-2023'!AF101</f>
        <v>125</v>
      </c>
      <c r="K213" s="475"/>
      <c r="L213" s="465"/>
      <c r="N213" s="465"/>
      <c r="O213" s="465"/>
    </row>
    <row r="214" spans="1:15" s="441" customFormat="1" ht="31.5" x14ac:dyDescent="0.25">
      <c r="A214" s="528" t="s">
        <v>1935</v>
      </c>
      <c r="B214" s="246" t="s">
        <v>566</v>
      </c>
      <c r="C214" s="255">
        <v>13</v>
      </c>
      <c r="D214" s="471" t="s">
        <v>1936</v>
      </c>
      <c r="E214" s="576"/>
      <c r="F214" s="292">
        <f>F215</f>
        <v>18022</v>
      </c>
      <c r="G214" s="475"/>
      <c r="H214" s="475">
        <f>H215</f>
        <v>18022</v>
      </c>
      <c r="I214" s="475"/>
      <c r="J214" s="475">
        <f>J215</f>
        <v>18022</v>
      </c>
      <c r="K214" s="475"/>
      <c r="L214" s="465"/>
      <c r="N214" s="465"/>
      <c r="O214" s="465"/>
    </row>
    <row r="215" spans="1:15" s="441" customFormat="1" ht="31.5" x14ac:dyDescent="0.25">
      <c r="A215" s="523" t="s">
        <v>1342</v>
      </c>
      <c r="B215" s="246" t="s">
        <v>566</v>
      </c>
      <c r="C215" s="255">
        <v>13</v>
      </c>
      <c r="D215" s="471" t="s">
        <v>1936</v>
      </c>
      <c r="E215" s="595">
        <v>600</v>
      </c>
      <c r="F215" s="292">
        <f>F216</f>
        <v>18022</v>
      </c>
      <c r="G215" s="475"/>
      <c r="H215" s="475">
        <f>H216</f>
        <v>18022</v>
      </c>
      <c r="I215" s="475"/>
      <c r="J215" s="475">
        <f>J216</f>
        <v>18022</v>
      </c>
      <c r="K215" s="475"/>
      <c r="L215" s="465"/>
      <c r="N215" s="465"/>
      <c r="O215" s="465"/>
    </row>
    <row r="216" spans="1:15" s="441" customFormat="1" x14ac:dyDescent="0.25">
      <c r="A216" s="523" t="s">
        <v>1343</v>
      </c>
      <c r="B216" s="246" t="s">
        <v>566</v>
      </c>
      <c r="C216" s="255">
        <v>13</v>
      </c>
      <c r="D216" s="471" t="s">
        <v>1936</v>
      </c>
      <c r="E216" s="595">
        <v>610</v>
      </c>
      <c r="F216" s="292">
        <f>'ведом. 2021-2023'!AD713</f>
        <v>18022</v>
      </c>
      <c r="G216" s="475"/>
      <c r="H216" s="475">
        <f>'ведом. 2021-2023'!AE713</f>
        <v>18022</v>
      </c>
      <c r="I216" s="475"/>
      <c r="J216" s="475">
        <f>'ведом. 2021-2023'!AF713</f>
        <v>18022</v>
      </c>
      <c r="K216" s="475"/>
      <c r="L216" s="465"/>
      <c r="N216" s="465"/>
      <c r="O216" s="465"/>
    </row>
    <row r="217" spans="1:15" s="441" customFormat="1" ht="31.5" x14ac:dyDescent="0.25">
      <c r="A217" s="528" t="s">
        <v>1921</v>
      </c>
      <c r="B217" s="613" t="s">
        <v>566</v>
      </c>
      <c r="C217" s="235">
        <v>13</v>
      </c>
      <c r="D217" s="471" t="s">
        <v>1922</v>
      </c>
      <c r="E217" s="238"/>
      <c r="F217" s="292">
        <f>F218+F223+F232</f>
        <v>62348.4</v>
      </c>
      <c r="G217" s="475"/>
      <c r="H217" s="475">
        <f>H218+H223+H232</f>
        <v>40567.300000000003</v>
      </c>
      <c r="I217" s="475"/>
      <c r="J217" s="475">
        <f>J218+J223+J232</f>
        <v>30567.300000000003</v>
      </c>
      <c r="K217" s="475"/>
      <c r="L217" s="465"/>
      <c r="N217" s="465"/>
      <c r="O217" s="465"/>
    </row>
    <row r="218" spans="1:15" s="441" customFormat="1" ht="47.25" x14ac:dyDescent="0.25">
      <c r="A218" s="528" t="s">
        <v>1937</v>
      </c>
      <c r="B218" s="613" t="s">
        <v>566</v>
      </c>
      <c r="C218" s="235">
        <v>13</v>
      </c>
      <c r="D218" s="471" t="s">
        <v>1938</v>
      </c>
      <c r="E218" s="238"/>
      <c r="F218" s="292">
        <f>F219+F221</f>
        <v>8775.0999999999985</v>
      </c>
      <c r="G218" s="475"/>
      <c r="H218" s="475">
        <f>H219+H221</f>
        <v>6396.2</v>
      </c>
      <c r="I218" s="475"/>
      <c r="J218" s="475">
        <f>J219+J221</f>
        <v>4951.2</v>
      </c>
      <c r="K218" s="475"/>
      <c r="L218" s="465"/>
      <c r="N218" s="465"/>
      <c r="O218" s="465"/>
    </row>
    <row r="219" spans="1:15" s="441" customFormat="1" ht="47.25" x14ac:dyDescent="0.25">
      <c r="A219" s="523" t="s">
        <v>921</v>
      </c>
      <c r="B219" s="613" t="s">
        <v>566</v>
      </c>
      <c r="C219" s="235">
        <v>13</v>
      </c>
      <c r="D219" s="471" t="s">
        <v>1938</v>
      </c>
      <c r="E219" s="579" t="s">
        <v>1797</v>
      </c>
      <c r="F219" s="292">
        <f>F220</f>
        <v>7964.7999999999993</v>
      </c>
      <c r="G219" s="475"/>
      <c r="H219" s="475">
        <f>H220</f>
        <v>5585.9</v>
      </c>
      <c r="I219" s="475"/>
      <c r="J219" s="475">
        <f>J220</f>
        <v>4140.8999999999996</v>
      </c>
      <c r="K219" s="475"/>
      <c r="L219" s="465"/>
      <c r="N219" s="465"/>
      <c r="O219" s="465"/>
    </row>
    <row r="220" spans="1:15" s="441" customFormat="1" x14ac:dyDescent="0.25">
      <c r="A220" s="523" t="s">
        <v>1568</v>
      </c>
      <c r="B220" s="613" t="s">
        <v>566</v>
      </c>
      <c r="C220" s="235">
        <v>13</v>
      </c>
      <c r="D220" s="471" t="s">
        <v>1938</v>
      </c>
      <c r="E220" s="579" t="s">
        <v>1798</v>
      </c>
      <c r="F220" s="292">
        <f>'ведом. 2021-2023'!AD105</f>
        <v>7964.7999999999993</v>
      </c>
      <c r="G220" s="475"/>
      <c r="H220" s="475">
        <f>'ведом. 2021-2023'!AE105</f>
        <v>5585.9</v>
      </c>
      <c r="I220" s="475"/>
      <c r="J220" s="475">
        <f>'ведом. 2021-2023'!AF105</f>
        <v>4140.8999999999996</v>
      </c>
      <c r="K220" s="475"/>
      <c r="L220" s="465"/>
      <c r="N220" s="465"/>
      <c r="O220" s="465"/>
    </row>
    <row r="221" spans="1:15" s="441" customFormat="1" x14ac:dyDescent="0.25">
      <c r="A221" s="523" t="s">
        <v>1781</v>
      </c>
      <c r="B221" s="613" t="s">
        <v>566</v>
      </c>
      <c r="C221" s="235">
        <v>13</v>
      </c>
      <c r="D221" s="471" t="s">
        <v>1938</v>
      </c>
      <c r="E221" s="579" t="s">
        <v>821</v>
      </c>
      <c r="F221" s="292">
        <f>F222</f>
        <v>810.3</v>
      </c>
      <c r="G221" s="475"/>
      <c r="H221" s="475">
        <f>H222</f>
        <v>810.3</v>
      </c>
      <c r="I221" s="475"/>
      <c r="J221" s="475">
        <f>J222</f>
        <v>810.3</v>
      </c>
      <c r="K221" s="475"/>
      <c r="L221" s="465"/>
      <c r="N221" s="465"/>
      <c r="O221" s="465"/>
    </row>
    <row r="222" spans="1:15" s="441" customFormat="1" ht="31.5" x14ac:dyDescent="0.25">
      <c r="A222" s="523" t="s">
        <v>1273</v>
      </c>
      <c r="B222" s="613" t="s">
        <v>566</v>
      </c>
      <c r="C222" s="235">
        <v>13</v>
      </c>
      <c r="D222" s="471" t="s">
        <v>1938</v>
      </c>
      <c r="E222" s="579" t="s">
        <v>1479</v>
      </c>
      <c r="F222" s="292">
        <f>'ведом. 2021-2023'!AD107</f>
        <v>810.3</v>
      </c>
      <c r="G222" s="475"/>
      <c r="H222" s="475">
        <f>'ведом. 2021-2023'!AE107</f>
        <v>810.3</v>
      </c>
      <c r="I222" s="475"/>
      <c r="J222" s="475">
        <f>'ведом. 2021-2023'!AF107</f>
        <v>810.3</v>
      </c>
      <c r="K222" s="475"/>
      <c r="L222" s="465"/>
      <c r="N222" s="465"/>
      <c r="O222" s="465"/>
    </row>
    <row r="223" spans="1:15" s="441" customFormat="1" ht="47.25" x14ac:dyDescent="0.25">
      <c r="A223" s="523" t="s">
        <v>1939</v>
      </c>
      <c r="B223" s="613" t="s">
        <v>566</v>
      </c>
      <c r="C223" s="235">
        <v>13</v>
      </c>
      <c r="D223" s="471" t="s">
        <v>1940</v>
      </c>
      <c r="E223" s="579"/>
      <c r="F223" s="292">
        <f>F224+F226+F230+F228</f>
        <v>43198.400000000001</v>
      </c>
      <c r="G223" s="292"/>
      <c r="H223" s="292">
        <f t="shared" ref="H223:J223" si="31">H224+H226+H230+H228</f>
        <v>26212.2</v>
      </c>
      <c r="I223" s="292"/>
      <c r="J223" s="292">
        <f t="shared" si="31"/>
        <v>19567.2</v>
      </c>
      <c r="K223" s="475"/>
      <c r="L223" s="465"/>
      <c r="N223" s="465"/>
      <c r="O223" s="465"/>
    </row>
    <row r="224" spans="1:15" s="441" customFormat="1" ht="47.25" x14ac:dyDescent="0.25">
      <c r="A224" s="523" t="s">
        <v>921</v>
      </c>
      <c r="B224" s="613" t="s">
        <v>566</v>
      </c>
      <c r="C224" s="235">
        <v>13</v>
      </c>
      <c r="D224" s="471" t="s">
        <v>1940</v>
      </c>
      <c r="E224" s="579" t="s">
        <v>1797</v>
      </c>
      <c r="F224" s="292">
        <f>F225</f>
        <v>42552.299999999996</v>
      </c>
      <c r="G224" s="475"/>
      <c r="H224" s="475">
        <f>H225</f>
        <v>25611.5</v>
      </c>
      <c r="I224" s="475"/>
      <c r="J224" s="475">
        <f>'ведом. 2021-2023'!AF109</f>
        <v>18966.5</v>
      </c>
      <c r="K224" s="475"/>
      <c r="L224" s="465"/>
      <c r="N224" s="465"/>
      <c r="O224" s="465"/>
    </row>
    <row r="225" spans="1:15" s="441" customFormat="1" x14ac:dyDescent="0.25">
      <c r="A225" s="523" t="s">
        <v>1568</v>
      </c>
      <c r="B225" s="613" t="s">
        <v>566</v>
      </c>
      <c r="C225" s="235">
        <v>13</v>
      </c>
      <c r="D225" s="471" t="s">
        <v>1940</v>
      </c>
      <c r="E225" s="579" t="s">
        <v>1798</v>
      </c>
      <c r="F225" s="292">
        <f>'ведом. 2021-2023'!AD110</f>
        <v>42552.299999999996</v>
      </c>
      <c r="G225" s="475"/>
      <c r="H225" s="475">
        <f>'ведом. 2021-2023'!AE110</f>
        <v>25611.5</v>
      </c>
      <c r="I225" s="475"/>
      <c r="J225" s="475">
        <f>'ведом. 2021-2023'!AF110</f>
        <v>18966.5</v>
      </c>
      <c r="K225" s="475"/>
      <c r="L225" s="465"/>
      <c r="N225" s="465"/>
      <c r="O225" s="465"/>
    </row>
    <row r="226" spans="1:15" s="441" customFormat="1" x14ac:dyDescent="0.25">
      <c r="A226" s="523" t="s">
        <v>1781</v>
      </c>
      <c r="B226" s="613" t="s">
        <v>566</v>
      </c>
      <c r="C226" s="235">
        <v>13</v>
      </c>
      <c r="D226" s="471" t="s">
        <v>1940</v>
      </c>
      <c r="E226" s="579" t="s">
        <v>821</v>
      </c>
      <c r="F226" s="292">
        <f>F227</f>
        <v>562.80000000000007</v>
      </c>
      <c r="G226" s="475"/>
      <c r="H226" s="475">
        <f>H227</f>
        <v>600.70000000000005</v>
      </c>
      <c r="I226" s="475"/>
      <c r="J226" s="475">
        <f>'ведом. 2021-2023'!AF111</f>
        <v>600.70000000000005</v>
      </c>
      <c r="K226" s="475"/>
      <c r="L226" s="465"/>
      <c r="N226" s="465"/>
      <c r="O226" s="465"/>
    </row>
    <row r="227" spans="1:15" s="441" customFormat="1" ht="31.5" x14ac:dyDescent="0.25">
      <c r="A227" s="523" t="s">
        <v>1273</v>
      </c>
      <c r="B227" s="613" t="s">
        <v>566</v>
      </c>
      <c r="C227" s="235">
        <v>13</v>
      </c>
      <c r="D227" s="471" t="s">
        <v>1940</v>
      </c>
      <c r="E227" s="579" t="s">
        <v>1479</v>
      </c>
      <c r="F227" s="292">
        <f>'ведом. 2021-2023'!AD112</f>
        <v>562.80000000000007</v>
      </c>
      <c r="G227" s="475"/>
      <c r="H227" s="475">
        <f>'ведом. 2021-2023'!AE112</f>
        <v>600.70000000000005</v>
      </c>
      <c r="I227" s="475"/>
      <c r="J227" s="475">
        <f>'ведом. 2021-2023'!AF112</f>
        <v>600.70000000000005</v>
      </c>
      <c r="K227" s="475"/>
      <c r="L227" s="465"/>
      <c r="N227" s="465"/>
      <c r="O227" s="465"/>
    </row>
    <row r="228" spans="1:15" s="513" customFormat="1" x14ac:dyDescent="0.25">
      <c r="A228" s="519" t="s">
        <v>1754</v>
      </c>
      <c r="B228" s="613" t="s">
        <v>566</v>
      </c>
      <c r="C228" s="235">
        <v>13</v>
      </c>
      <c r="D228" s="471" t="s">
        <v>1940</v>
      </c>
      <c r="E228" s="579" t="s">
        <v>2431</v>
      </c>
      <c r="F228" s="292">
        <f>F229</f>
        <v>3</v>
      </c>
      <c r="G228" s="292"/>
      <c r="H228" s="292">
        <f t="shared" ref="H228:J228" si="32">H229</f>
        <v>0</v>
      </c>
      <c r="I228" s="292"/>
      <c r="J228" s="292">
        <f t="shared" si="32"/>
        <v>0</v>
      </c>
      <c r="K228" s="475"/>
      <c r="L228" s="465"/>
      <c r="N228" s="465"/>
      <c r="O228" s="465"/>
    </row>
    <row r="229" spans="1:15" s="513" customFormat="1" x14ac:dyDescent="0.25">
      <c r="A229" s="519" t="s">
        <v>868</v>
      </c>
      <c r="B229" s="613" t="s">
        <v>566</v>
      </c>
      <c r="C229" s="235">
        <v>13</v>
      </c>
      <c r="D229" s="471" t="s">
        <v>1940</v>
      </c>
      <c r="E229" s="579" t="s">
        <v>2432</v>
      </c>
      <c r="F229" s="292">
        <f>'ведом. 2021-2023'!AD114</f>
        <v>3</v>
      </c>
      <c r="G229" s="475"/>
      <c r="H229" s="475">
        <f>'ведом. 2021-2023'!AE114</f>
        <v>0</v>
      </c>
      <c r="I229" s="475"/>
      <c r="J229" s="475">
        <f>'ведом. 2021-2023'!AF114</f>
        <v>0</v>
      </c>
      <c r="K229" s="475"/>
      <c r="L229" s="465"/>
      <c r="N229" s="465"/>
      <c r="O229" s="465"/>
    </row>
    <row r="230" spans="1:15" s="513" customFormat="1" x14ac:dyDescent="0.25">
      <c r="A230" s="519" t="s">
        <v>923</v>
      </c>
      <c r="B230" s="613" t="s">
        <v>566</v>
      </c>
      <c r="C230" s="235">
        <v>13</v>
      </c>
      <c r="D230" s="471" t="s">
        <v>1940</v>
      </c>
      <c r="E230" s="579" t="s">
        <v>2240</v>
      </c>
      <c r="F230" s="292">
        <f>F231</f>
        <v>80.3</v>
      </c>
      <c r="G230" s="475"/>
      <c r="H230" s="475">
        <f>H231</f>
        <v>0</v>
      </c>
      <c r="I230" s="475"/>
      <c r="J230" s="475">
        <f>J231</f>
        <v>0</v>
      </c>
      <c r="K230" s="475"/>
      <c r="L230" s="465"/>
      <c r="N230" s="465"/>
      <c r="O230" s="465"/>
    </row>
    <row r="231" spans="1:15" s="513" customFormat="1" x14ac:dyDescent="0.25">
      <c r="A231" s="519" t="s">
        <v>1319</v>
      </c>
      <c r="B231" s="613" t="s">
        <v>566</v>
      </c>
      <c r="C231" s="235">
        <v>13</v>
      </c>
      <c r="D231" s="471" t="s">
        <v>1940</v>
      </c>
      <c r="E231" s="579" t="s">
        <v>2391</v>
      </c>
      <c r="F231" s="292">
        <f>'ведом. 2021-2023'!AD116</f>
        <v>80.3</v>
      </c>
      <c r="G231" s="475"/>
      <c r="H231" s="475">
        <f>'ведом. 2021-2023'!AE116</f>
        <v>0</v>
      </c>
      <c r="I231" s="475"/>
      <c r="J231" s="475">
        <f>'ведом. 2021-2023'!AF116</f>
        <v>0</v>
      </c>
      <c r="K231" s="475"/>
      <c r="L231" s="465"/>
      <c r="N231" s="465"/>
      <c r="O231" s="465"/>
    </row>
    <row r="232" spans="1:15" s="513" customFormat="1" ht="47.25" x14ac:dyDescent="0.25">
      <c r="A232" s="523" t="s">
        <v>2381</v>
      </c>
      <c r="B232" s="613" t="s">
        <v>566</v>
      </c>
      <c r="C232" s="235">
        <v>13</v>
      </c>
      <c r="D232" s="471" t="s">
        <v>2382</v>
      </c>
      <c r="E232" s="579"/>
      <c r="F232" s="292">
        <f>F233+F235+F237</f>
        <v>10374.9</v>
      </c>
      <c r="G232" s="292"/>
      <c r="H232" s="292">
        <f t="shared" ref="H232:J232" si="33">H233+H235+H237</f>
        <v>7958.9000000000005</v>
      </c>
      <c r="I232" s="292"/>
      <c r="J232" s="292">
        <f t="shared" si="33"/>
        <v>6048.9000000000005</v>
      </c>
      <c r="K232" s="475"/>
      <c r="L232" s="465"/>
      <c r="N232" s="465"/>
      <c r="O232" s="465"/>
    </row>
    <row r="233" spans="1:15" s="513" customFormat="1" ht="47.25" x14ac:dyDescent="0.25">
      <c r="A233" s="523" t="s">
        <v>921</v>
      </c>
      <c r="B233" s="613" t="s">
        <v>566</v>
      </c>
      <c r="C233" s="235">
        <v>13</v>
      </c>
      <c r="D233" s="471" t="s">
        <v>2382</v>
      </c>
      <c r="E233" s="579" t="s">
        <v>1797</v>
      </c>
      <c r="F233" s="292">
        <f>F234</f>
        <v>9775.6</v>
      </c>
      <c r="G233" s="475"/>
      <c r="H233" s="475">
        <f>H234</f>
        <v>7359.6</v>
      </c>
      <c r="I233" s="475"/>
      <c r="J233" s="475">
        <f>J234</f>
        <v>5449.6</v>
      </c>
      <c r="K233" s="475"/>
      <c r="L233" s="465"/>
      <c r="N233" s="465"/>
      <c r="O233" s="465"/>
    </row>
    <row r="234" spans="1:15" s="513" customFormat="1" x14ac:dyDescent="0.25">
      <c r="A234" s="523" t="s">
        <v>1568</v>
      </c>
      <c r="B234" s="613" t="s">
        <v>566</v>
      </c>
      <c r="C234" s="235">
        <v>13</v>
      </c>
      <c r="D234" s="471" t="s">
        <v>2382</v>
      </c>
      <c r="E234" s="579" t="s">
        <v>1798</v>
      </c>
      <c r="F234" s="292">
        <f>'ведом. 2021-2023'!AD119</f>
        <v>9775.6</v>
      </c>
      <c r="G234" s="475"/>
      <c r="H234" s="475">
        <f>'ведом. 2021-2023'!AE119</f>
        <v>7359.6</v>
      </c>
      <c r="I234" s="475"/>
      <c r="J234" s="475">
        <f>'ведом. 2021-2023'!AF119</f>
        <v>5449.6</v>
      </c>
      <c r="K234" s="475"/>
      <c r="L234" s="465"/>
      <c r="N234" s="465"/>
      <c r="O234" s="465"/>
    </row>
    <row r="235" spans="1:15" s="513" customFormat="1" x14ac:dyDescent="0.25">
      <c r="A235" s="523" t="s">
        <v>1781</v>
      </c>
      <c r="B235" s="613" t="s">
        <v>566</v>
      </c>
      <c r="C235" s="235">
        <v>13</v>
      </c>
      <c r="D235" s="471" t="s">
        <v>2382</v>
      </c>
      <c r="E235" s="579" t="s">
        <v>821</v>
      </c>
      <c r="F235" s="292">
        <f>F236</f>
        <v>521.9</v>
      </c>
      <c r="G235" s="475"/>
      <c r="H235" s="475">
        <f>H236</f>
        <v>599.29999999999995</v>
      </c>
      <c r="I235" s="475"/>
      <c r="J235" s="475">
        <f>J236</f>
        <v>599.29999999999995</v>
      </c>
      <c r="K235" s="475"/>
      <c r="L235" s="465"/>
      <c r="N235" s="465"/>
      <c r="O235" s="465"/>
    </row>
    <row r="236" spans="1:15" s="513" customFormat="1" ht="31.5" x14ac:dyDescent="0.25">
      <c r="A236" s="523" t="s">
        <v>1273</v>
      </c>
      <c r="B236" s="613" t="s">
        <v>566</v>
      </c>
      <c r="C236" s="235">
        <v>13</v>
      </c>
      <c r="D236" s="471" t="s">
        <v>2382</v>
      </c>
      <c r="E236" s="579" t="s">
        <v>1479</v>
      </c>
      <c r="F236" s="292">
        <f>'ведом. 2021-2023'!AD121</f>
        <v>521.9</v>
      </c>
      <c r="G236" s="475"/>
      <c r="H236" s="475">
        <f>'ведом. 2021-2023'!AE121</f>
        <v>599.29999999999995</v>
      </c>
      <c r="I236" s="475"/>
      <c r="J236" s="475">
        <f>'ведом. 2021-2023'!AF121</f>
        <v>599.29999999999995</v>
      </c>
      <c r="K236" s="475"/>
      <c r="L236" s="465"/>
      <c r="N236" s="465"/>
      <c r="O236" s="465"/>
    </row>
    <row r="237" spans="1:15" s="513" customFormat="1" x14ac:dyDescent="0.25">
      <c r="A237" s="519" t="s">
        <v>923</v>
      </c>
      <c r="B237" s="235" t="s">
        <v>566</v>
      </c>
      <c r="C237" s="235">
        <v>13</v>
      </c>
      <c r="D237" s="471" t="s">
        <v>2382</v>
      </c>
      <c r="E237" s="579" t="s">
        <v>2240</v>
      </c>
      <c r="F237" s="292">
        <f>F238</f>
        <v>77.400000000000006</v>
      </c>
      <c r="G237" s="292"/>
      <c r="H237" s="292">
        <f t="shared" ref="H237:J237" si="34">H238</f>
        <v>0</v>
      </c>
      <c r="I237" s="292"/>
      <c r="J237" s="292">
        <f t="shared" si="34"/>
        <v>0</v>
      </c>
      <c r="K237" s="475"/>
      <c r="L237" s="465"/>
      <c r="N237" s="465"/>
      <c r="O237" s="465"/>
    </row>
    <row r="238" spans="1:15" s="513" customFormat="1" x14ac:dyDescent="0.25">
      <c r="A238" s="519" t="s">
        <v>1319</v>
      </c>
      <c r="B238" s="235" t="s">
        <v>566</v>
      </c>
      <c r="C238" s="235">
        <v>13</v>
      </c>
      <c r="D238" s="471" t="s">
        <v>2382</v>
      </c>
      <c r="E238" s="579" t="s">
        <v>2391</v>
      </c>
      <c r="F238" s="292">
        <f>'ведом. 2021-2023'!AD123</f>
        <v>77.400000000000006</v>
      </c>
      <c r="G238" s="475"/>
      <c r="H238" s="475">
        <f>'ведом. 2021-2023'!AE123</f>
        <v>0</v>
      </c>
      <c r="I238" s="475"/>
      <c r="J238" s="475">
        <f>'ведом. 2021-2023'!AF123</f>
        <v>0</v>
      </c>
      <c r="K238" s="475"/>
      <c r="L238" s="465"/>
      <c r="N238" s="465"/>
      <c r="O238" s="465"/>
    </row>
    <row r="239" spans="1:15" s="441" customFormat="1" ht="31.5" x14ac:dyDescent="0.25">
      <c r="A239" s="520" t="s">
        <v>2102</v>
      </c>
      <c r="B239" s="613" t="s">
        <v>566</v>
      </c>
      <c r="C239" s="235">
        <v>13</v>
      </c>
      <c r="D239" s="442" t="s">
        <v>1805</v>
      </c>
      <c r="E239" s="238"/>
      <c r="F239" s="292">
        <f t="shared" ref="F239:K239" si="35">F240+F245</f>
        <v>776.5</v>
      </c>
      <c r="G239" s="475">
        <f t="shared" si="35"/>
        <v>763</v>
      </c>
      <c r="H239" s="475">
        <f t="shared" si="35"/>
        <v>442</v>
      </c>
      <c r="I239" s="475">
        <f t="shared" si="35"/>
        <v>424</v>
      </c>
      <c r="J239" s="475">
        <f t="shared" si="35"/>
        <v>58</v>
      </c>
      <c r="K239" s="475">
        <f t="shared" si="35"/>
        <v>40</v>
      </c>
      <c r="L239" s="465"/>
      <c r="N239" s="465"/>
      <c r="O239" s="465"/>
    </row>
    <row r="240" spans="1:15" s="441" customFormat="1" ht="47.25" x14ac:dyDescent="0.25">
      <c r="A240" s="520" t="s">
        <v>2103</v>
      </c>
      <c r="B240" s="613" t="s">
        <v>566</v>
      </c>
      <c r="C240" s="235">
        <v>13</v>
      </c>
      <c r="D240" s="442" t="s">
        <v>2104</v>
      </c>
      <c r="E240" s="238"/>
      <c r="F240" s="292">
        <f>F241</f>
        <v>13.5</v>
      </c>
      <c r="G240" s="475"/>
      <c r="H240" s="475">
        <f>H241</f>
        <v>18</v>
      </c>
      <c r="I240" s="475"/>
      <c r="J240" s="475">
        <f>J241</f>
        <v>18</v>
      </c>
      <c r="K240" s="475"/>
      <c r="L240" s="465"/>
      <c r="N240" s="465"/>
      <c r="O240" s="465"/>
    </row>
    <row r="241" spans="1:15" s="441" customFormat="1" ht="31.5" x14ac:dyDescent="0.25">
      <c r="A241" s="528" t="s">
        <v>2105</v>
      </c>
      <c r="B241" s="613" t="s">
        <v>566</v>
      </c>
      <c r="C241" s="235">
        <v>13</v>
      </c>
      <c r="D241" s="442" t="s">
        <v>2106</v>
      </c>
      <c r="E241" s="238"/>
      <c r="F241" s="292">
        <f>F242</f>
        <v>13.5</v>
      </c>
      <c r="G241" s="475"/>
      <c r="H241" s="475">
        <f>H242</f>
        <v>18</v>
      </c>
      <c r="I241" s="475"/>
      <c r="J241" s="475">
        <f>J242</f>
        <v>18</v>
      </c>
      <c r="K241" s="475"/>
      <c r="L241" s="465"/>
      <c r="N241" s="465"/>
      <c r="O241" s="465"/>
    </row>
    <row r="242" spans="1:15" s="441" customFormat="1" ht="94.5" x14ac:dyDescent="0.25">
      <c r="A242" s="528" t="s">
        <v>2242</v>
      </c>
      <c r="B242" s="613" t="s">
        <v>566</v>
      </c>
      <c r="C242" s="235">
        <v>13</v>
      </c>
      <c r="D242" s="471" t="s">
        <v>2107</v>
      </c>
      <c r="E242" s="238"/>
      <c r="F242" s="292">
        <f>F243</f>
        <v>13.5</v>
      </c>
      <c r="G242" s="475"/>
      <c r="H242" s="475">
        <f>H243</f>
        <v>18</v>
      </c>
      <c r="I242" s="475"/>
      <c r="J242" s="475">
        <f>J243</f>
        <v>18</v>
      </c>
      <c r="K242" s="475"/>
      <c r="L242" s="465"/>
      <c r="N242" s="465"/>
      <c r="O242" s="465"/>
    </row>
    <row r="243" spans="1:15" s="441" customFormat="1" x14ac:dyDescent="0.25">
      <c r="A243" s="523" t="s">
        <v>1781</v>
      </c>
      <c r="B243" s="613" t="s">
        <v>566</v>
      </c>
      <c r="C243" s="235">
        <v>13</v>
      </c>
      <c r="D243" s="471" t="s">
        <v>2107</v>
      </c>
      <c r="E243" s="238">
        <v>200</v>
      </c>
      <c r="F243" s="292">
        <f>F244</f>
        <v>13.5</v>
      </c>
      <c r="G243" s="475"/>
      <c r="H243" s="475">
        <f>H244</f>
        <v>18</v>
      </c>
      <c r="I243" s="475"/>
      <c r="J243" s="475">
        <f>J244</f>
        <v>18</v>
      </c>
      <c r="K243" s="475"/>
      <c r="L243" s="465"/>
      <c r="N243" s="465"/>
      <c r="O243" s="465"/>
    </row>
    <row r="244" spans="1:15" s="441" customFormat="1" ht="31.5" x14ac:dyDescent="0.25">
      <c r="A244" s="523" t="s">
        <v>1273</v>
      </c>
      <c r="B244" s="613" t="s">
        <v>566</v>
      </c>
      <c r="C244" s="235">
        <v>13</v>
      </c>
      <c r="D244" s="471" t="s">
        <v>2107</v>
      </c>
      <c r="E244" s="238">
        <v>240</v>
      </c>
      <c r="F244" s="292">
        <f>'ведом. 2021-2023'!AD129+'ведом. 2021-2023'!AD685</f>
        <v>13.5</v>
      </c>
      <c r="G244" s="475"/>
      <c r="H244" s="475">
        <f>'ведом. 2021-2023'!AE129+'ведом. 2021-2023'!AE685</f>
        <v>18</v>
      </c>
      <c r="I244" s="475"/>
      <c r="J244" s="475">
        <f>'ведом. 2021-2023'!AF129+'ведом. 2021-2023'!AF685</f>
        <v>18</v>
      </c>
      <c r="K244" s="475"/>
      <c r="L244" s="465"/>
      <c r="N244" s="465"/>
      <c r="O244" s="465"/>
    </row>
    <row r="245" spans="1:15" s="441" customFormat="1" x14ac:dyDescent="0.25">
      <c r="A245" s="520" t="s">
        <v>1160</v>
      </c>
      <c r="B245" s="613" t="s">
        <v>566</v>
      </c>
      <c r="C245" s="235">
        <v>13</v>
      </c>
      <c r="D245" s="442" t="s">
        <v>2117</v>
      </c>
      <c r="E245" s="238"/>
      <c r="F245" s="292">
        <f>F246+F250</f>
        <v>763</v>
      </c>
      <c r="G245" s="475">
        <f>G246+G250</f>
        <v>763</v>
      </c>
      <c r="H245" s="475">
        <f>H246+H250</f>
        <v>424</v>
      </c>
      <c r="I245" s="475">
        <f>I246+I250</f>
        <v>424</v>
      </c>
      <c r="J245" s="475">
        <f>'ведом. 2021-2023'!AF130</f>
        <v>40</v>
      </c>
      <c r="K245" s="475">
        <f>K246+K250</f>
        <v>40</v>
      </c>
      <c r="L245" s="465"/>
      <c r="N245" s="465"/>
      <c r="O245" s="465"/>
    </row>
    <row r="246" spans="1:15" s="441" customFormat="1" ht="31.5" x14ac:dyDescent="0.25">
      <c r="A246" s="528" t="s">
        <v>2121</v>
      </c>
      <c r="B246" s="613" t="s">
        <v>566</v>
      </c>
      <c r="C246" s="235">
        <v>13</v>
      </c>
      <c r="D246" s="442" t="s">
        <v>2122</v>
      </c>
      <c r="E246" s="238"/>
      <c r="F246" s="292">
        <f t="shared" ref="F246:K248" si="36">F247</f>
        <v>2</v>
      </c>
      <c r="G246" s="475">
        <f t="shared" si="36"/>
        <v>2</v>
      </c>
      <c r="H246" s="475">
        <f t="shared" si="36"/>
        <v>424</v>
      </c>
      <c r="I246" s="475">
        <f t="shared" si="36"/>
        <v>424</v>
      </c>
      <c r="J246" s="475">
        <f>'ведом. 2021-2023'!AF131</f>
        <v>40</v>
      </c>
      <c r="K246" s="475">
        <f t="shared" si="36"/>
        <v>40</v>
      </c>
      <c r="L246" s="465"/>
      <c r="N246" s="465"/>
      <c r="O246" s="465"/>
    </row>
    <row r="247" spans="1:15" s="441" customFormat="1" ht="31.5" x14ac:dyDescent="0.25">
      <c r="A247" s="520" t="s">
        <v>2123</v>
      </c>
      <c r="B247" s="613" t="s">
        <v>566</v>
      </c>
      <c r="C247" s="235">
        <v>13</v>
      </c>
      <c r="D247" s="442" t="s">
        <v>2124</v>
      </c>
      <c r="E247" s="238"/>
      <c r="F247" s="292">
        <f t="shared" si="36"/>
        <v>2</v>
      </c>
      <c r="G247" s="475">
        <f t="shared" si="36"/>
        <v>2</v>
      </c>
      <c r="H247" s="475">
        <f t="shared" si="36"/>
        <v>424</v>
      </c>
      <c r="I247" s="475">
        <f t="shared" si="36"/>
        <v>424</v>
      </c>
      <c r="J247" s="475">
        <f>'ведом. 2021-2023'!AF132</f>
        <v>40</v>
      </c>
      <c r="K247" s="475">
        <f t="shared" si="36"/>
        <v>40</v>
      </c>
      <c r="L247" s="465"/>
      <c r="N247" s="465"/>
      <c r="O247" s="465"/>
    </row>
    <row r="248" spans="1:15" s="441" customFormat="1" x14ac:dyDescent="0.25">
      <c r="A248" s="523" t="s">
        <v>1781</v>
      </c>
      <c r="B248" s="613" t="s">
        <v>566</v>
      </c>
      <c r="C248" s="235">
        <v>13</v>
      </c>
      <c r="D248" s="442" t="s">
        <v>2124</v>
      </c>
      <c r="E248" s="238">
        <v>200</v>
      </c>
      <c r="F248" s="292">
        <f t="shared" si="36"/>
        <v>2</v>
      </c>
      <c r="G248" s="475">
        <f t="shared" si="36"/>
        <v>2</v>
      </c>
      <c r="H248" s="475">
        <f t="shared" si="36"/>
        <v>424</v>
      </c>
      <c r="I248" s="475">
        <f t="shared" si="36"/>
        <v>424</v>
      </c>
      <c r="J248" s="475">
        <f>'ведом. 2021-2023'!AF133</f>
        <v>40</v>
      </c>
      <c r="K248" s="475">
        <f t="shared" si="36"/>
        <v>40</v>
      </c>
      <c r="L248" s="465"/>
      <c r="N248" s="465"/>
      <c r="O248" s="465"/>
    </row>
    <row r="249" spans="1:15" s="441" customFormat="1" ht="31.5" x14ac:dyDescent="0.25">
      <c r="A249" s="523" t="s">
        <v>1273</v>
      </c>
      <c r="B249" s="613" t="s">
        <v>566</v>
      </c>
      <c r="C249" s="235">
        <v>13</v>
      </c>
      <c r="D249" s="442" t="s">
        <v>2124</v>
      </c>
      <c r="E249" s="238">
        <v>240</v>
      </c>
      <c r="F249" s="292">
        <f>'ведом. 2021-2023'!AD134</f>
        <v>2</v>
      </c>
      <c r="G249" s="475">
        <f>F249</f>
        <v>2</v>
      </c>
      <c r="H249" s="475">
        <f>'ведом. 2021-2023'!AE134</f>
        <v>424</v>
      </c>
      <c r="I249" s="475">
        <f>H249</f>
        <v>424</v>
      </c>
      <c r="J249" s="475">
        <f>'ведом. 2021-2023'!AF134</f>
        <v>40</v>
      </c>
      <c r="K249" s="475">
        <f>J249</f>
        <v>40</v>
      </c>
      <c r="L249" s="465"/>
      <c r="N249" s="465"/>
      <c r="O249" s="465"/>
    </row>
    <row r="250" spans="1:15" s="441" customFormat="1" x14ac:dyDescent="0.25">
      <c r="A250" s="519" t="s">
        <v>2243</v>
      </c>
      <c r="B250" s="613" t="s">
        <v>566</v>
      </c>
      <c r="C250" s="235">
        <v>13</v>
      </c>
      <c r="D250" s="442" t="s">
        <v>2160</v>
      </c>
      <c r="E250" s="238"/>
      <c r="F250" s="292">
        <f t="shared" ref="F250:H252" si="37">F251</f>
        <v>761</v>
      </c>
      <c r="G250" s="475">
        <f t="shared" si="37"/>
        <v>761</v>
      </c>
      <c r="H250" s="475">
        <f t="shared" si="37"/>
        <v>0</v>
      </c>
      <c r="I250" s="475"/>
      <c r="J250" s="475">
        <f>J251</f>
        <v>0</v>
      </c>
      <c r="K250" s="475"/>
      <c r="L250" s="465"/>
      <c r="N250" s="465"/>
      <c r="O250" s="465"/>
    </row>
    <row r="251" spans="1:15" s="441" customFormat="1" x14ac:dyDescent="0.25">
      <c r="A251" s="519" t="s">
        <v>2261</v>
      </c>
      <c r="B251" s="613" t="s">
        <v>566</v>
      </c>
      <c r="C251" s="235">
        <v>13</v>
      </c>
      <c r="D251" s="442" t="s">
        <v>2159</v>
      </c>
      <c r="E251" s="238"/>
      <c r="F251" s="292">
        <f t="shared" si="37"/>
        <v>761</v>
      </c>
      <c r="G251" s="475">
        <f t="shared" si="37"/>
        <v>761</v>
      </c>
      <c r="H251" s="475">
        <f t="shared" si="37"/>
        <v>0</v>
      </c>
      <c r="I251" s="475"/>
      <c r="J251" s="475">
        <f>J252</f>
        <v>0</v>
      </c>
      <c r="K251" s="475"/>
      <c r="L251" s="465"/>
      <c r="N251" s="465"/>
      <c r="O251" s="465"/>
    </row>
    <row r="252" spans="1:15" s="441" customFormat="1" x14ac:dyDescent="0.25">
      <c r="A252" s="523" t="s">
        <v>1781</v>
      </c>
      <c r="B252" s="613" t="s">
        <v>566</v>
      </c>
      <c r="C252" s="235">
        <v>13</v>
      </c>
      <c r="D252" s="442" t="s">
        <v>2159</v>
      </c>
      <c r="E252" s="238">
        <v>200</v>
      </c>
      <c r="F252" s="292">
        <f t="shared" si="37"/>
        <v>761</v>
      </c>
      <c r="G252" s="475">
        <f t="shared" si="37"/>
        <v>761</v>
      </c>
      <c r="H252" s="475">
        <f t="shared" si="37"/>
        <v>0</v>
      </c>
      <c r="I252" s="475"/>
      <c r="J252" s="475">
        <f>J253</f>
        <v>0</v>
      </c>
      <c r="K252" s="475"/>
      <c r="L252" s="465"/>
      <c r="N252" s="465"/>
      <c r="O252" s="465"/>
    </row>
    <row r="253" spans="1:15" s="441" customFormat="1" ht="31.5" x14ac:dyDescent="0.25">
      <c r="A253" s="523" t="s">
        <v>1273</v>
      </c>
      <c r="B253" s="613" t="s">
        <v>566</v>
      </c>
      <c r="C253" s="235">
        <v>13</v>
      </c>
      <c r="D253" s="442" t="s">
        <v>2159</v>
      </c>
      <c r="E253" s="238">
        <v>240</v>
      </c>
      <c r="F253" s="292">
        <f>'ведом. 2021-2023'!AD138</f>
        <v>761</v>
      </c>
      <c r="G253" s="475">
        <f>F253</f>
        <v>761</v>
      </c>
      <c r="H253" s="475">
        <f>'ведом. 2021-2023'!AE138</f>
        <v>0</v>
      </c>
      <c r="I253" s="475"/>
      <c r="J253" s="475">
        <f>'ведом. 2021-2023'!AF138</f>
        <v>0</v>
      </c>
      <c r="K253" s="475"/>
      <c r="L253" s="465"/>
      <c r="N253" s="465"/>
      <c r="O253" s="465"/>
    </row>
    <row r="254" spans="1:15" s="441" customFormat="1" x14ac:dyDescent="0.25">
      <c r="A254" s="520" t="s">
        <v>1957</v>
      </c>
      <c r="B254" s="613" t="s">
        <v>566</v>
      </c>
      <c r="C254" s="235">
        <v>13</v>
      </c>
      <c r="D254" s="442" t="s">
        <v>1958</v>
      </c>
      <c r="E254" s="238"/>
      <c r="F254" s="292">
        <f>F255</f>
        <v>35622.800000000003</v>
      </c>
      <c r="G254" s="292">
        <f>G255</f>
        <v>181</v>
      </c>
      <c r="H254" s="292">
        <f t="shared" ref="H254:J254" si="38">H255</f>
        <v>26307</v>
      </c>
      <c r="I254" s="292"/>
      <c r="J254" s="292">
        <f t="shared" si="38"/>
        <v>26307</v>
      </c>
      <c r="K254" s="475"/>
      <c r="L254" s="465"/>
      <c r="N254" s="465"/>
      <c r="O254" s="465"/>
    </row>
    <row r="255" spans="1:15" s="441" customFormat="1" ht="57.6" customHeight="1" x14ac:dyDescent="0.25">
      <c r="A255" s="520" t="s">
        <v>2436</v>
      </c>
      <c r="B255" s="613" t="s">
        <v>566</v>
      </c>
      <c r="C255" s="235">
        <v>13</v>
      </c>
      <c r="D255" s="442" t="s">
        <v>1959</v>
      </c>
      <c r="E255" s="238"/>
      <c r="F255" s="292">
        <f>F256+F260</f>
        <v>35622.800000000003</v>
      </c>
      <c r="G255" s="292">
        <f>G256+G260</f>
        <v>181</v>
      </c>
      <c r="H255" s="475">
        <f>H256</f>
        <v>26307</v>
      </c>
      <c r="I255" s="475"/>
      <c r="J255" s="475">
        <f>J256</f>
        <v>26307</v>
      </c>
      <c r="K255" s="475"/>
      <c r="L255" s="465"/>
      <c r="N255" s="465"/>
      <c r="O255" s="465"/>
    </row>
    <row r="256" spans="1:15" s="441" customFormat="1" ht="31.5" x14ac:dyDescent="0.25">
      <c r="A256" s="520" t="s">
        <v>1960</v>
      </c>
      <c r="B256" s="613" t="s">
        <v>566</v>
      </c>
      <c r="C256" s="235">
        <v>13</v>
      </c>
      <c r="D256" s="442" t="s">
        <v>1961</v>
      </c>
      <c r="E256" s="238"/>
      <c r="F256" s="292">
        <f>F257</f>
        <v>35401.800000000003</v>
      </c>
      <c r="G256" s="475"/>
      <c r="H256" s="475">
        <f>H257</f>
        <v>26307</v>
      </c>
      <c r="I256" s="475"/>
      <c r="J256" s="475">
        <f>J257</f>
        <v>26307</v>
      </c>
      <c r="K256" s="475"/>
      <c r="L256" s="465"/>
      <c r="N256" s="465"/>
      <c r="O256" s="465"/>
    </row>
    <row r="257" spans="1:15" s="441" customFormat="1" ht="31.5" x14ac:dyDescent="0.25">
      <c r="A257" s="521" t="s">
        <v>1962</v>
      </c>
      <c r="B257" s="613" t="s">
        <v>566</v>
      </c>
      <c r="C257" s="235">
        <v>13</v>
      </c>
      <c r="D257" s="442" t="s">
        <v>1963</v>
      </c>
      <c r="E257" s="580"/>
      <c r="F257" s="292">
        <f>F258</f>
        <v>35401.800000000003</v>
      </c>
      <c r="G257" s="475"/>
      <c r="H257" s="475">
        <f>H258</f>
        <v>26307</v>
      </c>
      <c r="I257" s="475"/>
      <c r="J257" s="475">
        <f>'ведом. 2021-2023'!AF142</f>
        <v>26307</v>
      </c>
      <c r="K257" s="475"/>
      <c r="L257" s="465"/>
      <c r="N257" s="465"/>
      <c r="O257" s="465"/>
    </row>
    <row r="258" spans="1:15" s="441" customFormat="1" ht="31.5" x14ac:dyDescent="0.25">
      <c r="A258" s="523" t="s">
        <v>1342</v>
      </c>
      <c r="B258" s="613" t="s">
        <v>566</v>
      </c>
      <c r="C258" s="235">
        <v>13</v>
      </c>
      <c r="D258" s="442" t="s">
        <v>1963</v>
      </c>
      <c r="E258" s="238">
        <v>600</v>
      </c>
      <c r="F258" s="292">
        <f>F259</f>
        <v>35401.800000000003</v>
      </c>
      <c r="G258" s="475"/>
      <c r="H258" s="475">
        <f>H259</f>
        <v>26307</v>
      </c>
      <c r="I258" s="475"/>
      <c r="J258" s="475">
        <f>'ведом. 2021-2023'!AF143</f>
        <v>26307</v>
      </c>
      <c r="K258" s="475"/>
      <c r="L258" s="465"/>
      <c r="N258" s="465"/>
      <c r="O258" s="465"/>
    </row>
    <row r="259" spans="1:15" s="441" customFormat="1" x14ac:dyDescent="0.25">
      <c r="A259" s="523" t="s">
        <v>1343</v>
      </c>
      <c r="B259" s="613" t="s">
        <v>566</v>
      </c>
      <c r="C259" s="235">
        <v>13</v>
      </c>
      <c r="D259" s="442" t="s">
        <v>1963</v>
      </c>
      <c r="E259" s="238">
        <v>610</v>
      </c>
      <c r="F259" s="292">
        <f>'ведом. 2021-2023'!AD144</f>
        <v>35401.800000000003</v>
      </c>
      <c r="G259" s="475"/>
      <c r="H259" s="475">
        <f>'ведом. 2021-2023'!AE144</f>
        <v>26307</v>
      </c>
      <c r="I259" s="475"/>
      <c r="J259" s="475">
        <f>'ведом. 2021-2023'!AF144</f>
        <v>26307</v>
      </c>
      <c r="K259" s="475"/>
      <c r="L259" s="465"/>
      <c r="N259" s="465"/>
      <c r="O259" s="465"/>
    </row>
    <row r="260" spans="1:15" s="513" customFormat="1" ht="47.25" x14ac:dyDescent="0.25">
      <c r="A260" s="519" t="s">
        <v>2421</v>
      </c>
      <c r="B260" s="235" t="s">
        <v>566</v>
      </c>
      <c r="C260" s="235">
        <v>13</v>
      </c>
      <c r="D260" s="442" t="s">
        <v>2422</v>
      </c>
      <c r="E260" s="238"/>
      <c r="F260" s="292">
        <f t="shared" ref="F260:G262" si="39">F261</f>
        <v>221</v>
      </c>
      <c r="G260" s="292">
        <f t="shared" si="39"/>
        <v>181</v>
      </c>
      <c r="H260" s="292">
        <f t="shared" ref="H260:J260" si="40">H261</f>
        <v>0</v>
      </c>
      <c r="I260" s="292"/>
      <c r="J260" s="292">
        <f t="shared" si="40"/>
        <v>0</v>
      </c>
      <c r="K260" s="475"/>
      <c r="L260" s="465"/>
      <c r="N260" s="465"/>
      <c r="O260" s="465"/>
    </row>
    <row r="261" spans="1:15" s="513" customFormat="1" ht="85.15" customHeight="1" x14ac:dyDescent="0.25">
      <c r="A261" s="519" t="s">
        <v>2439</v>
      </c>
      <c r="B261" s="235" t="s">
        <v>566</v>
      </c>
      <c r="C261" s="235">
        <v>13</v>
      </c>
      <c r="D261" s="442" t="s">
        <v>2423</v>
      </c>
      <c r="E261" s="238"/>
      <c r="F261" s="292">
        <f t="shared" si="39"/>
        <v>221</v>
      </c>
      <c r="G261" s="292">
        <f t="shared" si="39"/>
        <v>181</v>
      </c>
      <c r="H261" s="292">
        <f t="shared" ref="H261:J261" si="41">H262</f>
        <v>0</v>
      </c>
      <c r="I261" s="292"/>
      <c r="J261" s="292">
        <f t="shared" si="41"/>
        <v>0</v>
      </c>
      <c r="K261" s="475"/>
      <c r="L261" s="465"/>
      <c r="N261" s="465"/>
      <c r="O261" s="465"/>
    </row>
    <row r="262" spans="1:15" s="513" customFormat="1" ht="31.5" x14ac:dyDescent="0.25">
      <c r="A262" s="519" t="s">
        <v>1342</v>
      </c>
      <c r="B262" s="235" t="s">
        <v>566</v>
      </c>
      <c r="C262" s="235">
        <v>13</v>
      </c>
      <c r="D262" s="442" t="s">
        <v>2423</v>
      </c>
      <c r="E262" s="238">
        <v>600</v>
      </c>
      <c r="F262" s="292">
        <f t="shared" si="39"/>
        <v>221</v>
      </c>
      <c r="G262" s="292">
        <f t="shared" si="39"/>
        <v>181</v>
      </c>
      <c r="H262" s="292">
        <f t="shared" ref="H262:J262" si="42">H263</f>
        <v>0</v>
      </c>
      <c r="I262" s="292"/>
      <c r="J262" s="292">
        <f t="shared" si="42"/>
        <v>0</v>
      </c>
      <c r="K262" s="475"/>
      <c r="L262" s="465"/>
      <c r="N262" s="465"/>
      <c r="O262" s="465"/>
    </row>
    <row r="263" spans="1:15" s="513" customFormat="1" x14ac:dyDescent="0.25">
      <c r="A263" s="519" t="s">
        <v>1343</v>
      </c>
      <c r="B263" s="235" t="s">
        <v>566</v>
      </c>
      <c r="C263" s="235">
        <v>13</v>
      </c>
      <c r="D263" s="442" t="s">
        <v>2423</v>
      </c>
      <c r="E263" s="238">
        <v>610</v>
      </c>
      <c r="F263" s="292">
        <f>'ведом. 2021-2023'!AD148</f>
        <v>221</v>
      </c>
      <c r="G263" s="475">
        <v>181</v>
      </c>
      <c r="H263" s="475">
        <f>'ведом. 2021-2023'!AE148</f>
        <v>0</v>
      </c>
      <c r="I263" s="475"/>
      <c r="J263" s="475">
        <f>'ведом. 2021-2023'!AF148</f>
        <v>0</v>
      </c>
      <c r="K263" s="475"/>
      <c r="L263" s="465"/>
      <c r="N263" s="465"/>
      <c r="O263" s="465"/>
    </row>
    <row r="264" spans="1:15" s="441" customFormat="1" x14ac:dyDescent="0.25">
      <c r="A264" s="520" t="s">
        <v>1945</v>
      </c>
      <c r="B264" s="613" t="s">
        <v>566</v>
      </c>
      <c r="C264" s="235">
        <v>13</v>
      </c>
      <c r="D264" s="442" t="s">
        <v>1815</v>
      </c>
      <c r="E264" s="579"/>
      <c r="F264" s="292">
        <f>F265+F268</f>
        <v>6877.1</v>
      </c>
      <c r="G264" s="475"/>
      <c r="H264" s="475">
        <f>H265+H268</f>
        <v>100</v>
      </c>
      <c r="I264" s="475"/>
      <c r="J264" s="475">
        <f>J265+J268</f>
        <v>100</v>
      </c>
      <c r="K264" s="475"/>
      <c r="L264" s="465"/>
      <c r="N264" s="465"/>
      <c r="O264" s="465"/>
    </row>
    <row r="265" spans="1:15" s="441" customFormat="1" x14ac:dyDescent="0.25">
      <c r="A265" s="528" t="s">
        <v>1946</v>
      </c>
      <c r="B265" s="614" t="s">
        <v>566</v>
      </c>
      <c r="C265" s="242">
        <v>13</v>
      </c>
      <c r="D265" s="442" t="s">
        <v>1947</v>
      </c>
      <c r="E265" s="581"/>
      <c r="F265" s="292">
        <f>F266</f>
        <v>6299.1</v>
      </c>
      <c r="G265" s="475"/>
      <c r="H265" s="475">
        <f>H266</f>
        <v>100</v>
      </c>
      <c r="I265" s="475"/>
      <c r="J265" s="475">
        <f>J266</f>
        <v>100</v>
      </c>
      <c r="K265" s="475"/>
      <c r="L265" s="465"/>
      <c r="N265" s="465"/>
      <c r="O265" s="465"/>
    </row>
    <row r="266" spans="1:15" s="441" customFormat="1" x14ac:dyDescent="0.25">
      <c r="A266" s="523" t="s">
        <v>923</v>
      </c>
      <c r="B266" s="614" t="s">
        <v>566</v>
      </c>
      <c r="C266" s="242">
        <v>13</v>
      </c>
      <c r="D266" s="442" t="s">
        <v>1947</v>
      </c>
      <c r="E266" s="581">
        <v>800</v>
      </c>
      <c r="F266" s="292">
        <f>F267</f>
        <v>6299.1</v>
      </c>
      <c r="G266" s="475"/>
      <c r="H266" s="475">
        <f>H267</f>
        <v>100</v>
      </c>
      <c r="I266" s="475"/>
      <c r="J266" s="475">
        <f>J267</f>
        <v>100</v>
      </c>
      <c r="K266" s="475"/>
      <c r="L266" s="465"/>
      <c r="N266" s="465"/>
      <c r="O266" s="465"/>
    </row>
    <row r="267" spans="1:15" s="441" customFormat="1" x14ac:dyDescent="0.25">
      <c r="A267" s="523" t="s">
        <v>1810</v>
      </c>
      <c r="B267" s="614" t="s">
        <v>566</v>
      </c>
      <c r="C267" s="242">
        <v>13</v>
      </c>
      <c r="D267" s="442" t="s">
        <v>1947</v>
      </c>
      <c r="E267" s="581">
        <v>830</v>
      </c>
      <c r="F267" s="292">
        <f>'ведом. 2021-2023'!AD152+'ведом. 2021-2023'!AD689</f>
        <v>6299.1</v>
      </c>
      <c r="G267" s="475"/>
      <c r="H267" s="475">
        <f>'ведом. 2021-2023'!AE152</f>
        <v>100</v>
      </c>
      <c r="I267" s="475"/>
      <c r="J267" s="475">
        <f>'ведом. 2021-2023'!AF152</f>
        <v>100</v>
      </c>
      <c r="K267" s="475"/>
      <c r="L267" s="465"/>
      <c r="N267" s="465"/>
      <c r="O267" s="465"/>
    </row>
    <row r="268" spans="1:15" s="513" customFormat="1" x14ac:dyDescent="0.25">
      <c r="A268" s="554" t="s">
        <v>2257</v>
      </c>
      <c r="B268" s="614" t="s">
        <v>566</v>
      </c>
      <c r="C268" s="242">
        <v>13</v>
      </c>
      <c r="D268" s="547" t="s">
        <v>2258</v>
      </c>
      <c r="E268" s="581"/>
      <c r="F268" s="292">
        <f>F269</f>
        <v>578</v>
      </c>
      <c r="G268" s="475"/>
      <c r="H268" s="475">
        <f t="shared" ref="H268:J270" si="43">H269</f>
        <v>0</v>
      </c>
      <c r="I268" s="475"/>
      <c r="J268" s="475">
        <f t="shared" si="43"/>
        <v>0</v>
      </c>
      <c r="K268" s="475"/>
      <c r="L268" s="465"/>
      <c r="N268" s="465"/>
      <c r="O268" s="465"/>
    </row>
    <row r="269" spans="1:15" s="513" customFormat="1" x14ac:dyDescent="0.25">
      <c r="A269" s="523" t="s">
        <v>2396</v>
      </c>
      <c r="B269" s="614" t="s">
        <v>566</v>
      </c>
      <c r="C269" s="242">
        <v>13</v>
      </c>
      <c r="D269" s="547" t="s">
        <v>2397</v>
      </c>
      <c r="E269" s="581"/>
      <c r="F269" s="292">
        <f>F270</f>
        <v>578</v>
      </c>
      <c r="G269" s="475"/>
      <c r="H269" s="475">
        <f t="shared" si="43"/>
        <v>0</v>
      </c>
      <c r="I269" s="475"/>
      <c r="J269" s="475">
        <f t="shared" si="43"/>
        <v>0</v>
      </c>
      <c r="K269" s="475"/>
      <c r="L269" s="465"/>
      <c r="N269" s="465"/>
      <c r="O269" s="465"/>
    </row>
    <row r="270" spans="1:15" s="513" customFormat="1" x14ac:dyDescent="0.25">
      <c r="A270" s="519" t="s">
        <v>923</v>
      </c>
      <c r="B270" s="614" t="s">
        <v>566</v>
      </c>
      <c r="C270" s="242">
        <v>13</v>
      </c>
      <c r="D270" s="547" t="s">
        <v>2397</v>
      </c>
      <c r="E270" s="581">
        <v>800</v>
      </c>
      <c r="F270" s="292">
        <f>F271</f>
        <v>578</v>
      </c>
      <c r="G270" s="475"/>
      <c r="H270" s="475">
        <f t="shared" si="43"/>
        <v>0</v>
      </c>
      <c r="I270" s="475"/>
      <c r="J270" s="475">
        <f t="shared" si="43"/>
        <v>0</v>
      </c>
      <c r="K270" s="475"/>
      <c r="L270" s="465"/>
      <c r="N270" s="465"/>
      <c r="O270" s="465"/>
    </row>
    <row r="271" spans="1:15" s="513" customFormat="1" x14ac:dyDescent="0.25">
      <c r="A271" s="519" t="s">
        <v>1319</v>
      </c>
      <c r="B271" s="614" t="s">
        <v>566</v>
      </c>
      <c r="C271" s="242">
        <v>13</v>
      </c>
      <c r="D271" s="547" t="s">
        <v>2397</v>
      </c>
      <c r="E271" s="581">
        <v>850</v>
      </c>
      <c r="F271" s="292">
        <f>'ведом. 2021-2023'!AD156</f>
        <v>578</v>
      </c>
      <c r="G271" s="475"/>
      <c r="H271" s="475">
        <f>'ведом. 2021-2023'!AE156</f>
        <v>0</v>
      </c>
      <c r="I271" s="475"/>
      <c r="J271" s="475">
        <f>'ведом. 2021-2023'!AF156</f>
        <v>0</v>
      </c>
      <c r="K271" s="475"/>
      <c r="L271" s="465"/>
      <c r="N271" s="465"/>
      <c r="O271" s="465"/>
    </row>
    <row r="272" spans="1:15" s="441" customFormat="1" x14ac:dyDescent="0.25">
      <c r="A272" s="607" t="s">
        <v>271</v>
      </c>
      <c r="B272" s="615" t="s">
        <v>567</v>
      </c>
      <c r="C272" s="247"/>
      <c r="D272" s="271"/>
      <c r="E272" s="575"/>
      <c r="F272" s="733">
        <f t="shared" ref="F272:K272" si="44">F273+F280</f>
        <v>4078.7</v>
      </c>
      <c r="G272" s="478">
        <f t="shared" si="44"/>
        <v>3773</v>
      </c>
      <c r="H272" s="478">
        <f t="shared" si="44"/>
        <v>3973</v>
      </c>
      <c r="I272" s="478">
        <f t="shared" si="44"/>
        <v>3773</v>
      </c>
      <c r="J272" s="478">
        <f t="shared" si="44"/>
        <v>3973</v>
      </c>
      <c r="K272" s="478">
        <f t="shared" si="44"/>
        <v>3773</v>
      </c>
      <c r="L272" s="465"/>
      <c r="N272" s="465"/>
      <c r="O272" s="465"/>
    </row>
    <row r="273" spans="1:15" s="441" customFormat="1" x14ac:dyDescent="0.25">
      <c r="A273" s="523" t="s">
        <v>281</v>
      </c>
      <c r="B273" s="613" t="s">
        <v>567</v>
      </c>
      <c r="C273" s="235" t="s">
        <v>193</v>
      </c>
      <c r="D273" s="249"/>
      <c r="E273" s="576"/>
      <c r="F273" s="292">
        <f t="shared" ref="F273:K278" si="45">F274</f>
        <v>3773</v>
      </c>
      <c r="G273" s="475">
        <f t="shared" si="45"/>
        <v>3773</v>
      </c>
      <c r="H273" s="475">
        <f t="shared" si="45"/>
        <v>3773</v>
      </c>
      <c r="I273" s="475">
        <f t="shared" si="45"/>
        <v>3773</v>
      </c>
      <c r="J273" s="475">
        <f t="shared" si="45"/>
        <v>3773</v>
      </c>
      <c r="K273" s="475">
        <f t="shared" si="45"/>
        <v>3773</v>
      </c>
      <c r="L273" s="465"/>
      <c r="N273" s="465"/>
      <c r="O273" s="465"/>
    </row>
    <row r="274" spans="1:15" s="441" customFormat="1" ht="31.5" x14ac:dyDescent="0.25">
      <c r="A274" s="520" t="s">
        <v>2102</v>
      </c>
      <c r="B274" s="613" t="s">
        <v>567</v>
      </c>
      <c r="C274" s="235" t="s">
        <v>193</v>
      </c>
      <c r="D274" s="442" t="s">
        <v>1805</v>
      </c>
      <c r="E274" s="576"/>
      <c r="F274" s="292">
        <f t="shared" si="45"/>
        <v>3773</v>
      </c>
      <c r="G274" s="475">
        <f t="shared" si="45"/>
        <v>3773</v>
      </c>
      <c r="H274" s="475">
        <f t="shared" si="45"/>
        <v>3773</v>
      </c>
      <c r="I274" s="475">
        <f t="shared" si="45"/>
        <v>3773</v>
      </c>
      <c r="J274" s="475">
        <f t="shared" si="45"/>
        <v>3773</v>
      </c>
      <c r="K274" s="475">
        <f t="shared" si="45"/>
        <v>3773</v>
      </c>
      <c r="L274" s="465"/>
      <c r="N274" s="465"/>
      <c r="O274" s="465"/>
    </row>
    <row r="275" spans="1:15" s="441" customFormat="1" x14ac:dyDescent="0.25">
      <c r="A275" s="520" t="s">
        <v>1160</v>
      </c>
      <c r="B275" s="613" t="s">
        <v>567</v>
      </c>
      <c r="C275" s="235" t="s">
        <v>193</v>
      </c>
      <c r="D275" s="442" t="s">
        <v>2117</v>
      </c>
      <c r="E275" s="576"/>
      <c r="F275" s="292">
        <f t="shared" ref="F275:K277" si="46">F276</f>
        <v>3773</v>
      </c>
      <c r="G275" s="475">
        <f t="shared" si="46"/>
        <v>3773</v>
      </c>
      <c r="H275" s="475">
        <f t="shared" si="46"/>
        <v>3773</v>
      </c>
      <c r="I275" s="475">
        <f t="shared" si="46"/>
        <v>3773</v>
      </c>
      <c r="J275" s="475">
        <f t="shared" si="46"/>
        <v>3773</v>
      </c>
      <c r="K275" s="475">
        <f t="shared" si="46"/>
        <v>3773</v>
      </c>
      <c r="L275" s="465"/>
      <c r="N275" s="465"/>
      <c r="O275" s="465"/>
    </row>
    <row r="276" spans="1:15" s="441" customFormat="1" ht="31.5" x14ac:dyDescent="0.25">
      <c r="A276" s="528" t="s">
        <v>2118</v>
      </c>
      <c r="B276" s="613" t="s">
        <v>567</v>
      </c>
      <c r="C276" s="235" t="s">
        <v>193</v>
      </c>
      <c r="D276" s="442" t="s">
        <v>2119</v>
      </c>
      <c r="E276" s="576"/>
      <c r="F276" s="292">
        <f t="shared" si="46"/>
        <v>3773</v>
      </c>
      <c r="G276" s="475">
        <f t="shared" si="46"/>
        <v>3773</v>
      </c>
      <c r="H276" s="475">
        <f t="shared" si="46"/>
        <v>3773</v>
      </c>
      <c r="I276" s="475">
        <f t="shared" si="46"/>
        <v>3773</v>
      </c>
      <c r="J276" s="475">
        <f t="shared" si="46"/>
        <v>3773</v>
      </c>
      <c r="K276" s="475">
        <f t="shared" si="46"/>
        <v>3773</v>
      </c>
      <c r="L276" s="465"/>
      <c r="N276" s="465"/>
      <c r="O276" s="465"/>
    </row>
    <row r="277" spans="1:15" s="441" customFormat="1" ht="31.5" x14ac:dyDescent="0.25">
      <c r="A277" s="520" t="s">
        <v>494</v>
      </c>
      <c r="B277" s="613" t="s">
        <v>567</v>
      </c>
      <c r="C277" s="235" t="s">
        <v>193</v>
      </c>
      <c r="D277" s="442" t="s">
        <v>2120</v>
      </c>
      <c r="E277" s="582"/>
      <c r="F277" s="292">
        <f t="shared" si="46"/>
        <v>3773</v>
      </c>
      <c r="G277" s="475">
        <f t="shared" si="46"/>
        <v>3773</v>
      </c>
      <c r="H277" s="475">
        <f t="shared" si="46"/>
        <v>3773</v>
      </c>
      <c r="I277" s="475">
        <f t="shared" si="46"/>
        <v>3773</v>
      </c>
      <c r="J277" s="475">
        <f t="shared" si="46"/>
        <v>3773</v>
      </c>
      <c r="K277" s="475">
        <f t="shared" si="46"/>
        <v>3773</v>
      </c>
      <c r="L277" s="465"/>
      <c r="N277" s="465"/>
      <c r="O277" s="465"/>
    </row>
    <row r="278" spans="1:15" s="441" customFormat="1" ht="47.25" x14ac:dyDescent="0.25">
      <c r="A278" s="523" t="s">
        <v>921</v>
      </c>
      <c r="B278" s="613" t="s">
        <v>567</v>
      </c>
      <c r="C278" s="235" t="s">
        <v>193</v>
      </c>
      <c r="D278" s="442" t="s">
        <v>2120</v>
      </c>
      <c r="E278" s="238">
        <v>100</v>
      </c>
      <c r="F278" s="292">
        <f t="shared" si="45"/>
        <v>3773</v>
      </c>
      <c r="G278" s="475">
        <f t="shared" si="45"/>
        <v>3773</v>
      </c>
      <c r="H278" s="475">
        <f t="shared" si="45"/>
        <v>3773</v>
      </c>
      <c r="I278" s="475">
        <f t="shared" si="45"/>
        <v>3773</v>
      </c>
      <c r="J278" s="475">
        <f t="shared" si="45"/>
        <v>3773</v>
      </c>
      <c r="K278" s="475">
        <f t="shared" si="45"/>
        <v>3773</v>
      </c>
      <c r="L278" s="465"/>
      <c r="N278" s="465"/>
      <c r="O278" s="465"/>
    </row>
    <row r="279" spans="1:15" s="441" customFormat="1" x14ac:dyDescent="0.25">
      <c r="A279" s="523" t="s">
        <v>1747</v>
      </c>
      <c r="B279" s="613" t="s">
        <v>567</v>
      </c>
      <c r="C279" s="235" t="s">
        <v>193</v>
      </c>
      <c r="D279" s="442" t="s">
        <v>2120</v>
      </c>
      <c r="E279" s="238">
        <v>120</v>
      </c>
      <c r="F279" s="292">
        <f>'ведом. 2021-2023'!AD164</f>
        <v>3773</v>
      </c>
      <c r="G279" s="475">
        <f>F279</f>
        <v>3773</v>
      </c>
      <c r="H279" s="475">
        <f>'ведом. 2021-2023'!AE164</f>
        <v>3773</v>
      </c>
      <c r="I279" s="475">
        <f>H279</f>
        <v>3773</v>
      </c>
      <c r="J279" s="475">
        <f>'ведом. 2021-2023'!AF164</f>
        <v>3773</v>
      </c>
      <c r="K279" s="475">
        <f>J279</f>
        <v>3773</v>
      </c>
      <c r="L279" s="465"/>
      <c r="N279" s="465"/>
      <c r="O279" s="465"/>
    </row>
    <row r="280" spans="1:15" s="441" customFormat="1" x14ac:dyDescent="0.25">
      <c r="A280" s="523" t="s">
        <v>1156</v>
      </c>
      <c r="B280" s="613" t="s">
        <v>567</v>
      </c>
      <c r="C280" s="235" t="s">
        <v>1181</v>
      </c>
      <c r="D280" s="249"/>
      <c r="E280" s="238"/>
      <c r="F280" s="292">
        <f t="shared" ref="F280:J285" si="47">F281</f>
        <v>305.7</v>
      </c>
      <c r="G280" s="475"/>
      <c r="H280" s="475">
        <f t="shared" si="47"/>
        <v>200</v>
      </c>
      <c r="I280" s="475"/>
      <c r="J280" s="475">
        <f t="shared" si="47"/>
        <v>200</v>
      </c>
      <c r="K280" s="475"/>
      <c r="L280" s="465"/>
      <c r="N280" s="465"/>
      <c r="O280" s="465"/>
    </row>
    <row r="281" spans="1:15" s="441" customFormat="1" x14ac:dyDescent="0.25">
      <c r="A281" s="520" t="s">
        <v>1898</v>
      </c>
      <c r="B281" s="613" t="s">
        <v>567</v>
      </c>
      <c r="C281" s="235" t="s">
        <v>1181</v>
      </c>
      <c r="D281" s="442" t="s">
        <v>1771</v>
      </c>
      <c r="E281" s="238"/>
      <c r="F281" s="292">
        <f t="shared" si="47"/>
        <v>305.7</v>
      </c>
      <c r="G281" s="475"/>
      <c r="H281" s="475">
        <f t="shared" si="47"/>
        <v>200</v>
      </c>
      <c r="I281" s="475"/>
      <c r="J281" s="475">
        <f t="shared" si="47"/>
        <v>200</v>
      </c>
      <c r="K281" s="475"/>
      <c r="L281" s="465"/>
      <c r="N281" s="465"/>
      <c r="O281" s="465"/>
    </row>
    <row r="282" spans="1:15" s="441" customFormat="1" x14ac:dyDescent="0.25">
      <c r="A282" s="520" t="s">
        <v>1907</v>
      </c>
      <c r="B282" s="613" t="s">
        <v>567</v>
      </c>
      <c r="C282" s="235" t="s">
        <v>1181</v>
      </c>
      <c r="D282" s="442" t="s">
        <v>1908</v>
      </c>
      <c r="E282" s="238"/>
      <c r="F282" s="292">
        <f t="shared" si="47"/>
        <v>305.7</v>
      </c>
      <c r="G282" s="475"/>
      <c r="H282" s="475">
        <f t="shared" si="47"/>
        <v>200</v>
      </c>
      <c r="I282" s="475"/>
      <c r="J282" s="475">
        <f t="shared" si="47"/>
        <v>200</v>
      </c>
      <c r="K282" s="475"/>
      <c r="L282" s="465"/>
      <c r="N282" s="465"/>
      <c r="O282" s="465"/>
    </row>
    <row r="283" spans="1:15" s="441" customFormat="1" ht="31.5" x14ac:dyDescent="0.25">
      <c r="A283" s="520" t="s">
        <v>1909</v>
      </c>
      <c r="B283" s="613" t="s">
        <v>567</v>
      </c>
      <c r="C283" s="235" t="s">
        <v>1181</v>
      </c>
      <c r="D283" s="442" t="s">
        <v>1910</v>
      </c>
      <c r="E283" s="238"/>
      <c r="F283" s="292">
        <f t="shared" si="47"/>
        <v>305.7</v>
      </c>
      <c r="G283" s="475"/>
      <c r="H283" s="475">
        <f t="shared" si="47"/>
        <v>200</v>
      </c>
      <c r="I283" s="475"/>
      <c r="J283" s="475">
        <f t="shared" si="47"/>
        <v>200</v>
      </c>
      <c r="K283" s="475"/>
      <c r="L283" s="465"/>
      <c r="N283" s="465"/>
      <c r="O283" s="465"/>
    </row>
    <row r="284" spans="1:15" s="441" customFormat="1" x14ac:dyDescent="0.25">
      <c r="A284" s="528" t="s">
        <v>1941</v>
      </c>
      <c r="B284" s="613" t="s">
        <v>567</v>
      </c>
      <c r="C284" s="235" t="s">
        <v>1181</v>
      </c>
      <c r="D284" s="471" t="s">
        <v>1942</v>
      </c>
      <c r="E284" s="575"/>
      <c r="F284" s="292">
        <f t="shared" si="47"/>
        <v>305.7</v>
      </c>
      <c r="G284" s="475"/>
      <c r="H284" s="475">
        <f t="shared" si="47"/>
        <v>200</v>
      </c>
      <c r="I284" s="475"/>
      <c r="J284" s="475">
        <f t="shared" si="47"/>
        <v>200</v>
      </c>
      <c r="K284" s="475"/>
      <c r="L284" s="465"/>
      <c r="N284" s="465"/>
      <c r="O284" s="465"/>
    </row>
    <row r="285" spans="1:15" s="441" customFormat="1" x14ac:dyDescent="0.25">
      <c r="A285" s="523" t="s">
        <v>1781</v>
      </c>
      <c r="B285" s="613" t="s">
        <v>567</v>
      </c>
      <c r="C285" s="235" t="s">
        <v>1181</v>
      </c>
      <c r="D285" s="471" t="s">
        <v>1942</v>
      </c>
      <c r="E285" s="583">
        <v>200</v>
      </c>
      <c r="F285" s="292">
        <f t="shared" si="47"/>
        <v>305.7</v>
      </c>
      <c r="G285" s="475"/>
      <c r="H285" s="475">
        <f t="shared" si="47"/>
        <v>200</v>
      </c>
      <c r="I285" s="475"/>
      <c r="J285" s="475">
        <f t="shared" si="47"/>
        <v>200</v>
      </c>
      <c r="K285" s="475"/>
      <c r="L285" s="465"/>
      <c r="N285" s="465"/>
      <c r="O285" s="465"/>
    </row>
    <row r="286" spans="1:15" s="441" customFormat="1" ht="31.5" x14ac:dyDescent="0.25">
      <c r="A286" s="523" t="s">
        <v>1273</v>
      </c>
      <c r="B286" s="613" t="s">
        <v>567</v>
      </c>
      <c r="C286" s="235" t="s">
        <v>1181</v>
      </c>
      <c r="D286" s="471" t="s">
        <v>1942</v>
      </c>
      <c r="E286" s="583">
        <v>240</v>
      </c>
      <c r="F286" s="292">
        <f>'ведом. 2021-2023'!AD171</f>
        <v>305.7</v>
      </c>
      <c r="G286" s="475"/>
      <c r="H286" s="475">
        <f>'ведом. 2021-2023'!AE171</f>
        <v>200</v>
      </c>
      <c r="I286" s="475"/>
      <c r="J286" s="475">
        <f>'ведом. 2021-2023'!AF171</f>
        <v>200</v>
      </c>
      <c r="K286" s="475"/>
      <c r="L286" s="465"/>
      <c r="N286" s="465"/>
      <c r="O286" s="465"/>
    </row>
    <row r="287" spans="1:15" s="441" customFormat="1" x14ac:dyDescent="0.25">
      <c r="A287" s="607" t="s">
        <v>1049</v>
      </c>
      <c r="B287" s="615" t="s">
        <v>193</v>
      </c>
      <c r="C287" s="247"/>
      <c r="D287" s="271"/>
      <c r="E287" s="575"/>
      <c r="F287" s="733">
        <f>F288+F300+F335</f>
        <v>38552.1</v>
      </c>
      <c r="G287" s="478"/>
      <c r="H287" s="478">
        <f>H288+H300+H335</f>
        <v>27440.400000000001</v>
      </c>
      <c r="I287" s="478"/>
      <c r="J287" s="478">
        <f>J288+J300+J335</f>
        <v>27440.400000000001</v>
      </c>
      <c r="K287" s="478"/>
      <c r="L287" s="465"/>
      <c r="N287" s="465"/>
      <c r="O287" s="465"/>
    </row>
    <row r="288" spans="1:15" s="441" customFormat="1" x14ac:dyDescent="0.25">
      <c r="A288" s="519" t="s">
        <v>2313</v>
      </c>
      <c r="B288" s="613" t="s">
        <v>193</v>
      </c>
      <c r="C288" s="235" t="s">
        <v>406</v>
      </c>
      <c r="D288" s="249"/>
      <c r="E288" s="576"/>
      <c r="F288" s="292">
        <f>F289</f>
        <v>1208.5</v>
      </c>
      <c r="G288" s="475"/>
      <c r="H288" s="475">
        <f>H289</f>
        <v>1290</v>
      </c>
      <c r="I288" s="475"/>
      <c r="J288" s="475">
        <f>J289</f>
        <v>1290</v>
      </c>
      <c r="K288" s="475"/>
      <c r="L288" s="465"/>
      <c r="N288" s="465"/>
      <c r="O288" s="465"/>
    </row>
    <row r="289" spans="1:15" s="441" customFormat="1" ht="31.5" x14ac:dyDescent="0.25">
      <c r="A289" s="548" t="s">
        <v>1853</v>
      </c>
      <c r="B289" s="613" t="s">
        <v>193</v>
      </c>
      <c r="C289" s="235" t="s">
        <v>406</v>
      </c>
      <c r="D289" s="249" t="s">
        <v>1761</v>
      </c>
      <c r="E289" s="576"/>
      <c r="F289" s="292">
        <f>F290+F295</f>
        <v>1208.5</v>
      </c>
      <c r="G289" s="475"/>
      <c r="H289" s="475">
        <f>H290+H295</f>
        <v>1290</v>
      </c>
      <c r="I289" s="475"/>
      <c r="J289" s="475">
        <f>J290+J295</f>
        <v>1290</v>
      </c>
      <c r="K289" s="475"/>
      <c r="L289" s="465"/>
      <c r="N289" s="465"/>
      <c r="O289" s="465"/>
    </row>
    <row r="290" spans="1:15" s="441" customFormat="1" ht="31.5" x14ac:dyDescent="0.25">
      <c r="A290" s="548" t="s">
        <v>2274</v>
      </c>
      <c r="B290" s="613" t="s">
        <v>193</v>
      </c>
      <c r="C290" s="235" t="s">
        <v>406</v>
      </c>
      <c r="D290" s="442" t="s">
        <v>1762</v>
      </c>
      <c r="E290" s="576"/>
      <c r="F290" s="292">
        <f>F291</f>
        <v>803.5</v>
      </c>
      <c r="G290" s="475"/>
      <c r="H290" s="475">
        <f>H291</f>
        <v>593</v>
      </c>
      <c r="I290" s="475"/>
      <c r="J290" s="475">
        <f>J291</f>
        <v>593</v>
      </c>
      <c r="K290" s="475"/>
      <c r="L290" s="465"/>
      <c r="N290" s="465"/>
      <c r="O290" s="465"/>
    </row>
    <row r="291" spans="1:15" s="441" customFormat="1" ht="78.75" x14ac:dyDescent="0.25">
      <c r="A291" s="526" t="s">
        <v>2277</v>
      </c>
      <c r="B291" s="613" t="s">
        <v>193</v>
      </c>
      <c r="C291" s="235" t="s">
        <v>406</v>
      </c>
      <c r="D291" s="442" t="s">
        <v>1788</v>
      </c>
      <c r="E291" s="576"/>
      <c r="F291" s="292">
        <f t="shared" ref="F291:J292" si="48">F292</f>
        <v>803.5</v>
      </c>
      <c r="G291" s="475"/>
      <c r="H291" s="475">
        <f t="shared" si="48"/>
        <v>593</v>
      </c>
      <c r="I291" s="475"/>
      <c r="J291" s="475">
        <f t="shared" si="48"/>
        <v>593</v>
      </c>
      <c r="K291" s="475"/>
      <c r="L291" s="465"/>
      <c r="N291" s="465"/>
      <c r="O291" s="465"/>
    </row>
    <row r="292" spans="1:15" s="441" customFormat="1" ht="31.5" x14ac:dyDescent="0.25">
      <c r="A292" s="529" t="s">
        <v>1878</v>
      </c>
      <c r="B292" s="613" t="s">
        <v>193</v>
      </c>
      <c r="C292" s="235" t="s">
        <v>406</v>
      </c>
      <c r="D292" s="442" t="s">
        <v>1879</v>
      </c>
      <c r="E292" s="576"/>
      <c r="F292" s="292">
        <f>F293</f>
        <v>803.5</v>
      </c>
      <c r="G292" s="475"/>
      <c r="H292" s="475">
        <f t="shared" si="48"/>
        <v>593</v>
      </c>
      <c r="I292" s="475"/>
      <c r="J292" s="475">
        <f t="shared" si="48"/>
        <v>593</v>
      </c>
      <c r="K292" s="475"/>
      <c r="L292" s="465"/>
      <c r="N292" s="465"/>
      <c r="O292" s="465"/>
    </row>
    <row r="293" spans="1:15" s="441" customFormat="1" x14ac:dyDescent="0.25">
      <c r="A293" s="519" t="s">
        <v>1781</v>
      </c>
      <c r="B293" s="613" t="s">
        <v>193</v>
      </c>
      <c r="C293" s="235" t="s">
        <v>406</v>
      </c>
      <c r="D293" s="442" t="s">
        <v>1879</v>
      </c>
      <c r="E293" s="576">
        <v>200</v>
      </c>
      <c r="F293" s="292">
        <f>F294</f>
        <v>803.5</v>
      </c>
      <c r="G293" s="475"/>
      <c r="H293" s="475">
        <f>H294</f>
        <v>593</v>
      </c>
      <c r="I293" s="475"/>
      <c r="J293" s="475">
        <f>J294</f>
        <v>593</v>
      </c>
      <c r="K293" s="475"/>
      <c r="L293" s="465"/>
      <c r="N293" s="465"/>
      <c r="O293" s="465"/>
    </row>
    <row r="294" spans="1:15" s="441" customFormat="1" ht="31.5" x14ac:dyDescent="0.25">
      <c r="A294" s="519" t="s">
        <v>1273</v>
      </c>
      <c r="B294" s="613" t="s">
        <v>193</v>
      </c>
      <c r="C294" s="235" t="s">
        <v>406</v>
      </c>
      <c r="D294" s="442" t="s">
        <v>1879</v>
      </c>
      <c r="E294" s="576">
        <v>240</v>
      </c>
      <c r="F294" s="292">
        <f>'ведом. 2021-2023'!AD179</f>
        <v>803.5</v>
      </c>
      <c r="G294" s="475"/>
      <c r="H294" s="475">
        <f>'ведом. 2021-2023'!AE179</f>
        <v>593</v>
      </c>
      <c r="I294" s="475"/>
      <c r="J294" s="475">
        <f>'ведом. 2021-2023'!AF179</f>
        <v>593</v>
      </c>
      <c r="K294" s="475"/>
      <c r="L294" s="465"/>
      <c r="N294" s="465"/>
      <c r="O294" s="465"/>
    </row>
    <row r="295" spans="1:15" s="441" customFormat="1" ht="31.5" x14ac:dyDescent="0.25">
      <c r="A295" s="548" t="s">
        <v>2276</v>
      </c>
      <c r="B295" s="613" t="s">
        <v>193</v>
      </c>
      <c r="C295" s="235" t="s">
        <v>406</v>
      </c>
      <c r="D295" s="442" t="s">
        <v>1767</v>
      </c>
      <c r="E295" s="579"/>
      <c r="F295" s="292">
        <f>F296</f>
        <v>405</v>
      </c>
      <c r="G295" s="475"/>
      <c r="H295" s="475">
        <f>H296</f>
        <v>697</v>
      </c>
      <c r="I295" s="475"/>
      <c r="J295" s="475">
        <f>J296</f>
        <v>697</v>
      </c>
      <c r="K295" s="475"/>
      <c r="L295" s="465"/>
      <c r="N295" s="465"/>
      <c r="O295" s="465"/>
    </row>
    <row r="296" spans="1:15" s="441" customFormat="1" ht="31.5" x14ac:dyDescent="0.25">
      <c r="A296" s="529" t="s">
        <v>1881</v>
      </c>
      <c r="B296" s="613" t="s">
        <v>193</v>
      </c>
      <c r="C296" s="235" t="s">
        <v>406</v>
      </c>
      <c r="D296" s="442" t="s">
        <v>1790</v>
      </c>
      <c r="E296" s="579"/>
      <c r="F296" s="292">
        <f>F297</f>
        <v>405</v>
      </c>
      <c r="G296" s="475"/>
      <c r="H296" s="475">
        <f>H297</f>
        <v>697</v>
      </c>
      <c r="I296" s="475"/>
      <c r="J296" s="475">
        <f>J297</f>
        <v>697</v>
      </c>
      <c r="K296" s="475"/>
      <c r="L296" s="465"/>
      <c r="N296" s="465"/>
      <c r="O296" s="465"/>
    </row>
    <row r="297" spans="1:15" s="441" customFormat="1" ht="31.5" x14ac:dyDescent="0.25">
      <c r="A297" s="531" t="s">
        <v>1882</v>
      </c>
      <c r="B297" s="613" t="s">
        <v>193</v>
      </c>
      <c r="C297" s="235" t="s">
        <v>406</v>
      </c>
      <c r="D297" s="442" t="s">
        <v>1883</v>
      </c>
      <c r="E297" s="579"/>
      <c r="F297" s="292">
        <f>F298</f>
        <v>405</v>
      </c>
      <c r="G297" s="475"/>
      <c r="H297" s="475">
        <f>H298</f>
        <v>697</v>
      </c>
      <c r="I297" s="475"/>
      <c r="J297" s="475">
        <f>J298</f>
        <v>697</v>
      </c>
      <c r="K297" s="475"/>
      <c r="L297" s="465"/>
      <c r="N297" s="465"/>
      <c r="O297" s="465"/>
    </row>
    <row r="298" spans="1:15" s="441" customFormat="1" x14ac:dyDescent="0.25">
      <c r="A298" s="519" t="s">
        <v>1781</v>
      </c>
      <c r="B298" s="613" t="s">
        <v>193</v>
      </c>
      <c r="C298" s="235" t="s">
        <v>406</v>
      </c>
      <c r="D298" s="442" t="s">
        <v>1883</v>
      </c>
      <c r="E298" s="579" t="s">
        <v>821</v>
      </c>
      <c r="F298" s="292">
        <f>F299</f>
        <v>405</v>
      </c>
      <c r="G298" s="475"/>
      <c r="H298" s="475">
        <f>H299</f>
        <v>697</v>
      </c>
      <c r="I298" s="475"/>
      <c r="J298" s="475">
        <f>J299</f>
        <v>697</v>
      </c>
      <c r="K298" s="475"/>
      <c r="L298" s="465"/>
      <c r="N298" s="465"/>
      <c r="O298" s="465"/>
    </row>
    <row r="299" spans="1:15" s="441" customFormat="1" ht="31.5" x14ac:dyDescent="0.25">
      <c r="A299" s="519" t="s">
        <v>1273</v>
      </c>
      <c r="B299" s="613" t="s">
        <v>193</v>
      </c>
      <c r="C299" s="235" t="s">
        <v>406</v>
      </c>
      <c r="D299" s="442" t="s">
        <v>1883</v>
      </c>
      <c r="E299" s="579" t="s">
        <v>1479</v>
      </c>
      <c r="F299" s="292">
        <f>'ведом. 2021-2023'!AD184</f>
        <v>405</v>
      </c>
      <c r="G299" s="475"/>
      <c r="H299" s="475">
        <f>'ведом. 2021-2023'!AE184</f>
        <v>697</v>
      </c>
      <c r="I299" s="475"/>
      <c r="J299" s="475">
        <f>'ведом. 2021-2023'!AF184</f>
        <v>697</v>
      </c>
      <c r="K299" s="475"/>
      <c r="L299" s="465"/>
      <c r="N299" s="465"/>
      <c r="O299" s="465"/>
    </row>
    <row r="300" spans="1:15" s="441" customFormat="1" ht="31.5" x14ac:dyDescent="0.25">
      <c r="A300" s="519" t="s">
        <v>2324</v>
      </c>
      <c r="B300" s="613" t="s">
        <v>193</v>
      </c>
      <c r="C300" s="235" t="s">
        <v>768</v>
      </c>
      <c r="D300" s="249"/>
      <c r="E300" s="576"/>
      <c r="F300" s="292">
        <f>F301+F329</f>
        <v>21402.099999999995</v>
      </c>
      <c r="G300" s="475"/>
      <c r="H300" s="475">
        <f>H301+H329</f>
        <v>18952.400000000001</v>
      </c>
      <c r="I300" s="475"/>
      <c r="J300" s="475">
        <f>J301+J329</f>
        <v>18952.400000000001</v>
      </c>
      <c r="K300" s="475"/>
      <c r="L300" s="465"/>
      <c r="N300" s="465"/>
      <c r="O300" s="465"/>
    </row>
    <row r="301" spans="1:15" s="441" customFormat="1" ht="31.5" x14ac:dyDescent="0.25">
      <c r="A301" s="548" t="s">
        <v>1853</v>
      </c>
      <c r="B301" s="613" t="s">
        <v>193</v>
      </c>
      <c r="C301" s="235" t="s">
        <v>768</v>
      </c>
      <c r="D301" s="249" t="s">
        <v>1761</v>
      </c>
      <c r="E301" s="576"/>
      <c r="F301" s="292">
        <f>F302+F315+F320</f>
        <v>21397.599999999995</v>
      </c>
      <c r="G301" s="475"/>
      <c r="H301" s="475">
        <f>H302+H315+H320</f>
        <v>18947.900000000001</v>
      </c>
      <c r="I301" s="475"/>
      <c r="J301" s="475">
        <f>J302+J315+J320</f>
        <v>18947.900000000001</v>
      </c>
      <c r="K301" s="475"/>
      <c r="L301" s="465"/>
      <c r="N301" s="465"/>
      <c r="O301" s="465"/>
    </row>
    <row r="302" spans="1:15" s="441" customFormat="1" ht="47.25" x14ac:dyDescent="0.25">
      <c r="A302" s="548" t="s">
        <v>2336</v>
      </c>
      <c r="B302" s="613" t="s">
        <v>193</v>
      </c>
      <c r="C302" s="235" t="s">
        <v>768</v>
      </c>
      <c r="D302" s="442" t="s">
        <v>1766</v>
      </c>
      <c r="E302" s="579"/>
      <c r="F302" s="292">
        <f>F303+F309</f>
        <v>1024.7</v>
      </c>
      <c r="G302" s="475"/>
      <c r="H302" s="475">
        <f>H303+H309</f>
        <v>780</v>
      </c>
      <c r="I302" s="475"/>
      <c r="J302" s="475">
        <f>J303+J309</f>
        <v>780</v>
      </c>
      <c r="K302" s="475"/>
      <c r="L302" s="465"/>
      <c r="N302" s="465"/>
      <c r="O302" s="465"/>
    </row>
    <row r="303" spans="1:15" s="441" customFormat="1" ht="47.25" x14ac:dyDescent="0.25">
      <c r="A303" s="526" t="s">
        <v>2273</v>
      </c>
      <c r="B303" s="613" t="s">
        <v>193</v>
      </c>
      <c r="C303" s="235" t="s">
        <v>768</v>
      </c>
      <c r="D303" s="442" t="s">
        <v>1787</v>
      </c>
      <c r="E303" s="579"/>
      <c r="F303" s="292">
        <f>F304</f>
        <v>403.1</v>
      </c>
      <c r="G303" s="475"/>
      <c r="H303" s="475">
        <f>H304</f>
        <v>710</v>
      </c>
      <c r="I303" s="475"/>
      <c r="J303" s="475">
        <f>J304</f>
        <v>710</v>
      </c>
      <c r="K303" s="475"/>
      <c r="L303" s="465"/>
      <c r="N303" s="465"/>
      <c r="O303" s="465"/>
    </row>
    <row r="304" spans="1:15" s="441" customFormat="1" ht="31.5" x14ac:dyDescent="0.25">
      <c r="A304" s="529" t="s">
        <v>1871</v>
      </c>
      <c r="B304" s="613" t="s">
        <v>193</v>
      </c>
      <c r="C304" s="235" t="s">
        <v>768</v>
      </c>
      <c r="D304" s="442" t="s">
        <v>1872</v>
      </c>
      <c r="E304" s="579"/>
      <c r="F304" s="292">
        <f>F305+F308</f>
        <v>403.1</v>
      </c>
      <c r="G304" s="292"/>
      <c r="H304" s="292">
        <f t="shared" ref="H304:J304" si="49">H305+H308</f>
        <v>710</v>
      </c>
      <c r="I304" s="292"/>
      <c r="J304" s="292">
        <f t="shared" si="49"/>
        <v>710</v>
      </c>
      <c r="K304" s="475"/>
      <c r="L304" s="465"/>
      <c r="N304" s="465"/>
      <c r="O304" s="465"/>
    </row>
    <row r="305" spans="1:15" s="441" customFormat="1" x14ac:dyDescent="0.25">
      <c r="A305" s="523" t="s">
        <v>1781</v>
      </c>
      <c r="B305" s="613" t="s">
        <v>193</v>
      </c>
      <c r="C305" s="235" t="s">
        <v>768</v>
      </c>
      <c r="D305" s="442" t="s">
        <v>1872</v>
      </c>
      <c r="E305" s="584" t="s">
        <v>821</v>
      </c>
      <c r="F305" s="292">
        <f>F306</f>
        <v>337.1</v>
      </c>
      <c r="G305" s="475"/>
      <c r="H305" s="475">
        <f>H306</f>
        <v>710</v>
      </c>
      <c r="I305" s="475"/>
      <c r="J305" s="475">
        <f>J306</f>
        <v>710</v>
      </c>
      <c r="K305" s="475"/>
      <c r="L305" s="465"/>
      <c r="N305" s="465"/>
      <c r="O305" s="465"/>
    </row>
    <row r="306" spans="1:15" s="441" customFormat="1" ht="31.5" x14ac:dyDescent="0.25">
      <c r="A306" s="523" t="s">
        <v>1273</v>
      </c>
      <c r="B306" s="613" t="s">
        <v>193</v>
      </c>
      <c r="C306" s="235" t="s">
        <v>768</v>
      </c>
      <c r="D306" s="442" t="s">
        <v>1872</v>
      </c>
      <c r="E306" s="584" t="s">
        <v>1479</v>
      </c>
      <c r="F306" s="292">
        <f>'ведом. 2021-2023'!AD191</f>
        <v>337.1</v>
      </c>
      <c r="G306" s="475"/>
      <c r="H306" s="475">
        <f xml:space="preserve"> 'ведом. 2021-2023'!AE191</f>
        <v>710</v>
      </c>
      <c r="I306" s="475"/>
      <c r="J306" s="475">
        <f>'ведом. 2021-2023'!AF191</f>
        <v>710</v>
      </c>
      <c r="K306" s="475"/>
      <c r="L306" s="465"/>
      <c r="N306" s="465"/>
      <c r="O306" s="465"/>
    </row>
    <row r="307" spans="1:15" s="513" customFormat="1" ht="31.5" x14ac:dyDescent="0.25">
      <c r="A307" s="519" t="s">
        <v>1342</v>
      </c>
      <c r="B307" s="613" t="s">
        <v>193</v>
      </c>
      <c r="C307" s="235" t="s">
        <v>768</v>
      </c>
      <c r="D307" s="442" t="s">
        <v>1872</v>
      </c>
      <c r="E307" s="579" t="s">
        <v>2394</v>
      </c>
      <c r="F307" s="292">
        <f>F308</f>
        <v>66</v>
      </c>
      <c r="G307" s="292"/>
      <c r="H307" s="292">
        <f t="shared" ref="H307:J307" si="50">H308</f>
        <v>0</v>
      </c>
      <c r="I307" s="292"/>
      <c r="J307" s="292">
        <f t="shared" si="50"/>
        <v>0</v>
      </c>
      <c r="K307" s="475"/>
      <c r="L307" s="465"/>
      <c r="N307" s="465"/>
      <c r="O307" s="465"/>
    </row>
    <row r="308" spans="1:15" s="513" customFormat="1" x14ac:dyDescent="0.25">
      <c r="A308" s="519" t="s">
        <v>1343</v>
      </c>
      <c r="B308" s="613" t="s">
        <v>193</v>
      </c>
      <c r="C308" s="235" t="s">
        <v>768</v>
      </c>
      <c r="D308" s="442" t="s">
        <v>1872</v>
      </c>
      <c r="E308" s="579" t="s">
        <v>2395</v>
      </c>
      <c r="F308" s="292">
        <f>'ведом. 2021-2023'!AD721</f>
        <v>66</v>
      </c>
      <c r="G308" s="475"/>
      <c r="H308" s="475">
        <f>'ведом. 2021-2023'!AE721</f>
        <v>0</v>
      </c>
      <c r="I308" s="475"/>
      <c r="J308" s="475">
        <f>'ведом. 2021-2023'!AF721</f>
        <v>0</v>
      </c>
      <c r="K308" s="475"/>
      <c r="L308" s="465"/>
      <c r="N308" s="465"/>
      <c r="O308" s="465"/>
    </row>
    <row r="309" spans="1:15" s="441" customFormat="1" ht="31.5" x14ac:dyDescent="0.25">
      <c r="A309" s="529" t="s">
        <v>2272</v>
      </c>
      <c r="B309" s="613" t="s">
        <v>193</v>
      </c>
      <c r="C309" s="235" t="s">
        <v>768</v>
      </c>
      <c r="D309" s="442" t="s">
        <v>1873</v>
      </c>
      <c r="E309" s="238"/>
      <c r="F309" s="292">
        <f>F310</f>
        <v>621.6</v>
      </c>
      <c r="G309" s="475"/>
      <c r="H309" s="475">
        <f>H310</f>
        <v>70</v>
      </c>
      <c r="I309" s="475"/>
      <c r="J309" s="475">
        <f>J310</f>
        <v>70</v>
      </c>
      <c r="K309" s="475"/>
      <c r="L309" s="465"/>
      <c r="N309" s="465"/>
      <c r="O309" s="465"/>
    </row>
    <row r="310" spans="1:15" s="441" customFormat="1" ht="31.5" x14ac:dyDescent="0.25">
      <c r="A310" s="529" t="s">
        <v>1874</v>
      </c>
      <c r="B310" s="613" t="s">
        <v>193</v>
      </c>
      <c r="C310" s="235" t="s">
        <v>768</v>
      </c>
      <c r="D310" s="442" t="s">
        <v>1875</v>
      </c>
      <c r="E310" s="238"/>
      <c r="F310" s="292">
        <f>F311+F313</f>
        <v>621.6</v>
      </c>
      <c r="G310" s="292"/>
      <c r="H310" s="292">
        <f>H311+H313</f>
        <v>70</v>
      </c>
      <c r="I310" s="292"/>
      <c r="J310" s="292">
        <f>J311+J313</f>
        <v>70</v>
      </c>
      <c r="K310" s="475"/>
      <c r="L310" s="465"/>
      <c r="N310" s="465"/>
      <c r="O310" s="465"/>
    </row>
    <row r="311" spans="1:15" s="441" customFormat="1" x14ac:dyDescent="0.25">
      <c r="A311" s="519" t="s">
        <v>1781</v>
      </c>
      <c r="B311" s="613" t="s">
        <v>193</v>
      </c>
      <c r="C311" s="235" t="s">
        <v>768</v>
      </c>
      <c r="D311" s="442" t="s">
        <v>1875</v>
      </c>
      <c r="E311" s="579" t="s">
        <v>821</v>
      </c>
      <c r="F311" s="292">
        <f>F312</f>
        <v>40.1</v>
      </c>
      <c r="G311" s="292"/>
      <c r="H311" s="292">
        <f>H312</f>
        <v>70</v>
      </c>
      <c r="I311" s="292"/>
      <c r="J311" s="292">
        <f>J312</f>
        <v>70</v>
      </c>
      <c r="K311" s="475"/>
      <c r="L311" s="465"/>
      <c r="N311" s="465"/>
      <c r="O311" s="465"/>
    </row>
    <row r="312" spans="1:15" s="513" customFormat="1" ht="31.5" x14ac:dyDescent="0.25">
      <c r="A312" s="519" t="s">
        <v>1273</v>
      </c>
      <c r="B312" s="613" t="s">
        <v>193</v>
      </c>
      <c r="C312" s="235" t="s">
        <v>768</v>
      </c>
      <c r="D312" s="442" t="s">
        <v>1875</v>
      </c>
      <c r="E312" s="579" t="s">
        <v>1479</v>
      </c>
      <c r="F312" s="292">
        <f>'ведом. 2021-2023'!AD195</f>
        <v>40.1</v>
      </c>
      <c r="G312" s="292"/>
      <c r="H312" s="292">
        <f>'ведом. 2021-2023'!AE195</f>
        <v>70</v>
      </c>
      <c r="I312" s="292"/>
      <c r="J312" s="292">
        <f>'ведом. 2021-2023'!AF195</f>
        <v>70</v>
      </c>
      <c r="K312" s="475"/>
      <c r="L312" s="465"/>
      <c r="N312" s="465"/>
      <c r="O312" s="465"/>
    </row>
    <row r="313" spans="1:15" s="513" customFormat="1" ht="31.5" x14ac:dyDescent="0.25">
      <c r="A313" s="519" t="s">
        <v>1342</v>
      </c>
      <c r="B313" s="613" t="s">
        <v>193</v>
      </c>
      <c r="C313" s="235" t="s">
        <v>768</v>
      </c>
      <c r="D313" s="442" t="s">
        <v>1875</v>
      </c>
      <c r="E313" s="579" t="s">
        <v>2394</v>
      </c>
      <c r="F313" s="292">
        <f>F314</f>
        <v>581.5</v>
      </c>
      <c r="G313" s="292"/>
      <c r="H313" s="292">
        <f>H314</f>
        <v>0</v>
      </c>
      <c r="I313" s="292"/>
      <c r="J313" s="292">
        <f>J314</f>
        <v>0</v>
      </c>
      <c r="K313" s="475"/>
      <c r="L313" s="465"/>
      <c r="N313" s="465"/>
      <c r="O313" s="465"/>
    </row>
    <row r="314" spans="1:15" s="513" customFormat="1" x14ac:dyDescent="0.25">
      <c r="A314" s="519" t="s">
        <v>1343</v>
      </c>
      <c r="B314" s="613" t="s">
        <v>193</v>
      </c>
      <c r="C314" s="235" t="s">
        <v>768</v>
      </c>
      <c r="D314" s="442" t="s">
        <v>1875</v>
      </c>
      <c r="E314" s="579" t="s">
        <v>2395</v>
      </c>
      <c r="F314" s="292">
        <f>'ведом. 2021-2023'!AD197</f>
        <v>581.5</v>
      </c>
      <c r="G314" s="292"/>
      <c r="H314" s="292">
        <f>'ведом. 2021-2023'!AE197</f>
        <v>0</v>
      </c>
      <c r="I314" s="292"/>
      <c r="J314" s="292">
        <f>'ведом. 2021-2023'!AF197</f>
        <v>0</v>
      </c>
      <c r="K314" s="475"/>
      <c r="L314" s="465"/>
      <c r="N314" s="465"/>
      <c r="O314" s="465"/>
    </row>
    <row r="315" spans="1:15" s="441" customFormat="1" ht="31.5" x14ac:dyDescent="0.25">
      <c r="A315" s="548" t="s">
        <v>2275</v>
      </c>
      <c r="B315" s="613" t="s">
        <v>193</v>
      </c>
      <c r="C315" s="235" t="s">
        <v>768</v>
      </c>
      <c r="D315" s="442" t="s">
        <v>1763</v>
      </c>
      <c r="E315" s="238"/>
      <c r="F315" s="292">
        <f>F316</f>
        <v>175.9</v>
      </c>
      <c r="G315" s="475"/>
      <c r="H315" s="475">
        <f>H316</f>
        <v>656</v>
      </c>
      <c r="I315" s="475"/>
      <c r="J315" s="475">
        <f>J316</f>
        <v>656</v>
      </c>
      <c r="K315" s="475"/>
      <c r="L315" s="465"/>
      <c r="N315" s="465"/>
      <c r="O315" s="465"/>
    </row>
    <row r="316" spans="1:15" s="441" customFormat="1" x14ac:dyDescent="0.25">
      <c r="A316" s="529" t="s">
        <v>1880</v>
      </c>
      <c r="B316" s="613" t="s">
        <v>193</v>
      </c>
      <c r="C316" s="235" t="s">
        <v>768</v>
      </c>
      <c r="D316" s="442" t="s">
        <v>1789</v>
      </c>
      <c r="E316" s="579"/>
      <c r="F316" s="292">
        <f>F317</f>
        <v>175.9</v>
      </c>
      <c r="G316" s="475"/>
      <c r="H316" s="475">
        <f>H317</f>
        <v>656</v>
      </c>
      <c r="I316" s="475"/>
      <c r="J316" s="475">
        <f>J317</f>
        <v>656</v>
      </c>
      <c r="K316" s="475"/>
      <c r="L316" s="465"/>
      <c r="N316" s="465"/>
      <c r="O316" s="465"/>
    </row>
    <row r="317" spans="1:15" s="441" customFormat="1" x14ac:dyDescent="0.25">
      <c r="A317" s="519" t="s">
        <v>1876</v>
      </c>
      <c r="B317" s="613" t="s">
        <v>193</v>
      </c>
      <c r="C317" s="235" t="s">
        <v>768</v>
      </c>
      <c r="D317" s="442" t="s">
        <v>1877</v>
      </c>
      <c r="E317" s="238"/>
      <c r="F317" s="292">
        <f>F318</f>
        <v>175.9</v>
      </c>
      <c r="G317" s="292"/>
      <c r="H317" s="292">
        <f t="shared" ref="H317:J317" si="51">H318</f>
        <v>656</v>
      </c>
      <c r="I317" s="292"/>
      <c r="J317" s="292">
        <f t="shared" si="51"/>
        <v>656</v>
      </c>
      <c r="K317" s="475"/>
      <c r="L317" s="465"/>
      <c r="N317" s="465"/>
      <c r="O317" s="465"/>
    </row>
    <row r="318" spans="1:15" s="441" customFormat="1" x14ac:dyDescent="0.25">
      <c r="A318" s="519" t="s">
        <v>1781</v>
      </c>
      <c r="B318" s="613" t="s">
        <v>193</v>
      </c>
      <c r="C318" s="235" t="s">
        <v>768</v>
      </c>
      <c r="D318" s="442" t="s">
        <v>1877</v>
      </c>
      <c r="E318" s="579" t="s">
        <v>821</v>
      </c>
      <c r="F318" s="292">
        <f>F319</f>
        <v>175.9</v>
      </c>
      <c r="G318" s="475"/>
      <c r="H318" s="475">
        <f>H319</f>
        <v>656</v>
      </c>
      <c r="I318" s="475"/>
      <c r="J318" s="475">
        <f>J319</f>
        <v>656</v>
      </c>
      <c r="K318" s="475"/>
      <c r="L318" s="465"/>
      <c r="N318" s="465"/>
      <c r="O318" s="465"/>
    </row>
    <row r="319" spans="1:15" s="441" customFormat="1" ht="31.5" x14ac:dyDescent="0.25">
      <c r="A319" s="519" t="s">
        <v>1273</v>
      </c>
      <c r="B319" s="613" t="s">
        <v>193</v>
      </c>
      <c r="C319" s="235" t="s">
        <v>768</v>
      </c>
      <c r="D319" s="442" t="s">
        <v>1877</v>
      </c>
      <c r="E319" s="579" t="s">
        <v>1479</v>
      </c>
      <c r="F319" s="292">
        <f>'ведом. 2021-2023'!AD202</f>
        <v>175.9</v>
      </c>
      <c r="G319" s="475"/>
      <c r="H319" s="475">
        <f>'ведом. 2021-2023'!AE202</f>
        <v>656</v>
      </c>
      <c r="I319" s="475"/>
      <c r="J319" s="475">
        <f>'ведом. 2021-2023'!AF202</f>
        <v>656</v>
      </c>
      <c r="K319" s="475"/>
      <c r="L319" s="465"/>
      <c r="N319" s="465"/>
      <c r="O319" s="465"/>
    </row>
    <row r="320" spans="1:15" s="513" customFormat="1" x14ac:dyDescent="0.25">
      <c r="A320" s="529" t="s">
        <v>1160</v>
      </c>
      <c r="B320" s="613" t="s">
        <v>193</v>
      </c>
      <c r="C320" s="235" t="s">
        <v>768</v>
      </c>
      <c r="D320" s="442" t="s">
        <v>1764</v>
      </c>
      <c r="E320" s="579"/>
      <c r="F320" s="292">
        <f>F321</f>
        <v>20196.999999999996</v>
      </c>
      <c r="G320" s="475"/>
      <c r="H320" s="475">
        <f>H321</f>
        <v>17511.900000000001</v>
      </c>
      <c r="I320" s="475"/>
      <c r="J320" s="475">
        <f>J321</f>
        <v>17511.900000000001</v>
      </c>
      <c r="K320" s="475"/>
      <c r="L320" s="465"/>
      <c r="N320" s="465"/>
      <c r="O320" s="465"/>
    </row>
    <row r="321" spans="1:15" s="513" customFormat="1" ht="31.5" x14ac:dyDescent="0.25">
      <c r="A321" s="529" t="s">
        <v>2042</v>
      </c>
      <c r="B321" s="613" t="s">
        <v>193</v>
      </c>
      <c r="C321" s="235" t="s">
        <v>768</v>
      </c>
      <c r="D321" s="442" t="s">
        <v>2246</v>
      </c>
      <c r="E321" s="579"/>
      <c r="F321" s="292">
        <f>F322</f>
        <v>20196.999999999996</v>
      </c>
      <c r="G321" s="475"/>
      <c r="H321" s="475">
        <f>H322</f>
        <v>17511.900000000001</v>
      </c>
      <c r="I321" s="475"/>
      <c r="J321" s="475">
        <f>J322</f>
        <v>17511.900000000001</v>
      </c>
      <c r="K321" s="475"/>
      <c r="L321" s="465"/>
      <c r="N321" s="465"/>
      <c r="O321" s="465"/>
    </row>
    <row r="322" spans="1:15" s="441" customFormat="1" x14ac:dyDescent="0.25">
      <c r="A322" s="529" t="s">
        <v>1884</v>
      </c>
      <c r="B322" s="613" t="s">
        <v>193</v>
      </c>
      <c r="C322" s="235" t="s">
        <v>768</v>
      </c>
      <c r="D322" s="442" t="s">
        <v>1885</v>
      </c>
      <c r="E322" s="579"/>
      <c r="F322" s="292">
        <f>F323+F325+F327</f>
        <v>20196.999999999996</v>
      </c>
      <c r="G322" s="475"/>
      <c r="H322" s="475">
        <f>H323+H325+H327</f>
        <v>17511.900000000001</v>
      </c>
      <c r="I322" s="475"/>
      <c r="J322" s="475">
        <f>J323+J325+J327</f>
        <v>17511.900000000001</v>
      </c>
      <c r="K322" s="475"/>
      <c r="L322" s="465"/>
      <c r="N322" s="465"/>
      <c r="O322" s="465"/>
    </row>
    <row r="323" spans="1:15" s="441" customFormat="1" ht="47.25" x14ac:dyDescent="0.25">
      <c r="A323" s="519" t="s">
        <v>1833</v>
      </c>
      <c r="B323" s="613" t="s">
        <v>193</v>
      </c>
      <c r="C323" s="235" t="s">
        <v>768</v>
      </c>
      <c r="D323" s="442" t="s">
        <v>1885</v>
      </c>
      <c r="E323" s="579" t="s">
        <v>1797</v>
      </c>
      <c r="F323" s="292">
        <f>F324</f>
        <v>17768.899999999998</v>
      </c>
      <c r="G323" s="475"/>
      <c r="H323" s="475">
        <f>H324</f>
        <v>15082.9</v>
      </c>
      <c r="I323" s="475"/>
      <c r="J323" s="475">
        <f>J324</f>
        <v>15082.9</v>
      </c>
      <c r="K323" s="475"/>
      <c r="L323" s="465"/>
      <c r="N323" s="465"/>
      <c r="O323" s="465"/>
    </row>
    <row r="324" spans="1:15" s="441" customFormat="1" x14ac:dyDescent="0.25">
      <c r="A324" s="519" t="s">
        <v>1568</v>
      </c>
      <c r="B324" s="613" t="s">
        <v>193</v>
      </c>
      <c r="C324" s="235" t="s">
        <v>768</v>
      </c>
      <c r="D324" s="442" t="s">
        <v>1885</v>
      </c>
      <c r="E324" s="579" t="s">
        <v>1798</v>
      </c>
      <c r="F324" s="292">
        <f>'ведом. 2021-2023'!AD207</f>
        <v>17768.899999999998</v>
      </c>
      <c r="G324" s="475"/>
      <c r="H324" s="475">
        <f>'ведом. 2021-2023'!AE207</f>
        <v>15082.9</v>
      </c>
      <c r="I324" s="475"/>
      <c r="J324" s="475">
        <f>'ведом. 2021-2023'!AF207</f>
        <v>15082.9</v>
      </c>
      <c r="K324" s="475"/>
      <c r="L324" s="465"/>
      <c r="N324" s="465"/>
      <c r="O324" s="465"/>
    </row>
    <row r="325" spans="1:15" s="441" customFormat="1" x14ac:dyDescent="0.25">
      <c r="A325" s="519" t="s">
        <v>1781</v>
      </c>
      <c r="B325" s="613" t="s">
        <v>193</v>
      </c>
      <c r="C325" s="235" t="s">
        <v>768</v>
      </c>
      <c r="D325" s="442" t="s">
        <v>1885</v>
      </c>
      <c r="E325" s="579" t="s">
        <v>821</v>
      </c>
      <c r="F325" s="292">
        <f>F326</f>
        <v>2428</v>
      </c>
      <c r="G325" s="475"/>
      <c r="H325" s="475">
        <f>H326</f>
        <v>2429</v>
      </c>
      <c r="I325" s="475"/>
      <c r="J325" s="475">
        <f>J326</f>
        <v>2429</v>
      </c>
      <c r="K325" s="475"/>
      <c r="L325" s="465"/>
      <c r="N325" s="465"/>
      <c r="O325" s="465"/>
    </row>
    <row r="326" spans="1:15" s="441" customFormat="1" ht="31.5" x14ac:dyDescent="0.25">
      <c r="A326" s="519" t="s">
        <v>1273</v>
      </c>
      <c r="B326" s="613" t="s">
        <v>193</v>
      </c>
      <c r="C326" s="235" t="s">
        <v>768</v>
      </c>
      <c r="D326" s="442" t="s">
        <v>1885</v>
      </c>
      <c r="E326" s="579" t="s">
        <v>1479</v>
      </c>
      <c r="F326" s="292">
        <f>'ведом. 2021-2023'!AD209</f>
        <v>2428</v>
      </c>
      <c r="G326" s="475"/>
      <c r="H326" s="475">
        <f>'ведом. 2021-2023'!AE209</f>
        <v>2429</v>
      </c>
      <c r="I326" s="475"/>
      <c r="J326" s="475">
        <f>'ведом. 2021-2023'!AF209</f>
        <v>2429</v>
      </c>
      <c r="K326" s="475"/>
      <c r="L326" s="465"/>
      <c r="N326" s="465"/>
      <c r="O326" s="465"/>
    </row>
    <row r="327" spans="1:15" s="513" customFormat="1" x14ac:dyDescent="0.25">
      <c r="A327" s="519" t="s">
        <v>923</v>
      </c>
      <c r="B327" s="613" t="s">
        <v>193</v>
      </c>
      <c r="C327" s="235" t="s">
        <v>768</v>
      </c>
      <c r="D327" s="442" t="s">
        <v>1885</v>
      </c>
      <c r="E327" s="579" t="s">
        <v>2240</v>
      </c>
      <c r="F327" s="292">
        <f>F328</f>
        <v>0.1</v>
      </c>
      <c r="G327" s="475"/>
      <c r="H327" s="475">
        <f>H328</f>
        <v>0</v>
      </c>
      <c r="I327" s="475"/>
      <c r="J327" s="475">
        <f>J328</f>
        <v>0</v>
      </c>
      <c r="K327" s="475"/>
      <c r="L327" s="465"/>
      <c r="N327" s="465"/>
      <c r="O327" s="465"/>
    </row>
    <row r="328" spans="1:15" s="513" customFormat="1" x14ac:dyDescent="0.25">
      <c r="A328" s="519" t="s">
        <v>1319</v>
      </c>
      <c r="B328" s="613" t="s">
        <v>193</v>
      </c>
      <c r="C328" s="235" t="s">
        <v>768</v>
      </c>
      <c r="D328" s="442" t="s">
        <v>1885</v>
      </c>
      <c r="E328" s="579" t="s">
        <v>2391</v>
      </c>
      <c r="F328" s="292">
        <f>'ведом. 2021-2023'!AD211</f>
        <v>0.1</v>
      </c>
      <c r="G328" s="475"/>
      <c r="H328" s="475">
        <f>'ведом. 2021-2023'!AE211</f>
        <v>0</v>
      </c>
      <c r="I328" s="475"/>
      <c r="J328" s="475">
        <f>'ведом. 2021-2023'!AF211</f>
        <v>0</v>
      </c>
      <c r="K328" s="475"/>
      <c r="L328" s="465"/>
      <c r="N328" s="465"/>
      <c r="O328" s="465"/>
    </row>
    <row r="329" spans="1:15" s="441" customFormat="1" ht="31.5" x14ac:dyDescent="0.25">
      <c r="A329" s="520" t="s">
        <v>2102</v>
      </c>
      <c r="B329" s="613" t="s">
        <v>193</v>
      </c>
      <c r="C329" s="235" t="s">
        <v>768</v>
      </c>
      <c r="D329" s="442" t="s">
        <v>1805</v>
      </c>
      <c r="E329" s="238"/>
      <c r="F329" s="292">
        <f>F330</f>
        <v>4.5</v>
      </c>
      <c r="G329" s="475"/>
      <c r="H329" s="475">
        <f>H330</f>
        <v>4.5</v>
      </c>
      <c r="I329" s="475"/>
      <c r="J329" s="475">
        <f>J330</f>
        <v>4.5</v>
      </c>
      <c r="K329" s="475"/>
      <c r="L329" s="465"/>
      <c r="N329" s="465"/>
      <c r="O329" s="465"/>
    </row>
    <row r="330" spans="1:15" s="441" customFormat="1" ht="47.25" x14ac:dyDescent="0.25">
      <c r="A330" s="520" t="s">
        <v>2103</v>
      </c>
      <c r="B330" s="613" t="s">
        <v>193</v>
      </c>
      <c r="C330" s="235" t="s">
        <v>768</v>
      </c>
      <c r="D330" s="442" t="s">
        <v>2104</v>
      </c>
      <c r="E330" s="238"/>
      <c r="F330" s="292">
        <f>F331</f>
        <v>4.5</v>
      </c>
      <c r="G330" s="475"/>
      <c r="H330" s="475">
        <f>H331</f>
        <v>4.5</v>
      </c>
      <c r="I330" s="475"/>
      <c r="J330" s="475">
        <f>J331</f>
        <v>4.5</v>
      </c>
      <c r="K330" s="475"/>
      <c r="L330" s="465"/>
      <c r="N330" s="465"/>
      <c r="O330" s="465"/>
    </row>
    <row r="331" spans="1:15" s="441" customFormat="1" ht="31.5" x14ac:dyDescent="0.25">
      <c r="A331" s="528" t="s">
        <v>2105</v>
      </c>
      <c r="B331" s="613" t="s">
        <v>193</v>
      </c>
      <c r="C331" s="235" t="s">
        <v>768</v>
      </c>
      <c r="D331" s="442" t="s">
        <v>2106</v>
      </c>
      <c r="E331" s="238"/>
      <c r="F331" s="292">
        <f>F332</f>
        <v>4.5</v>
      </c>
      <c r="G331" s="475"/>
      <c r="H331" s="475">
        <f>H332</f>
        <v>4.5</v>
      </c>
      <c r="I331" s="475"/>
      <c r="J331" s="475">
        <f>J332</f>
        <v>4.5</v>
      </c>
      <c r="K331" s="475"/>
      <c r="L331" s="465"/>
      <c r="N331" s="465"/>
      <c r="O331" s="465"/>
    </row>
    <row r="332" spans="1:15" s="441" customFormat="1" ht="94.5" x14ac:dyDescent="0.25">
      <c r="A332" s="528" t="s">
        <v>2242</v>
      </c>
      <c r="B332" s="613" t="s">
        <v>193</v>
      </c>
      <c r="C332" s="235" t="s">
        <v>768</v>
      </c>
      <c r="D332" s="471" t="s">
        <v>2107</v>
      </c>
      <c r="E332" s="238"/>
      <c r="F332" s="292">
        <f>F333</f>
        <v>4.5</v>
      </c>
      <c r="G332" s="475"/>
      <c r="H332" s="475">
        <f>H333</f>
        <v>4.5</v>
      </c>
      <c r="I332" s="475"/>
      <c r="J332" s="475">
        <f>J333</f>
        <v>4.5</v>
      </c>
      <c r="K332" s="475"/>
      <c r="L332" s="465"/>
      <c r="N332" s="465"/>
      <c r="O332" s="465"/>
    </row>
    <row r="333" spans="1:15" s="441" customFormat="1" x14ac:dyDescent="0.25">
      <c r="A333" s="519" t="s">
        <v>1781</v>
      </c>
      <c r="B333" s="613" t="s">
        <v>193</v>
      </c>
      <c r="C333" s="235" t="s">
        <v>768</v>
      </c>
      <c r="D333" s="471" t="s">
        <v>2107</v>
      </c>
      <c r="E333" s="238">
        <v>200</v>
      </c>
      <c r="F333" s="292">
        <f>F334</f>
        <v>4.5</v>
      </c>
      <c r="G333" s="475"/>
      <c r="H333" s="475">
        <f>H334</f>
        <v>4.5</v>
      </c>
      <c r="I333" s="475"/>
      <c r="J333" s="475">
        <f>J334</f>
        <v>4.5</v>
      </c>
      <c r="K333" s="475"/>
      <c r="L333" s="465"/>
      <c r="N333" s="465"/>
      <c r="O333" s="465"/>
    </row>
    <row r="334" spans="1:15" s="441" customFormat="1" ht="31.5" x14ac:dyDescent="0.25">
      <c r="A334" s="519" t="s">
        <v>1273</v>
      </c>
      <c r="B334" s="613" t="s">
        <v>193</v>
      </c>
      <c r="C334" s="235" t="s">
        <v>768</v>
      </c>
      <c r="D334" s="471" t="s">
        <v>2107</v>
      </c>
      <c r="E334" s="238">
        <v>240</v>
      </c>
      <c r="F334" s="292">
        <f>'ведом. 2021-2023'!AD217</f>
        <v>4.5</v>
      </c>
      <c r="G334" s="475"/>
      <c r="H334" s="475">
        <f>'ведом. 2021-2023'!AE217</f>
        <v>4.5</v>
      </c>
      <c r="I334" s="475"/>
      <c r="J334" s="475">
        <f>'ведом. 2021-2023'!AF217</f>
        <v>4.5</v>
      </c>
      <c r="K334" s="475"/>
      <c r="L334" s="465"/>
      <c r="N334" s="465"/>
      <c r="O334" s="465"/>
    </row>
    <row r="335" spans="1:15" s="441" customFormat="1" ht="31.5" x14ac:dyDescent="0.25">
      <c r="A335" s="519" t="s">
        <v>1834</v>
      </c>
      <c r="B335" s="613" t="s">
        <v>193</v>
      </c>
      <c r="C335" s="235">
        <v>14</v>
      </c>
      <c r="D335" s="249"/>
      <c r="E335" s="579"/>
      <c r="F335" s="292">
        <f>F336</f>
        <v>15941.500000000004</v>
      </c>
      <c r="G335" s="475"/>
      <c r="H335" s="475">
        <f>H336</f>
        <v>7198</v>
      </c>
      <c r="I335" s="475"/>
      <c r="J335" s="475">
        <f>J336</f>
        <v>7198</v>
      </c>
      <c r="K335" s="475"/>
      <c r="L335" s="465"/>
      <c r="N335" s="465"/>
      <c r="O335" s="465"/>
    </row>
    <row r="336" spans="1:15" s="441" customFormat="1" ht="31.5" x14ac:dyDescent="0.25">
      <c r="A336" s="548" t="s">
        <v>1853</v>
      </c>
      <c r="B336" s="613" t="s">
        <v>193</v>
      </c>
      <c r="C336" s="235">
        <v>14</v>
      </c>
      <c r="D336" s="249" t="s">
        <v>1761</v>
      </c>
      <c r="E336" s="579"/>
      <c r="F336" s="292">
        <f>F337</f>
        <v>15941.500000000004</v>
      </c>
      <c r="G336" s="475"/>
      <c r="H336" s="475">
        <f>H337</f>
        <v>7198</v>
      </c>
      <c r="I336" s="475"/>
      <c r="J336" s="475">
        <f>J337</f>
        <v>7198</v>
      </c>
      <c r="K336" s="475"/>
      <c r="L336" s="465"/>
      <c r="N336" s="465"/>
      <c r="O336" s="465"/>
    </row>
    <row r="337" spans="1:15" s="441" customFormat="1" x14ac:dyDescent="0.25">
      <c r="A337" s="548" t="s">
        <v>1854</v>
      </c>
      <c r="B337" s="613" t="s">
        <v>193</v>
      </c>
      <c r="C337" s="235">
        <v>14</v>
      </c>
      <c r="D337" s="249" t="s">
        <v>1765</v>
      </c>
      <c r="E337" s="579"/>
      <c r="F337" s="292">
        <f>F338+F343+F349+F353</f>
        <v>15941.500000000004</v>
      </c>
      <c r="G337" s="475"/>
      <c r="H337" s="475">
        <f>H338+H343+H349+H353</f>
        <v>7198</v>
      </c>
      <c r="I337" s="475"/>
      <c r="J337" s="475">
        <f>J338+J343+J349+J353</f>
        <v>7198</v>
      </c>
      <c r="K337" s="475"/>
      <c r="L337" s="465"/>
      <c r="N337" s="465"/>
      <c r="O337" s="465"/>
    </row>
    <row r="338" spans="1:15" s="441" customFormat="1" ht="47.25" x14ac:dyDescent="0.25">
      <c r="A338" s="514" t="s">
        <v>2253</v>
      </c>
      <c r="B338" s="613" t="s">
        <v>193</v>
      </c>
      <c r="C338" s="235">
        <v>14</v>
      </c>
      <c r="D338" s="442" t="s">
        <v>1785</v>
      </c>
      <c r="E338" s="579"/>
      <c r="F338" s="292">
        <f>F339</f>
        <v>220.99999999999994</v>
      </c>
      <c r="G338" s="475"/>
      <c r="H338" s="475">
        <f>H339</f>
        <v>400</v>
      </c>
      <c r="I338" s="475"/>
      <c r="J338" s="475">
        <f>J339</f>
        <v>400</v>
      </c>
      <c r="K338" s="475"/>
      <c r="L338" s="465"/>
      <c r="N338" s="465"/>
      <c r="O338" s="465"/>
    </row>
    <row r="339" spans="1:15" s="441" customFormat="1" ht="47.25" x14ac:dyDescent="0.25">
      <c r="A339" s="548" t="s">
        <v>1855</v>
      </c>
      <c r="B339" s="613" t="s">
        <v>193</v>
      </c>
      <c r="C339" s="235">
        <v>14</v>
      </c>
      <c r="D339" s="442" t="s">
        <v>1856</v>
      </c>
      <c r="E339" s="579"/>
      <c r="F339" s="292">
        <f>F340</f>
        <v>220.99999999999994</v>
      </c>
      <c r="G339" s="475"/>
      <c r="H339" s="475">
        <f>H340</f>
        <v>400</v>
      </c>
      <c r="I339" s="475"/>
      <c r="J339" s="475">
        <f>J340</f>
        <v>400</v>
      </c>
      <c r="K339" s="475"/>
      <c r="L339" s="465"/>
      <c r="N339" s="465"/>
      <c r="O339" s="465"/>
    </row>
    <row r="340" spans="1:15" s="441" customFormat="1" ht="63" x14ac:dyDescent="0.25">
      <c r="A340" s="524" t="s">
        <v>2248</v>
      </c>
      <c r="B340" s="613" t="s">
        <v>193</v>
      </c>
      <c r="C340" s="235">
        <v>14</v>
      </c>
      <c r="D340" s="442" t="s">
        <v>1857</v>
      </c>
      <c r="E340" s="579"/>
      <c r="F340" s="292">
        <f>F341</f>
        <v>220.99999999999994</v>
      </c>
      <c r="G340" s="292"/>
      <c r="H340" s="292">
        <f t="shared" ref="H340:J340" si="52">H341</f>
        <v>400</v>
      </c>
      <c r="I340" s="292"/>
      <c r="J340" s="292">
        <f t="shared" si="52"/>
        <v>400</v>
      </c>
      <c r="K340" s="475"/>
      <c r="L340" s="465"/>
      <c r="N340" s="465"/>
      <c r="O340" s="465"/>
    </row>
    <row r="341" spans="1:15" s="441" customFormat="1" x14ac:dyDescent="0.25">
      <c r="A341" s="519" t="s">
        <v>1781</v>
      </c>
      <c r="B341" s="613" t="s">
        <v>193</v>
      </c>
      <c r="C341" s="235">
        <v>14</v>
      </c>
      <c r="D341" s="442" t="s">
        <v>1857</v>
      </c>
      <c r="E341" s="576">
        <v>200</v>
      </c>
      <c r="F341" s="292">
        <f>F342</f>
        <v>220.99999999999994</v>
      </c>
      <c r="G341" s="475"/>
      <c r="H341" s="475">
        <f>H342</f>
        <v>400</v>
      </c>
      <c r="I341" s="475"/>
      <c r="J341" s="475">
        <f>J342</f>
        <v>400</v>
      </c>
      <c r="K341" s="475"/>
      <c r="L341" s="465"/>
      <c r="N341" s="465"/>
      <c r="O341" s="465"/>
    </row>
    <row r="342" spans="1:15" s="441" customFormat="1" ht="31.5" x14ac:dyDescent="0.25">
      <c r="A342" s="519" t="s">
        <v>1273</v>
      </c>
      <c r="B342" s="613" t="s">
        <v>193</v>
      </c>
      <c r="C342" s="235">
        <v>14</v>
      </c>
      <c r="D342" s="442" t="s">
        <v>1857</v>
      </c>
      <c r="E342" s="576">
        <v>240</v>
      </c>
      <c r="F342" s="292">
        <f>'ведом. 2021-2023'!AD225</f>
        <v>220.99999999999994</v>
      </c>
      <c r="G342" s="475"/>
      <c r="H342" s="475">
        <f>'ведом. 2021-2023'!AE225</f>
        <v>400</v>
      </c>
      <c r="I342" s="475"/>
      <c r="J342" s="475">
        <f>'ведом. 2021-2023'!AF225</f>
        <v>400</v>
      </c>
      <c r="K342" s="475"/>
      <c r="L342" s="465"/>
      <c r="N342" s="465"/>
      <c r="O342" s="465"/>
    </row>
    <row r="343" spans="1:15" s="441" customFormat="1" ht="31.5" x14ac:dyDescent="0.25">
      <c r="A343" s="529" t="s">
        <v>1858</v>
      </c>
      <c r="B343" s="613" t="s">
        <v>193</v>
      </c>
      <c r="C343" s="235">
        <v>14</v>
      </c>
      <c r="D343" s="442" t="s">
        <v>1786</v>
      </c>
      <c r="E343" s="576"/>
      <c r="F343" s="292">
        <f>F344</f>
        <v>0</v>
      </c>
      <c r="G343" s="475"/>
      <c r="H343" s="475">
        <f>H344</f>
        <v>267</v>
      </c>
      <c r="I343" s="475"/>
      <c r="J343" s="475">
        <f>J344</f>
        <v>267</v>
      </c>
      <c r="K343" s="475"/>
      <c r="L343" s="465"/>
      <c r="N343" s="465"/>
      <c r="O343" s="465"/>
    </row>
    <row r="344" spans="1:15" s="441" customFormat="1" ht="31.5" x14ac:dyDescent="0.25">
      <c r="A344" s="529" t="s">
        <v>1859</v>
      </c>
      <c r="B344" s="613" t="s">
        <v>193</v>
      </c>
      <c r="C344" s="235">
        <v>14</v>
      </c>
      <c r="D344" s="442" t="s">
        <v>1860</v>
      </c>
      <c r="E344" s="576"/>
      <c r="F344" s="292">
        <f>F345+F347</f>
        <v>0</v>
      </c>
      <c r="G344" s="292"/>
      <c r="H344" s="292">
        <f t="shared" ref="H344:J344" si="53">H345+H347</f>
        <v>267</v>
      </c>
      <c r="I344" s="292"/>
      <c r="J344" s="292">
        <f t="shared" si="53"/>
        <v>267</v>
      </c>
      <c r="K344" s="475"/>
      <c r="L344" s="465"/>
      <c r="N344" s="465"/>
      <c r="O344" s="465"/>
    </row>
    <row r="345" spans="1:15" s="513" customFormat="1" x14ac:dyDescent="0.25">
      <c r="A345" s="519" t="s">
        <v>1781</v>
      </c>
      <c r="B345" s="613" t="s">
        <v>193</v>
      </c>
      <c r="C345" s="235">
        <v>14</v>
      </c>
      <c r="D345" s="442" t="s">
        <v>1860</v>
      </c>
      <c r="E345" s="576">
        <v>200</v>
      </c>
      <c r="F345" s="292">
        <f>F346</f>
        <v>0</v>
      </c>
      <c r="G345" s="292"/>
      <c r="H345" s="292">
        <f t="shared" ref="H345:J345" si="54">H346</f>
        <v>267</v>
      </c>
      <c r="I345" s="292"/>
      <c r="J345" s="292">
        <f t="shared" si="54"/>
        <v>267</v>
      </c>
      <c r="K345" s="475"/>
      <c r="L345" s="465"/>
      <c r="N345" s="465"/>
      <c r="O345" s="465"/>
    </row>
    <row r="346" spans="1:15" s="513" customFormat="1" ht="31.5" x14ac:dyDescent="0.25">
      <c r="A346" s="519" t="s">
        <v>1273</v>
      </c>
      <c r="B346" s="613" t="s">
        <v>193</v>
      </c>
      <c r="C346" s="235">
        <v>14</v>
      </c>
      <c r="D346" s="442" t="s">
        <v>1860</v>
      </c>
      <c r="E346" s="576">
        <v>240</v>
      </c>
      <c r="F346" s="292">
        <f>'ведом. 2021-2023'!AD229</f>
        <v>0</v>
      </c>
      <c r="G346" s="475"/>
      <c r="H346" s="475">
        <f>'ведом. 2021-2023'!AE227</f>
        <v>267</v>
      </c>
      <c r="I346" s="475"/>
      <c r="J346" s="475">
        <f>'ведом. 2021-2023'!AF229</f>
        <v>267</v>
      </c>
      <c r="K346" s="475"/>
      <c r="L346" s="465"/>
      <c r="N346" s="465"/>
      <c r="O346" s="465"/>
    </row>
    <row r="347" spans="1:15" s="441" customFormat="1" ht="31.5" x14ac:dyDescent="0.25">
      <c r="A347" s="460" t="s">
        <v>1342</v>
      </c>
      <c r="B347" s="613" t="s">
        <v>193</v>
      </c>
      <c r="C347" s="235">
        <v>14</v>
      </c>
      <c r="D347" s="442" t="s">
        <v>1860</v>
      </c>
      <c r="E347" s="238">
        <v>600</v>
      </c>
      <c r="F347" s="292">
        <f>F348</f>
        <v>0</v>
      </c>
      <c r="G347" s="475"/>
      <c r="H347" s="475">
        <f>H348</f>
        <v>0</v>
      </c>
      <c r="I347" s="475"/>
      <c r="J347" s="475">
        <f>J348</f>
        <v>0</v>
      </c>
      <c r="K347" s="475"/>
      <c r="L347" s="465"/>
      <c r="N347" s="465"/>
      <c r="O347" s="465"/>
    </row>
    <row r="348" spans="1:15" s="441" customFormat="1" ht="47.25" x14ac:dyDescent="0.25">
      <c r="A348" s="460" t="s">
        <v>2299</v>
      </c>
      <c r="B348" s="613" t="s">
        <v>193</v>
      </c>
      <c r="C348" s="235">
        <v>14</v>
      </c>
      <c r="D348" s="442" t="s">
        <v>1860</v>
      </c>
      <c r="E348" s="238">
        <v>630</v>
      </c>
      <c r="F348" s="292">
        <f>'ведом. 2021-2023'!AD231</f>
        <v>0</v>
      </c>
      <c r="G348" s="475"/>
      <c r="H348" s="475">
        <f>'ведом. 2021-2023'!AE231</f>
        <v>0</v>
      </c>
      <c r="I348" s="475"/>
      <c r="J348" s="475">
        <f>'ведом. 2021-2023'!AF231</f>
        <v>0</v>
      </c>
      <c r="K348" s="475"/>
      <c r="L348" s="465"/>
      <c r="N348" s="465"/>
      <c r="O348" s="465"/>
    </row>
    <row r="349" spans="1:15" s="441" customFormat="1" ht="47.25" x14ac:dyDescent="0.25">
      <c r="A349" s="526" t="s">
        <v>2254</v>
      </c>
      <c r="B349" s="613" t="s">
        <v>193</v>
      </c>
      <c r="C349" s="235">
        <v>14</v>
      </c>
      <c r="D349" s="442" t="s">
        <v>1861</v>
      </c>
      <c r="E349" s="238"/>
      <c r="F349" s="292">
        <f>F350</f>
        <v>19</v>
      </c>
      <c r="G349" s="475"/>
      <c r="H349" s="475">
        <f>H350</f>
        <v>40</v>
      </c>
      <c r="I349" s="475"/>
      <c r="J349" s="475">
        <f>J350</f>
        <v>40</v>
      </c>
      <c r="K349" s="475"/>
      <c r="L349" s="465"/>
      <c r="N349" s="465"/>
      <c r="O349" s="465"/>
    </row>
    <row r="350" spans="1:15" s="441" customFormat="1" ht="47.25" x14ac:dyDescent="0.25">
      <c r="A350" s="548" t="s">
        <v>1855</v>
      </c>
      <c r="B350" s="613" t="s">
        <v>193</v>
      </c>
      <c r="C350" s="235">
        <v>14</v>
      </c>
      <c r="D350" s="442" t="s">
        <v>1862</v>
      </c>
      <c r="E350" s="238"/>
      <c r="F350" s="292">
        <f>F351</f>
        <v>19</v>
      </c>
      <c r="G350" s="475"/>
      <c r="H350" s="475">
        <f>H351</f>
        <v>40</v>
      </c>
      <c r="I350" s="475"/>
      <c r="J350" s="475">
        <f>J351</f>
        <v>40</v>
      </c>
      <c r="K350" s="475"/>
      <c r="L350" s="465"/>
      <c r="N350" s="465"/>
      <c r="O350" s="465"/>
    </row>
    <row r="351" spans="1:15" s="441" customFormat="1" x14ac:dyDescent="0.25">
      <c r="A351" s="519" t="s">
        <v>1781</v>
      </c>
      <c r="B351" s="613" t="s">
        <v>193</v>
      </c>
      <c r="C351" s="235">
        <v>14</v>
      </c>
      <c r="D351" s="442" t="s">
        <v>1862</v>
      </c>
      <c r="E351" s="238">
        <v>200</v>
      </c>
      <c r="F351" s="292">
        <f>F352</f>
        <v>19</v>
      </c>
      <c r="G351" s="475"/>
      <c r="H351" s="475">
        <f>H352</f>
        <v>40</v>
      </c>
      <c r="I351" s="475"/>
      <c r="J351" s="475">
        <f>J352</f>
        <v>40</v>
      </c>
      <c r="K351" s="475"/>
      <c r="L351" s="465"/>
      <c r="N351" s="465"/>
      <c r="O351" s="465"/>
    </row>
    <row r="352" spans="1:15" s="441" customFormat="1" ht="31.5" x14ac:dyDescent="0.25">
      <c r="A352" s="519" t="s">
        <v>1273</v>
      </c>
      <c r="B352" s="613" t="s">
        <v>193</v>
      </c>
      <c r="C352" s="235">
        <v>14</v>
      </c>
      <c r="D352" s="442" t="s">
        <v>1862</v>
      </c>
      <c r="E352" s="238">
        <v>240</v>
      </c>
      <c r="F352" s="292">
        <f>'ведом. 2021-2023'!AD235</f>
        <v>19</v>
      </c>
      <c r="G352" s="475"/>
      <c r="H352" s="475">
        <f>'ведом. 2021-2023'!AE235</f>
        <v>40</v>
      </c>
      <c r="I352" s="475"/>
      <c r="J352" s="475">
        <f>'ведом. 2021-2023'!AF235</f>
        <v>40</v>
      </c>
      <c r="K352" s="475"/>
      <c r="L352" s="465"/>
      <c r="N352" s="465"/>
      <c r="O352" s="465"/>
    </row>
    <row r="353" spans="1:15" s="441" customFormat="1" ht="31.5" x14ac:dyDescent="0.25">
      <c r="A353" s="529" t="s">
        <v>1863</v>
      </c>
      <c r="B353" s="613" t="s">
        <v>193</v>
      </c>
      <c r="C353" s="235" t="s">
        <v>955</v>
      </c>
      <c r="D353" s="442" t="s">
        <v>1864</v>
      </c>
      <c r="E353" s="238"/>
      <c r="F353" s="292">
        <f t="shared" ref="F353:J354" si="55">F354</f>
        <v>15701.500000000004</v>
      </c>
      <c r="G353" s="475"/>
      <c r="H353" s="475">
        <f t="shared" si="55"/>
        <v>6491</v>
      </c>
      <c r="I353" s="475"/>
      <c r="J353" s="475">
        <f t="shared" si="55"/>
        <v>6491</v>
      </c>
      <c r="K353" s="475"/>
      <c r="L353" s="465"/>
      <c r="N353" s="465"/>
      <c r="O353" s="465"/>
    </row>
    <row r="354" spans="1:15" s="441" customFormat="1" x14ac:dyDescent="0.25">
      <c r="A354" s="548" t="s">
        <v>1865</v>
      </c>
      <c r="B354" s="613" t="s">
        <v>193</v>
      </c>
      <c r="C354" s="235" t="s">
        <v>955</v>
      </c>
      <c r="D354" s="442" t="s">
        <v>1866</v>
      </c>
      <c r="E354" s="238"/>
      <c r="F354" s="292">
        <f>F355</f>
        <v>15701.500000000004</v>
      </c>
      <c r="G354" s="475"/>
      <c r="H354" s="475">
        <f t="shared" si="55"/>
        <v>6491</v>
      </c>
      <c r="I354" s="475"/>
      <c r="J354" s="475">
        <f t="shared" si="55"/>
        <v>6491</v>
      </c>
      <c r="K354" s="475"/>
      <c r="L354" s="465"/>
      <c r="N354" s="465"/>
      <c r="O354" s="465"/>
    </row>
    <row r="355" spans="1:15" s="513" customFormat="1" x14ac:dyDescent="0.25">
      <c r="A355" s="519" t="s">
        <v>1781</v>
      </c>
      <c r="B355" s="613" t="s">
        <v>193</v>
      </c>
      <c r="C355" s="235" t="s">
        <v>955</v>
      </c>
      <c r="D355" s="442" t="s">
        <v>1866</v>
      </c>
      <c r="E355" s="238">
        <v>200</v>
      </c>
      <c r="F355" s="292">
        <f>F356</f>
        <v>15701.500000000004</v>
      </c>
      <c r="G355" s="475"/>
      <c r="H355" s="475">
        <f>H356</f>
        <v>6491</v>
      </c>
      <c r="I355" s="475"/>
      <c r="J355" s="475">
        <f>J356</f>
        <v>6491</v>
      </c>
      <c r="K355" s="475"/>
      <c r="L355" s="465"/>
      <c r="N355" s="465"/>
      <c r="O355" s="465"/>
    </row>
    <row r="356" spans="1:15" s="513" customFormat="1" ht="31.5" x14ac:dyDescent="0.25">
      <c r="A356" s="519" t="s">
        <v>1273</v>
      </c>
      <c r="B356" s="613" t="s">
        <v>193</v>
      </c>
      <c r="C356" s="235" t="s">
        <v>955</v>
      </c>
      <c r="D356" s="442" t="s">
        <v>1866</v>
      </c>
      <c r="E356" s="238">
        <v>240</v>
      </c>
      <c r="F356" s="292">
        <f>'ведом. 2021-2023'!AD239</f>
        <v>15701.500000000004</v>
      </c>
      <c r="G356" s="475"/>
      <c r="H356" s="475">
        <f>'ведом. 2021-2023'!AE239</f>
        <v>6491</v>
      </c>
      <c r="I356" s="475"/>
      <c r="J356" s="475">
        <f>'ведом. 2021-2023'!AF239</f>
        <v>6491</v>
      </c>
      <c r="K356" s="475"/>
      <c r="L356" s="465"/>
      <c r="N356" s="465"/>
      <c r="O356" s="465"/>
    </row>
    <row r="357" spans="1:15" s="441" customFormat="1" x14ac:dyDescent="0.25">
      <c r="A357" s="607" t="s">
        <v>993</v>
      </c>
      <c r="B357" s="615" t="s">
        <v>1181</v>
      </c>
      <c r="C357" s="247"/>
      <c r="D357" s="271"/>
      <c r="E357" s="575"/>
      <c r="F357" s="733">
        <f t="shared" ref="F357:K357" si="56">F365+F436+F383+F417+F358</f>
        <v>141473.4</v>
      </c>
      <c r="G357" s="478">
        <f t="shared" si="56"/>
        <v>43892.2</v>
      </c>
      <c r="H357" s="478">
        <f t="shared" si="56"/>
        <v>50685.7</v>
      </c>
      <c r="I357" s="478">
        <f t="shared" si="56"/>
        <v>6501</v>
      </c>
      <c r="J357" s="478">
        <f t="shared" si="56"/>
        <v>52753.7</v>
      </c>
      <c r="K357" s="478">
        <f t="shared" si="56"/>
        <v>8478</v>
      </c>
      <c r="L357" s="465"/>
      <c r="N357" s="465"/>
      <c r="O357" s="465"/>
    </row>
    <row r="358" spans="1:15" s="441" customFormat="1" ht="18.75" x14ac:dyDescent="0.3">
      <c r="A358" s="523" t="s">
        <v>289</v>
      </c>
      <c r="B358" s="246" t="s">
        <v>1181</v>
      </c>
      <c r="C358" s="235" t="s">
        <v>175</v>
      </c>
      <c r="D358" s="278"/>
      <c r="E358" s="594"/>
      <c r="F358" s="292">
        <f t="shared" ref="F358:K361" si="57">F359</f>
        <v>1070</v>
      </c>
      <c r="G358" s="475">
        <f t="shared" si="57"/>
        <v>1070</v>
      </c>
      <c r="H358" s="475">
        <f t="shared" si="57"/>
        <v>655</v>
      </c>
      <c r="I358" s="475">
        <f t="shared" si="57"/>
        <v>655</v>
      </c>
      <c r="J358" s="475">
        <f t="shared" si="57"/>
        <v>655</v>
      </c>
      <c r="K358" s="475">
        <f t="shared" si="57"/>
        <v>655</v>
      </c>
      <c r="L358" s="465"/>
      <c r="N358" s="465"/>
      <c r="O358" s="465"/>
    </row>
    <row r="359" spans="1:15" s="441" customFormat="1" ht="18.75" x14ac:dyDescent="0.3">
      <c r="A359" s="605" t="s">
        <v>1966</v>
      </c>
      <c r="B359" s="246" t="s">
        <v>1181</v>
      </c>
      <c r="C359" s="235" t="s">
        <v>175</v>
      </c>
      <c r="D359" s="442" t="s">
        <v>1816</v>
      </c>
      <c r="E359" s="594"/>
      <c r="F359" s="292">
        <f t="shared" si="57"/>
        <v>1070</v>
      </c>
      <c r="G359" s="475">
        <f t="shared" si="57"/>
        <v>1070</v>
      </c>
      <c r="H359" s="475">
        <f t="shared" si="57"/>
        <v>655</v>
      </c>
      <c r="I359" s="475">
        <f t="shared" si="57"/>
        <v>655</v>
      </c>
      <c r="J359" s="475">
        <f t="shared" si="57"/>
        <v>655</v>
      </c>
      <c r="K359" s="475">
        <f t="shared" si="57"/>
        <v>655</v>
      </c>
      <c r="L359" s="465"/>
      <c r="N359" s="465"/>
      <c r="O359" s="465"/>
    </row>
    <row r="360" spans="1:15" s="441" customFormat="1" ht="18.75" x14ac:dyDescent="0.3">
      <c r="A360" s="520" t="s">
        <v>1967</v>
      </c>
      <c r="B360" s="246" t="s">
        <v>1181</v>
      </c>
      <c r="C360" s="235" t="s">
        <v>175</v>
      </c>
      <c r="D360" s="442" t="s">
        <v>1968</v>
      </c>
      <c r="E360" s="594"/>
      <c r="F360" s="292">
        <f t="shared" si="57"/>
        <v>1070</v>
      </c>
      <c r="G360" s="475">
        <f t="shared" si="57"/>
        <v>1070</v>
      </c>
      <c r="H360" s="475">
        <f t="shared" si="57"/>
        <v>655</v>
      </c>
      <c r="I360" s="475">
        <f t="shared" si="57"/>
        <v>655</v>
      </c>
      <c r="J360" s="475">
        <f t="shared" si="57"/>
        <v>655</v>
      </c>
      <c r="K360" s="475">
        <f t="shared" si="57"/>
        <v>655</v>
      </c>
      <c r="L360" s="465"/>
      <c r="N360" s="465"/>
      <c r="O360" s="465"/>
    </row>
    <row r="361" spans="1:15" s="441" customFormat="1" ht="48" x14ac:dyDescent="0.3">
      <c r="A361" s="520" t="s">
        <v>1969</v>
      </c>
      <c r="B361" s="246" t="s">
        <v>1181</v>
      </c>
      <c r="C361" s="235" t="s">
        <v>175</v>
      </c>
      <c r="D361" s="442" t="s">
        <v>1970</v>
      </c>
      <c r="E361" s="594"/>
      <c r="F361" s="292">
        <f t="shared" si="57"/>
        <v>1070</v>
      </c>
      <c r="G361" s="475">
        <f t="shared" si="57"/>
        <v>1070</v>
      </c>
      <c r="H361" s="475">
        <f t="shared" si="57"/>
        <v>655</v>
      </c>
      <c r="I361" s="475">
        <f t="shared" si="57"/>
        <v>655</v>
      </c>
      <c r="J361" s="475">
        <f t="shared" si="57"/>
        <v>655</v>
      </c>
      <c r="K361" s="475">
        <f t="shared" si="57"/>
        <v>655</v>
      </c>
      <c r="L361" s="465"/>
      <c r="N361" s="465"/>
      <c r="O361" s="465"/>
    </row>
    <row r="362" spans="1:15" s="441" customFormat="1" ht="31.5" x14ac:dyDescent="0.25">
      <c r="A362" s="520" t="s">
        <v>2279</v>
      </c>
      <c r="B362" s="246" t="s">
        <v>1181</v>
      </c>
      <c r="C362" s="235" t="s">
        <v>175</v>
      </c>
      <c r="D362" s="442" t="s">
        <v>1971</v>
      </c>
      <c r="E362" s="238"/>
      <c r="F362" s="292">
        <f t="shared" ref="F362:K363" si="58">F363</f>
        <v>1070</v>
      </c>
      <c r="G362" s="475">
        <f t="shared" si="58"/>
        <v>1070</v>
      </c>
      <c r="H362" s="475">
        <f t="shared" si="58"/>
        <v>655</v>
      </c>
      <c r="I362" s="475">
        <f t="shared" si="58"/>
        <v>655</v>
      </c>
      <c r="J362" s="475">
        <f t="shared" si="58"/>
        <v>655</v>
      </c>
      <c r="K362" s="475">
        <f t="shared" si="58"/>
        <v>655</v>
      </c>
      <c r="L362" s="465"/>
      <c r="N362" s="465"/>
      <c r="O362" s="465"/>
    </row>
    <row r="363" spans="1:15" s="441" customFormat="1" x14ac:dyDescent="0.25">
      <c r="A363" s="523" t="s">
        <v>1781</v>
      </c>
      <c r="B363" s="246" t="s">
        <v>1181</v>
      </c>
      <c r="C363" s="235" t="s">
        <v>175</v>
      </c>
      <c r="D363" s="442" t="s">
        <v>1971</v>
      </c>
      <c r="E363" s="576">
        <v>200</v>
      </c>
      <c r="F363" s="292">
        <f t="shared" si="58"/>
        <v>1070</v>
      </c>
      <c r="G363" s="475">
        <f t="shared" si="58"/>
        <v>1070</v>
      </c>
      <c r="H363" s="475">
        <f t="shared" si="58"/>
        <v>655</v>
      </c>
      <c r="I363" s="475">
        <f t="shared" si="58"/>
        <v>655</v>
      </c>
      <c r="J363" s="475">
        <f t="shared" si="58"/>
        <v>655</v>
      </c>
      <c r="K363" s="475">
        <f t="shared" si="58"/>
        <v>655</v>
      </c>
      <c r="L363" s="465"/>
      <c r="N363" s="465"/>
      <c r="O363" s="465"/>
    </row>
    <row r="364" spans="1:15" s="441" customFormat="1" ht="31.5" x14ac:dyDescent="0.25">
      <c r="A364" s="523" t="s">
        <v>1273</v>
      </c>
      <c r="B364" s="246" t="s">
        <v>1181</v>
      </c>
      <c r="C364" s="235" t="s">
        <v>175</v>
      </c>
      <c r="D364" s="442" t="s">
        <v>1971</v>
      </c>
      <c r="E364" s="238">
        <v>240</v>
      </c>
      <c r="F364" s="292">
        <f>'ведом. 2021-2023'!AD917</f>
        <v>1070</v>
      </c>
      <c r="G364" s="475">
        <f>F364</f>
        <v>1070</v>
      </c>
      <c r="H364" s="475">
        <f>'ведом. 2021-2023'!AE917</f>
        <v>655</v>
      </c>
      <c r="I364" s="475">
        <f>H364</f>
        <v>655</v>
      </c>
      <c r="J364" s="475">
        <f>'ведом. 2021-2023'!AF917</f>
        <v>655</v>
      </c>
      <c r="K364" s="475">
        <f>J364</f>
        <v>655</v>
      </c>
      <c r="L364" s="465"/>
      <c r="N364" s="465"/>
      <c r="O364" s="465"/>
    </row>
    <row r="365" spans="1:15" s="441" customFormat="1" x14ac:dyDescent="0.25">
      <c r="A365" s="523" t="s">
        <v>1596</v>
      </c>
      <c r="B365" s="613" t="s">
        <v>1181</v>
      </c>
      <c r="C365" s="235" t="s">
        <v>290</v>
      </c>
      <c r="D365" s="249"/>
      <c r="E365" s="576"/>
      <c r="F365" s="292">
        <f>F366+F373</f>
        <v>22576.9</v>
      </c>
      <c r="G365" s="475"/>
      <c r="H365" s="475">
        <f>H366+H373</f>
        <v>20965.7</v>
      </c>
      <c r="I365" s="475"/>
      <c r="J365" s="475">
        <f>J366+J373</f>
        <v>20965.7</v>
      </c>
      <c r="K365" s="475"/>
      <c r="L365" s="465"/>
      <c r="N365" s="465"/>
      <c r="O365" s="465"/>
    </row>
    <row r="366" spans="1:15" s="441" customFormat="1" x14ac:dyDescent="0.25">
      <c r="A366" s="520" t="s">
        <v>1898</v>
      </c>
      <c r="B366" s="614" t="s">
        <v>1181</v>
      </c>
      <c r="C366" s="242" t="s">
        <v>290</v>
      </c>
      <c r="D366" s="442" t="s">
        <v>1771</v>
      </c>
      <c r="E366" s="581"/>
      <c r="F366" s="292">
        <f t="shared" ref="F366:J371" si="59">F367</f>
        <v>22461.9</v>
      </c>
      <c r="G366" s="475"/>
      <c r="H366" s="475">
        <f t="shared" si="59"/>
        <v>20840.8</v>
      </c>
      <c r="I366" s="475"/>
      <c r="J366" s="475">
        <f t="shared" si="59"/>
        <v>20840.8</v>
      </c>
      <c r="K366" s="475"/>
      <c r="L366" s="465"/>
      <c r="N366" s="465"/>
      <c r="O366" s="465"/>
    </row>
    <row r="367" spans="1:15" s="441" customFormat="1" x14ac:dyDescent="0.25">
      <c r="A367" s="520" t="s">
        <v>1907</v>
      </c>
      <c r="B367" s="614" t="s">
        <v>1181</v>
      </c>
      <c r="C367" s="242" t="s">
        <v>290</v>
      </c>
      <c r="D367" s="442" t="s">
        <v>1908</v>
      </c>
      <c r="E367" s="581"/>
      <c r="F367" s="292">
        <f t="shared" si="59"/>
        <v>22461.9</v>
      </c>
      <c r="G367" s="475"/>
      <c r="H367" s="475">
        <f t="shared" si="59"/>
        <v>20840.8</v>
      </c>
      <c r="I367" s="475"/>
      <c r="J367" s="475">
        <f t="shared" si="59"/>
        <v>20840.8</v>
      </c>
      <c r="K367" s="475"/>
      <c r="L367" s="465"/>
      <c r="N367" s="465"/>
      <c r="O367" s="465"/>
    </row>
    <row r="368" spans="1:15" s="441" customFormat="1" ht="31.5" x14ac:dyDescent="0.25">
      <c r="A368" s="520" t="s">
        <v>1909</v>
      </c>
      <c r="B368" s="614" t="s">
        <v>1181</v>
      </c>
      <c r="C368" s="242" t="s">
        <v>290</v>
      </c>
      <c r="D368" s="442" t="s">
        <v>1910</v>
      </c>
      <c r="E368" s="581"/>
      <c r="F368" s="292">
        <f t="shared" si="59"/>
        <v>22461.9</v>
      </c>
      <c r="G368" s="475"/>
      <c r="H368" s="475">
        <f t="shared" si="59"/>
        <v>20840.8</v>
      </c>
      <c r="I368" s="475"/>
      <c r="J368" s="475">
        <f t="shared" si="59"/>
        <v>20840.8</v>
      </c>
      <c r="K368" s="475"/>
      <c r="L368" s="465"/>
      <c r="N368" s="465"/>
      <c r="O368" s="465"/>
    </row>
    <row r="369" spans="1:15" s="441" customFormat="1" ht="31.5" x14ac:dyDescent="0.25">
      <c r="A369" s="528" t="s">
        <v>1921</v>
      </c>
      <c r="B369" s="614" t="s">
        <v>1181</v>
      </c>
      <c r="C369" s="242" t="s">
        <v>290</v>
      </c>
      <c r="D369" s="471" t="s">
        <v>1922</v>
      </c>
      <c r="E369" s="581"/>
      <c r="F369" s="292">
        <f t="shared" si="59"/>
        <v>22461.9</v>
      </c>
      <c r="G369" s="475"/>
      <c r="H369" s="475">
        <f t="shared" si="59"/>
        <v>20840.8</v>
      </c>
      <c r="I369" s="475"/>
      <c r="J369" s="475">
        <f t="shared" si="59"/>
        <v>20840.8</v>
      </c>
      <c r="K369" s="475"/>
      <c r="L369" s="465"/>
      <c r="N369" s="465"/>
      <c r="O369" s="465"/>
    </row>
    <row r="370" spans="1:15" s="441" customFormat="1" ht="47.25" x14ac:dyDescent="0.25">
      <c r="A370" s="531" t="s">
        <v>2331</v>
      </c>
      <c r="B370" s="614" t="s">
        <v>1181</v>
      </c>
      <c r="C370" s="242" t="s">
        <v>290</v>
      </c>
      <c r="D370" s="471" t="s">
        <v>2133</v>
      </c>
      <c r="E370" s="581"/>
      <c r="F370" s="292">
        <f t="shared" si="59"/>
        <v>22461.9</v>
      </c>
      <c r="G370" s="475"/>
      <c r="H370" s="475">
        <f t="shared" si="59"/>
        <v>20840.8</v>
      </c>
      <c r="I370" s="475"/>
      <c r="J370" s="475">
        <f t="shared" si="59"/>
        <v>20840.8</v>
      </c>
      <c r="K370" s="475"/>
      <c r="L370" s="465"/>
      <c r="N370" s="465"/>
      <c r="O370" s="465"/>
    </row>
    <row r="371" spans="1:15" s="441" customFormat="1" ht="31.5" x14ac:dyDescent="0.25">
      <c r="A371" s="523" t="s">
        <v>1342</v>
      </c>
      <c r="B371" s="614" t="s">
        <v>1181</v>
      </c>
      <c r="C371" s="242" t="s">
        <v>290</v>
      </c>
      <c r="D371" s="471" t="s">
        <v>2133</v>
      </c>
      <c r="E371" s="581">
        <v>600</v>
      </c>
      <c r="F371" s="292">
        <f t="shared" si="59"/>
        <v>22461.9</v>
      </c>
      <c r="G371" s="475"/>
      <c r="H371" s="475">
        <f t="shared" si="59"/>
        <v>20840.8</v>
      </c>
      <c r="I371" s="475"/>
      <c r="J371" s="475">
        <f t="shared" si="59"/>
        <v>20840.8</v>
      </c>
      <c r="K371" s="475"/>
      <c r="L371" s="465"/>
      <c r="N371" s="465"/>
      <c r="O371" s="465"/>
    </row>
    <row r="372" spans="1:15" s="441" customFormat="1" x14ac:dyDescent="0.25">
      <c r="A372" s="523" t="s">
        <v>1343</v>
      </c>
      <c r="B372" s="614" t="s">
        <v>1181</v>
      </c>
      <c r="C372" s="242" t="s">
        <v>290</v>
      </c>
      <c r="D372" s="471" t="s">
        <v>2133</v>
      </c>
      <c r="E372" s="581">
        <v>610</v>
      </c>
      <c r="F372" s="292">
        <f>'ведом. 2021-2023'!AD248</f>
        <v>22461.9</v>
      </c>
      <c r="G372" s="475"/>
      <c r="H372" s="475">
        <f>'ведом. 2021-2023'!AE248</f>
        <v>20840.8</v>
      </c>
      <c r="I372" s="475"/>
      <c r="J372" s="475">
        <f>'ведом. 2021-2023'!AF248</f>
        <v>20840.8</v>
      </c>
      <c r="K372" s="475"/>
      <c r="L372" s="465"/>
      <c r="N372" s="465"/>
      <c r="O372" s="465"/>
    </row>
    <row r="373" spans="1:15" s="441" customFormat="1" ht="31.5" x14ac:dyDescent="0.25">
      <c r="A373" s="520" t="s">
        <v>1949</v>
      </c>
      <c r="B373" s="613" t="s">
        <v>1181</v>
      </c>
      <c r="C373" s="235" t="s">
        <v>290</v>
      </c>
      <c r="D373" s="442" t="s">
        <v>1950</v>
      </c>
      <c r="E373" s="576"/>
      <c r="F373" s="292">
        <f t="shared" ref="F373:J377" si="60">F374</f>
        <v>115</v>
      </c>
      <c r="G373" s="475"/>
      <c r="H373" s="475">
        <f t="shared" si="60"/>
        <v>124.9</v>
      </c>
      <c r="I373" s="475"/>
      <c r="J373" s="475">
        <f t="shared" si="60"/>
        <v>124.9</v>
      </c>
      <c r="K373" s="475"/>
      <c r="L373" s="465"/>
      <c r="N373" s="465"/>
      <c r="O373" s="465"/>
    </row>
    <row r="374" spans="1:15" s="441" customFormat="1" x14ac:dyDescent="0.25">
      <c r="A374" s="520" t="s">
        <v>1951</v>
      </c>
      <c r="B374" s="613" t="s">
        <v>1181</v>
      </c>
      <c r="C374" s="235" t="s">
        <v>290</v>
      </c>
      <c r="D374" s="442" t="s">
        <v>1952</v>
      </c>
      <c r="E374" s="238"/>
      <c r="F374" s="292">
        <f t="shared" si="60"/>
        <v>115</v>
      </c>
      <c r="G374" s="475"/>
      <c r="H374" s="475">
        <f t="shared" si="60"/>
        <v>124.9</v>
      </c>
      <c r="I374" s="475"/>
      <c r="J374" s="475">
        <f t="shared" si="60"/>
        <v>124.9</v>
      </c>
      <c r="K374" s="475"/>
      <c r="L374" s="465"/>
      <c r="N374" s="465"/>
      <c r="O374" s="465"/>
    </row>
    <row r="375" spans="1:15" s="441" customFormat="1" ht="63" x14ac:dyDescent="0.25">
      <c r="A375" s="529" t="s">
        <v>2233</v>
      </c>
      <c r="B375" s="613" t="s">
        <v>1181</v>
      </c>
      <c r="C375" s="235" t="s">
        <v>290</v>
      </c>
      <c r="D375" s="442" t="s">
        <v>2207</v>
      </c>
      <c r="E375" s="238"/>
      <c r="F375" s="292">
        <f t="shared" si="60"/>
        <v>115</v>
      </c>
      <c r="G375" s="475"/>
      <c r="H375" s="475">
        <f t="shared" si="60"/>
        <v>124.9</v>
      </c>
      <c r="I375" s="475"/>
      <c r="J375" s="475">
        <f t="shared" si="60"/>
        <v>124.9</v>
      </c>
      <c r="K375" s="475"/>
      <c r="L375" s="465"/>
      <c r="N375" s="465"/>
      <c r="O375" s="465"/>
    </row>
    <row r="376" spans="1:15" s="441" customFormat="1" ht="47.25" x14ac:dyDescent="0.25">
      <c r="A376" s="521" t="s">
        <v>1953</v>
      </c>
      <c r="B376" s="613" t="s">
        <v>1181</v>
      </c>
      <c r="C376" s="235" t="s">
        <v>290</v>
      </c>
      <c r="D376" s="442" t="s">
        <v>2208</v>
      </c>
      <c r="E376" s="238"/>
      <c r="F376" s="292">
        <f>F377+F380</f>
        <v>115</v>
      </c>
      <c r="G376" s="475"/>
      <c r="H376" s="475">
        <f>H377+H380</f>
        <v>124.9</v>
      </c>
      <c r="I376" s="475"/>
      <c r="J376" s="475">
        <f>J377+J380</f>
        <v>124.9</v>
      </c>
      <c r="K376" s="475"/>
      <c r="L376" s="465"/>
      <c r="N376" s="465"/>
      <c r="O376" s="465"/>
    </row>
    <row r="377" spans="1:15" s="441" customFormat="1" ht="47.25" x14ac:dyDescent="0.25">
      <c r="A377" s="521" t="s">
        <v>2139</v>
      </c>
      <c r="B377" s="613" t="s">
        <v>1181</v>
      </c>
      <c r="C377" s="235" t="s">
        <v>290</v>
      </c>
      <c r="D377" s="442" t="s">
        <v>2209</v>
      </c>
      <c r="E377" s="238"/>
      <c r="F377" s="292">
        <f t="shared" si="60"/>
        <v>0.1</v>
      </c>
      <c r="G377" s="475"/>
      <c r="H377" s="475">
        <f t="shared" si="60"/>
        <v>10</v>
      </c>
      <c r="I377" s="475"/>
      <c r="J377" s="475">
        <f t="shared" si="60"/>
        <v>10</v>
      </c>
      <c r="K377" s="475"/>
      <c r="L377" s="465"/>
      <c r="N377" s="465"/>
      <c r="O377" s="465"/>
    </row>
    <row r="378" spans="1:15" s="441" customFormat="1" x14ac:dyDescent="0.25">
      <c r="A378" s="523" t="s">
        <v>1781</v>
      </c>
      <c r="B378" s="613" t="s">
        <v>1181</v>
      </c>
      <c r="C378" s="235" t="s">
        <v>290</v>
      </c>
      <c r="D378" s="442" t="s">
        <v>2209</v>
      </c>
      <c r="E378" s="238">
        <v>200</v>
      </c>
      <c r="F378" s="292">
        <f>'ведом. 2021-2023'!AD255</f>
        <v>0.1</v>
      </c>
      <c r="G378" s="475"/>
      <c r="H378" s="475">
        <f>'ведом. 2021-2023'!AE255</f>
        <v>10</v>
      </c>
      <c r="I378" s="475"/>
      <c r="J378" s="475">
        <f>J379</f>
        <v>10</v>
      </c>
      <c r="K378" s="475"/>
      <c r="L378" s="465"/>
      <c r="N378" s="465"/>
      <c r="O378" s="465"/>
    </row>
    <row r="379" spans="1:15" s="441" customFormat="1" ht="31.5" x14ac:dyDescent="0.25">
      <c r="A379" s="523" t="s">
        <v>1273</v>
      </c>
      <c r="B379" s="614" t="s">
        <v>1181</v>
      </c>
      <c r="C379" s="242" t="s">
        <v>290</v>
      </c>
      <c r="D379" s="442" t="s">
        <v>2209</v>
      </c>
      <c r="E379" s="238">
        <v>240</v>
      </c>
      <c r="F379" s="292">
        <f>'ведом. 2021-2023'!AD255</f>
        <v>0.1</v>
      </c>
      <c r="G379" s="475"/>
      <c r="H379" s="475">
        <f>'ведом. 2021-2023'!AE255</f>
        <v>10</v>
      </c>
      <c r="I379" s="475"/>
      <c r="J379" s="475">
        <f>'ведом. 2021-2023'!AF255</f>
        <v>10</v>
      </c>
      <c r="K379" s="475"/>
      <c r="L379" s="465"/>
      <c r="N379" s="465"/>
      <c r="O379" s="465"/>
    </row>
    <row r="380" spans="1:15" s="441" customFormat="1" ht="47.25" x14ac:dyDescent="0.25">
      <c r="A380" s="523" t="s">
        <v>2140</v>
      </c>
      <c r="B380" s="614" t="s">
        <v>1181</v>
      </c>
      <c r="C380" s="242" t="s">
        <v>290</v>
      </c>
      <c r="D380" s="442" t="s">
        <v>2210</v>
      </c>
      <c r="E380" s="238"/>
      <c r="F380" s="292">
        <f>F381</f>
        <v>114.9</v>
      </c>
      <c r="G380" s="475"/>
      <c r="H380" s="475">
        <f>H381</f>
        <v>114.9</v>
      </c>
      <c r="I380" s="475"/>
      <c r="J380" s="475">
        <f>J381</f>
        <v>114.9</v>
      </c>
      <c r="K380" s="475"/>
      <c r="L380" s="465"/>
      <c r="N380" s="465"/>
      <c r="O380" s="465"/>
    </row>
    <row r="381" spans="1:15" s="441" customFormat="1" x14ac:dyDescent="0.25">
      <c r="A381" s="523" t="s">
        <v>1781</v>
      </c>
      <c r="B381" s="614" t="s">
        <v>1181</v>
      </c>
      <c r="C381" s="242" t="s">
        <v>290</v>
      </c>
      <c r="D381" s="442" t="s">
        <v>2210</v>
      </c>
      <c r="E381" s="238">
        <v>200</v>
      </c>
      <c r="F381" s="292">
        <f>F382</f>
        <v>114.9</v>
      </c>
      <c r="G381" s="475"/>
      <c r="H381" s="475">
        <f>H382</f>
        <v>114.9</v>
      </c>
      <c r="I381" s="475"/>
      <c r="J381" s="475">
        <f>J382</f>
        <v>114.9</v>
      </c>
      <c r="K381" s="475"/>
      <c r="L381" s="465"/>
      <c r="N381" s="465"/>
      <c r="O381" s="465"/>
    </row>
    <row r="382" spans="1:15" s="441" customFormat="1" ht="31.5" x14ac:dyDescent="0.25">
      <c r="A382" s="523" t="s">
        <v>1273</v>
      </c>
      <c r="B382" s="614" t="s">
        <v>1181</v>
      </c>
      <c r="C382" s="242" t="s">
        <v>290</v>
      </c>
      <c r="D382" s="442" t="s">
        <v>2210</v>
      </c>
      <c r="E382" s="238">
        <v>240</v>
      </c>
      <c r="F382" s="292">
        <f>'ведом. 2021-2023'!AD258</f>
        <v>114.9</v>
      </c>
      <c r="G382" s="475"/>
      <c r="H382" s="475">
        <f>'ведом. 2021-2023'!AE258</f>
        <v>114.9</v>
      </c>
      <c r="I382" s="475"/>
      <c r="J382" s="475">
        <f>'ведом. 2021-2023'!AF258</f>
        <v>114.9</v>
      </c>
      <c r="K382" s="475"/>
      <c r="L382" s="465"/>
      <c r="N382" s="465"/>
      <c r="O382" s="465"/>
    </row>
    <row r="383" spans="1:15" s="441" customFormat="1" x14ac:dyDescent="0.25">
      <c r="A383" s="523" t="s">
        <v>1739</v>
      </c>
      <c r="B383" s="613" t="s">
        <v>1181</v>
      </c>
      <c r="C383" s="235" t="s">
        <v>406</v>
      </c>
      <c r="D383" s="256"/>
      <c r="E383" s="238"/>
      <c r="F383" s="292">
        <f t="shared" ref="F383:K383" si="61">F384+F401</f>
        <v>114849.5</v>
      </c>
      <c r="G383" s="292">
        <f t="shared" si="61"/>
        <v>42296.2</v>
      </c>
      <c r="H383" s="292">
        <f t="shared" si="61"/>
        <v>28046</v>
      </c>
      <c r="I383" s="292">
        <f t="shared" si="61"/>
        <v>5319</v>
      </c>
      <c r="J383" s="292">
        <f t="shared" si="61"/>
        <v>30113</v>
      </c>
      <c r="K383" s="292">
        <f t="shared" si="61"/>
        <v>7282</v>
      </c>
      <c r="L383" s="465"/>
      <c r="N383" s="465"/>
      <c r="O383" s="465"/>
    </row>
    <row r="384" spans="1:15" s="441" customFormat="1" ht="31.5" x14ac:dyDescent="0.25">
      <c r="A384" s="520" t="s">
        <v>1949</v>
      </c>
      <c r="B384" s="613" t="s">
        <v>1181</v>
      </c>
      <c r="C384" s="235" t="s">
        <v>406</v>
      </c>
      <c r="D384" s="442" t="s">
        <v>1950</v>
      </c>
      <c r="E384" s="238"/>
      <c r="F384" s="292">
        <f t="shared" ref="F384:K384" si="62">F385+F396</f>
        <v>92202.6</v>
      </c>
      <c r="G384" s="475">
        <f t="shared" si="62"/>
        <v>23734</v>
      </c>
      <c r="H384" s="475">
        <f t="shared" si="62"/>
        <v>28046</v>
      </c>
      <c r="I384" s="475">
        <f t="shared" si="62"/>
        <v>5319</v>
      </c>
      <c r="J384" s="475">
        <f t="shared" si="62"/>
        <v>30113</v>
      </c>
      <c r="K384" s="475">
        <f t="shared" si="62"/>
        <v>7282</v>
      </c>
      <c r="L384" s="465"/>
      <c r="N384" s="465"/>
      <c r="O384" s="465"/>
    </row>
    <row r="385" spans="1:15" s="441" customFormat="1" x14ac:dyDescent="0.25">
      <c r="A385" s="520" t="s">
        <v>1955</v>
      </c>
      <c r="B385" s="613" t="s">
        <v>1181</v>
      </c>
      <c r="C385" s="235" t="s">
        <v>406</v>
      </c>
      <c r="D385" s="442" t="s">
        <v>1956</v>
      </c>
      <c r="E385" s="238"/>
      <c r="F385" s="292">
        <f t="shared" ref="F385:K385" si="63">F386</f>
        <v>31629.5</v>
      </c>
      <c r="G385" s="475">
        <f t="shared" si="63"/>
        <v>23734</v>
      </c>
      <c r="H385" s="475">
        <f t="shared" si="63"/>
        <v>7327.9</v>
      </c>
      <c r="I385" s="475">
        <f t="shared" si="63"/>
        <v>5319</v>
      </c>
      <c r="J385" s="475">
        <f t="shared" si="63"/>
        <v>9394.9</v>
      </c>
      <c r="K385" s="475">
        <f t="shared" si="63"/>
        <v>7282</v>
      </c>
      <c r="L385" s="465"/>
      <c r="N385" s="465"/>
      <c r="O385" s="465"/>
    </row>
    <row r="386" spans="1:15" s="441" customFormat="1" ht="31.5" x14ac:dyDescent="0.25">
      <c r="A386" s="521" t="s">
        <v>1954</v>
      </c>
      <c r="B386" s="616" t="s">
        <v>1181</v>
      </c>
      <c r="C386" s="254" t="s">
        <v>406</v>
      </c>
      <c r="D386" s="442" t="s">
        <v>2211</v>
      </c>
      <c r="E386" s="576"/>
      <c r="F386" s="292">
        <f t="shared" ref="F386:K386" si="64">F390+F393+F387</f>
        <v>31629.5</v>
      </c>
      <c r="G386" s="475">
        <f t="shared" si="64"/>
        <v>23734</v>
      </c>
      <c r="H386" s="475">
        <f t="shared" si="64"/>
        <v>7327.9</v>
      </c>
      <c r="I386" s="475">
        <f t="shared" si="64"/>
        <v>5319</v>
      </c>
      <c r="J386" s="475">
        <f t="shared" si="64"/>
        <v>9394.9</v>
      </c>
      <c r="K386" s="475">
        <f t="shared" si="64"/>
        <v>7282</v>
      </c>
      <c r="L386" s="465"/>
      <c r="N386" s="465"/>
      <c r="O386" s="465"/>
    </row>
    <row r="387" spans="1:15" s="513" customFormat="1" ht="31.5" x14ac:dyDescent="0.25">
      <c r="A387" s="603" t="s">
        <v>2268</v>
      </c>
      <c r="B387" s="613" t="s">
        <v>1181</v>
      </c>
      <c r="C387" s="235" t="s">
        <v>406</v>
      </c>
      <c r="D387" s="442" t="s">
        <v>2269</v>
      </c>
      <c r="E387" s="576"/>
      <c r="F387" s="292">
        <f>F388</f>
        <v>1996.5000000000005</v>
      </c>
      <c r="G387" s="475"/>
      <c r="H387" s="475">
        <f>H388</f>
        <v>728.9</v>
      </c>
      <c r="I387" s="475"/>
      <c r="J387" s="475">
        <f>J388</f>
        <v>728.9</v>
      </c>
      <c r="K387" s="475"/>
      <c r="L387" s="465"/>
      <c r="N387" s="465"/>
      <c r="O387" s="465"/>
    </row>
    <row r="388" spans="1:15" s="513" customFormat="1" x14ac:dyDescent="0.25">
      <c r="A388" s="519" t="s">
        <v>1781</v>
      </c>
      <c r="B388" s="613" t="s">
        <v>1181</v>
      </c>
      <c r="C388" s="235" t="s">
        <v>406</v>
      </c>
      <c r="D388" s="442" t="s">
        <v>2269</v>
      </c>
      <c r="E388" s="238">
        <v>200</v>
      </c>
      <c r="F388" s="292">
        <f>F389</f>
        <v>1996.5000000000005</v>
      </c>
      <c r="G388" s="475"/>
      <c r="H388" s="475">
        <f>H389</f>
        <v>728.9</v>
      </c>
      <c r="I388" s="475"/>
      <c r="J388" s="475">
        <f>J389</f>
        <v>728.9</v>
      </c>
      <c r="K388" s="475"/>
      <c r="L388" s="465"/>
      <c r="N388" s="465"/>
      <c r="O388" s="465"/>
    </row>
    <row r="389" spans="1:15" s="513" customFormat="1" ht="31.5" x14ac:dyDescent="0.25">
      <c r="A389" s="519" t="s">
        <v>1273</v>
      </c>
      <c r="B389" s="616" t="s">
        <v>1181</v>
      </c>
      <c r="C389" s="254" t="s">
        <v>406</v>
      </c>
      <c r="D389" s="442" t="s">
        <v>2269</v>
      </c>
      <c r="E389" s="238">
        <v>240</v>
      </c>
      <c r="F389" s="292">
        <f>'ведом. 2021-2023'!AD924</f>
        <v>1996.5000000000005</v>
      </c>
      <c r="G389" s="475"/>
      <c r="H389" s="475">
        <f>'ведом. 2021-2023'!AE924</f>
        <v>728.9</v>
      </c>
      <c r="I389" s="475"/>
      <c r="J389" s="475">
        <f>'ведом. 2021-2023'!AF924</f>
        <v>728.9</v>
      </c>
      <c r="K389" s="475"/>
      <c r="L389" s="465"/>
      <c r="N389" s="465"/>
      <c r="O389" s="465"/>
    </row>
    <row r="390" spans="1:15" s="441" customFormat="1" x14ac:dyDescent="0.25">
      <c r="A390" s="531" t="s">
        <v>2234</v>
      </c>
      <c r="B390" s="616" t="s">
        <v>1181</v>
      </c>
      <c r="C390" s="254" t="s">
        <v>406</v>
      </c>
      <c r="D390" s="442" t="s">
        <v>2235</v>
      </c>
      <c r="E390" s="238"/>
      <c r="F390" s="292">
        <f>F391</f>
        <v>4649</v>
      </c>
      <c r="G390" s="475"/>
      <c r="H390" s="475">
        <f>H391</f>
        <v>1000</v>
      </c>
      <c r="I390" s="475"/>
      <c r="J390" s="475">
        <f>J391</f>
        <v>1000</v>
      </c>
      <c r="K390" s="475"/>
      <c r="L390" s="465"/>
      <c r="N390" s="465"/>
      <c r="O390" s="465"/>
    </row>
    <row r="391" spans="1:15" s="441" customFormat="1" ht="31.5" x14ac:dyDescent="0.25">
      <c r="A391" s="523" t="s">
        <v>1273</v>
      </c>
      <c r="B391" s="613" t="s">
        <v>1181</v>
      </c>
      <c r="C391" s="235" t="s">
        <v>406</v>
      </c>
      <c r="D391" s="442" t="s">
        <v>2235</v>
      </c>
      <c r="E391" s="238">
        <v>200</v>
      </c>
      <c r="F391" s="292">
        <f>F392</f>
        <v>4649</v>
      </c>
      <c r="G391" s="475"/>
      <c r="H391" s="475">
        <f>H392</f>
        <v>1000</v>
      </c>
      <c r="I391" s="475"/>
      <c r="J391" s="475">
        <f>J392</f>
        <v>1000</v>
      </c>
      <c r="K391" s="475"/>
      <c r="L391" s="465"/>
      <c r="N391" s="465"/>
      <c r="O391" s="465"/>
    </row>
    <row r="392" spans="1:15" s="441" customFormat="1" x14ac:dyDescent="0.25">
      <c r="A392" s="523" t="s">
        <v>1781</v>
      </c>
      <c r="B392" s="613" t="s">
        <v>1181</v>
      </c>
      <c r="C392" s="235" t="s">
        <v>406</v>
      </c>
      <c r="D392" s="442" t="s">
        <v>2235</v>
      </c>
      <c r="E392" s="238">
        <v>240</v>
      </c>
      <c r="F392" s="292">
        <f>'ведом. 2021-2023'!AD927</f>
        <v>4649</v>
      </c>
      <c r="G392" s="475"/>
      <c r="H392" s="475">
        <f>'ведом. 2021-2023'!AE927</f>
        <v>1000</v>
      </c>
      <c r="I392" s="475"/>
      <c r="J392" s="475">
        <f>'ведом. 2021-2023'!AF927</f>
        <v>1000</v>
      </c>
      <c r="K392" s="475"/>
      <c r="L392" s="465"/>
      <c r="N392" s="465"/>
      <c r="O392" s="465"/>
    </row>
    <row r="393" spans="1:15" s="441" customFormat="1" ht="31.5" x14ac:dyDescent="0.25">
      <c r="A393" s="521" t="s">
        <v>2147</v>
      </c>
      <c r="B393" s="616" t="s">
        <v>1181</v>
      </c>
      <c r="C393" s="254" t="s">
        <v>406</v>
      </c>
      <c r="D393" s="442" t="s">
        <v>2212</v>
      </c>
      <c r="E393" s="238"/>
      <c r="F393" s="292">
        <f t="shared" ref="F393:K394" si="65">F394</f>
        <v>24984</v>
      </c>
      <c r="G393" s="475">
        <f>G394</f>
        <v>23734</v>
      </c>
      <c r="H393" s="475">
        <f t="shared" si="65"/>
        <v>5599</v>
      </c>
      <c r="I393" s="475">
        <f t="shared" si="65"/>
        <v>5319</v>
      </c>
      <c r="J393" s="475">
        <f t="shared" si="65"/>
        <v>7666</v>
      </c>
      <c r="K393" s="475">
        <f t="shared" si="65"/>
        <v>7282</v>
      </c>
      <c r="L393" s="465"/>
      <c r="N393" s="465"/>
      <c r="O393" s="465"/>
    </row>
    <row r="394" spans="1:15" s="441" customFormat="1" x14ac:dyDescent="0.25">
      <c r="A394" s="523" t="s">
        <v>1781</v>
      </c>
      <c r="B394" s="616" t="s">
        <v>1181</v>
      </c>
      <c r="C394" s="254" t="s">
        <v>406</v>
      </c>
      <c r="D394" s="442" t="s">
        <v>2212</v>
      </c>
      <c r="E394" s="238">
        <v>200</v>
      </c>
      <c r="F394" s="292">
        <f t="shared" si="65"/>
        <v>24984</v>
      </c>
      <c r="G394" s="475">
        <f>G395</f>
        <v>23734</v>
      </c>
      <c r="H394" s="475">
        <f t="shared" si="65"/>
        <v>5599</v>
      </c>
      <c r="I394" s="475">
        <f t="shared" si="65"/>
        <v>5319</v>
      </c>
      <c r="J394" s="475">
        <f t="shared" si="65"/>
        <v>7666</v>
      </c>
      <c r="K394" s="475">
        <f t="shared" si="65"/>
        <v>7282</v>
      </c>
      <c r="L394" s="465"/>
      <c r="N394" s="465"/>
      <c r="O394" s="465"/>
    </row>
    <row r="395" spans="1:15" s="441" customFormat="1" ht="31.5" x14ac:dyDescent="0.25">
      <c r="A395" s="523" t="s">
        <v>1273</v>
      </c>
      <c r="B395" s="616" t="s">
        <v>1181</v>
      </c>
      <c r="C395" s="254" t="s">
        <v>406</v>
      </c>
      <c r="D395" s="442" t="s">
        <v>2212</v>
      </c>
      <c r="E395" s="238">
        <v>240</v>
      </c>
      <c r="F395" s="292">
        <f>'ведом. 2021-2023'!AD930</f>
        <v>24984</v>
      </c>
      <c r="G395" s="475">
        <f>25534-1800</f>
        <v>23734</v>
      </c>
      <c r="H395" s="475">
        <f>'ведом. 2021-2023'!AE930</f>
        <v>5599</v>
      </c>
      <c r="I395" s="475">
        <v>5319</v>
      </c>
      <c r="J395" s="475">
        <f>'ведом. 2021-2023'!AF930</f>
        <v>7666</v>
      </c>
      <c r="K395" s="475">
        <f>13592-6310</f>
        <v>7282</v>
      </c>
      <c r="L395" s="465"/>
      <c r="N395" s="465"/>
      <c r="O395" s="465"/>
    </row>
    <row r="396" spans="1:15" s="441" customFormat="1" x14ac:dyDescent="0.25">
      <c r="A396" s="520" t="s">
        <v>1160</v>
      </c>
      <c r="B396" s="616" t="s">
        <v>1181</v>
      </c>
      <c r="C396" s="254" t="s">
        <v>406</v>
      </c>
      <c r="D396" s="442" t="s">
        <v>2213</v>
      </c>
      <c r="E396" s="576"/>
      <c r="F396" s="292">
        <f>F397</f>
        <v>60573.1</v>
      </c>
      <c r="G396" s="475"/>
      <c r="H396" s="475">
        <f>H397</f>
        <v>20718.099999999999</v>
      </c>
      <c r="I396" s="475"/>
      <c r="J396" s="475">
        <f>J397</f>
        <v>20718.099999999999</v>
      </c>
      <c r="K396" s="475"/>
      <c r="L396" s="465"/>
      <c r="N396" s="465"/>
      <c r="O396" s="465"/>
    </row>
    <row r="397" spans="1:15" s="441" customFormat="1" ht="31.5" x14ac:dyDescent="0.25">
      <c r="A397" s="520" t="s">
        <v>1909</v>
      </c>
      <c r="B397" s="616" t="s">
        <v>1181</v>
      </c>
      <c r="C397" s="254" t="s">
        <v>406</v>
      </c>
      <c r="D397" s="442" t="s">
        <v>2214</v>
      </c>
      <c r="E397" s="238"/>
      <c r="F397" s="292">
        <f>F398</f>
        <v>60573.1</v>
      </c>
      <c r="G397" s="475"/>
      <c r="H397" s="475">
        <f>H398</f>
        <v>20718.099999999999</v>
      </c>
      <c r="I397" s="475"/>
      <c r="J397" s="475">
        <f>J398</f>
        <v>20718.099999999999</v>
      </c>
      <c r="K397" s="475"/>
      <c r="L397" s="465"/>
      <c r="N397" s="465"/>
      <c r="O397" s="465"/>
    </row>
    <row r="398" spans="1:15" s="441" customFormat="1" ht="31.5" x14ac:dyDescent="0.25">
      <c r="A398" s="528" t="s">
        <v>2138</v>
      </c>
      <c r="B398" s="616" t="s">
        <v>1181</v>
      </c>
      <c r="C398" s="254" t="s">
        <v>406</v>
      </c>
      <c r="D398" s="442" t="s">
        <v>2215</v>
      </c>
      <c r="E398" s="238"/>
      <c r="F398" s="292">
        <f>F399</f>
        <v>60573.1</v>
      </c>
      <c r="G398" s="475"/>
      <c r="H398" s="475">
        <f>H399</f>
        <v>20718.099999999999</v>
      </c>
      <c r="I398" s="475"/>
      <c r="J398" s="475">
        <f>J399</f>
        <v>20718.099999999999</v>
      </c>
      <c r="K398" s="475"/>
      <c r="L398" s="465"/>
      <c r="N398" s="465"/>
      <c r="O398" s="465"/>
    </row>
    <row r="399" spans="1:15" s="441" customFormat="1" ht="31.5" x14ac:dyDescent="0.25">
      <c r="A399" s="523" t="s">
        <v>1342</v>
      </c>
      <c r="B399" s="616" t="s">
        <v>1181</v>
      </c>
      <c r="C399" s="254" t="s">
        <v>406</v>
      </c>
      <c r="D399" s="442" t="s">
        <v>2215</v>
      </c>
      <c r="E399" s="238">
        <v>600</v>
      </c>
      <c r="F399" s="292">
        <f>F400</f>
        <v>60573.1</v>
      </c>
      <c r="G399" s="475"/>
      <c r="H399" s="475">
        <f>H400</f>
        <v>20718.099999999999</v>
      </c>
      <c r="I399" s="475"/>
      <c r="J399" s="475">
        <f>J400</f>
        <v>20718.099999999999</v>
      </c>
      <c r="K399" s="475"/>
      <c r="L399" s="465"/>
      <c r="N399" s="465"/>
      <c r="O399" s="465"/>
    </row>
    <row r="400" spans="1:15" s="441" customFormat="1" x14ac:dyDescent="0.25">
      <c r="A400" s="523" t="s">
        <v>1343</v>
      </c>
      <c r="B400" s="616" t="s">
        <v>1181</v>
      </c>
      <c r="C400" s="254" t="s">
        <v>406</v>
      </c>
      <c r="D400" s="442" t="s">
        <v>2215</v>
      </c>
      <c r="E400" s="238">
        <v>610</v>
      </c>
      <c r="F400" s="292">
        <f>'ведом. 2021-2023'!AD265</f>
        <v>60573.1</v>
      </c>
      <c r="G400" s="475"/>
      <c r="H400" s="475">
        <f>'ведом. 2021-2023'!AE265</f>
        <v>20718.099999999999</v>
      </c>
      <c r="I400" s="475"/>
      <c r="J400" s="475">
        <f>'ведом. 2021-2023'!AF265</f>
        <v>20718.099999999999</v>
      </c>
      <c r="K400" s="475"/>
      <c r="L400" s="465"/>
      <c r="N400" s="465"/>
      <c r="O400" s="465"/>
    </row>
    <row r="401" spans="1:15" s="513" customFormat="1" x14ac:dyDescent="0.25">
      <c r="A401" s="548" t="s">
        <v>1972</v>
      </c>
      <c r="B401" s="254" t="s">
        <v>1181</v>
      </c>
      <c r="C401" s="254" t="s">
        <v>406</v>
      </c>
      <c r="D401" s="442" t="s">
        <v>1973</v>
      </c>
      <c r="E401" s="238"/>
      <c r="F401" s="292">
        <f t="shared" ref="F401:J415" si="66">F402</f>
        <v>22646.9</v>
      </c>
      <c r="G401" s="292">
        <f t="shared" si="66"/>
        <v>18562.2</v>
      </c>
      <c r="H401" s="292">
        <f t="shared" si="66"/>
        <v>0</v>
      </c>
      <c r="I401" s="292"/>
      <c r="J401" s="292">
        <f t="shared" si="66"/>
        <v>0</v>
      </c>
      <c r="K401" s="292"/>
      <c r="L401" s="465"/>
      <c r="N401" s="465"/>
      <c r="O401" s="465"/>
    </row>
    <row r="402" spans="1:15" s="513" customFormat="1" x14ac:dyDescent="0.25">
      <c r="A402" s="548" t="s">
        <v>2340</v>
      </c>
      <c r="B402" s="254" t="s">
        <v>1181</v>
      </c>
      <c r="C402" s="254" t="s">
        <v>406</v>
      </c>
      <c r="D402" s="442" t="s">
        <v>2341</v>
      </c>
      <c r="E402" s="238"/>
      <c r="F402" s="292">
        <f>F413+F403</f>
        <v>22646.9</v>
      </c>
      <c r="G402" s="292">
        <f t="shared" ref="G402:J402" si="67">G413+G403</f>
        <v>18562.2</v>
      </c>
      <c r="H402" s="292">
        <f t="shared" si="67"/>
        <v>0</v>
      </c>
      <c r="I402" s="292"/>
      <c r="J402" s="292">
        <f t="shared" si="67"/>
        <v>0</v>
      </c>
      <c r="K402" s="292"/>
      <c r="L402" s="465"/>
      <c r="N402" s="465"/>
      <c r="O402" s="465"/>
    </row>
    <row r="403" spans="1:15" s="513" customFormat="1" ht="31.5" x14ac:dyDescent="0.25">
      <c r="A403" s="548" t="s">
        <v>2407</v>
      </c>
      <c r="B403" s="254" t="s">
        <v>1181</v>
      </c>
      <c r="C403" s="254" t="s">
        <v>406</v>
      </c>
      <c r="D403" s="442" t="s">
        <v>2408</v>
      </c>
      <c r="E403" s="238"/>
      <c r="F403" s="292">
        <f>F407+F410+F404</f>
        <v>7898.2</v>
      </c>
      <c r="G403" s="292">
        <f t="shared" ref="G403:J403" si="68">G407+G410+G404</f>
        <v>6468.3</v>
      </c>
      <c r="H403" s="292">
        <f t="shared" si="68"/>
        <v>0</v>
      </c>
      <c r="I403" s="292"/>
      <c r="J403" s="292">
        <f t="shared" si="68"/>
        <v>0</v>
      </c>
      <c r="K403" s="292"/>
      <c r="L403" s="465"/>
      <c r="N403" s="465"/>
      <c r="O403" s="465"/>
    </row>
    <row r="404" spans="1:15" s="513" customFormat="1" x14ac:dyDescent="0.25">
      <c r="A404" s="519" t="s">
        <v>2479</v>
      </c>
      <c r="B404" s="254" t="s">
        <v>1181</v>
      </c>
      <c r="C404" s="254" t="s">
        <v>406</v>
      </c>
      <c r="D404" s="442" t="s">
        <v>2480</v>
      </c>
      <c r="E404" s="579"/>
      <c r="F404" s="292">
        <f>F405</f>
        <v>10</v>
      </c>
      <c r="G404" s="292"/>
      <c r="H404" s="292">
        <f t="shared" ref="H404:J404" si="69">H405</f>
        <v>0</v>
      </c>
      <c r="I404" s="292"/>
      <c r="J404" s="292">
        <f t="shared" si="69"/>
        <v>0</v>
      </c>
      <c r="K404" s="292"/>
      <c r="L404" s="465"/>
      <c r="N404" s="465"/>
      <c r="O404" s="465"/>
    </row>
    <row r="405" spans="1:15" s="513" customFormat="1" x14ac:dyDescent="0.25">
      <c r="A405" s="519" t="s">
        <v>1781</v>
      </c>
      <c r="B405" s="254" t="s">
        <v>1181</v>
      </c>
      <c r="C405" s="254" t="s">
        <v>406</v>
      </c>
      <c r="D405" s="442" t="s">
        <v>2480</v>
      </c>
      <c r="E405" s="579" t="s">
        <v>821</v>
      </c>
      <c r="F405" s="292">
        <f>F406</f>
        <v>10</v>
      </c>
      <c r="G405" s="292"/>
      <c r="H405" s="292">
        <f t="shared" ref="H405:J405" si="70">H406</f>
        <v>0</v>
      </c>
      <c r="I405" s="292"/>
      <c r="J405" s="292">
        <f t="shared" si="70"/>
        <v>0</v>
      </c>
      <c r="K405" s="292"/>
      <c r="L405" s="465"/>
      <c r="N405" s="465"/>
      <c r="O405" s="465"/>
    </row>
    <row r="406" spans="1:15" s="513" customFormat="1" ht="31.5" x14ac:dyDescent="0.25">
      <c r="A406" s="519" t="s">
        <v>1273</v>
      </c>
      <c r="B406" s="254" t="s">
        <v>1181</v>
      </c>
      <c r="C406" s="254" t="s">
        <v>406</v>
      </c>
      <c r="D406" s="442" t="s">
        <v>2480</v>
      </c>
      <c r="E406" s="579" t="s">
        <v>1479</v>
      </c>
      <c r="F406" s="292">
        <f>'ведом. 2021-2023'!AD936</f>
        <v>10</v>
      </c>
      <c r="G406" s="292"/>
      <c r="H406" s="292">
        <f>'ведом. 2021-2023'!AE936</f>
        <v>0</v>
      </c>
      <c r="I406" s="292"/>
      <c r="J406" s="292">
        <f>'ведом. 2021-2023'!AF936</f>
        <v>0</v>
      </c>
      <c r="K406" s="292"/>
      <c r="L406" s="465"/>
      <c r="N406" s="465"/>
      <c r="O406" s="465"/>
    </row>
    <row r="407" spans="1:15" s="513" customFormat="1" x14ac:dyDescent="0.25">
      <c r="A407" s="519" t="s">
        <v>2433</v>
      </c>
      <c r="B407" s="254" t="s">
        <v>1181</v>
      </c>
      <c r="C407" s="254" t="s">
        <v>406</v>
      </c>
      <c r="D407" s="442" t="s">
        <v>2434</v>
      </c>
      <c r="E407" s="579"/>
      <c r="F407" s="292">
        <f>F408</f>
        <v>7303.5</v>
      </c>
      <c r="G407" s="292">
        <f t="shared" ref="G407:J408" si="71">G408</f>
        <v>5988.8</v>
      </c>
      <c r="H407" s="292">
        <f t="shared" si="71"/>
        <v>0</v>
      </c>
      <c r="I407" s="292"/>
      <c r="J407" s="292">
        <f t="shared" si="71"/>
        <v>0</v>
      </c>
      <c r="K407" s="292"/>
      <c r="L407" s="465"/>
      <c r="N407" s="465"/>
      <c r="O407" s="465"/>
    </row>
    <row r="408" spans="1:15" s="513" customFormat="1" x14ac:dyDescent="0.25">
      <c r="A408" s="519" t="s">
        <v>1781</v>
      </c>
      <c r="B408" s="254" t="s">
        <v>1181</v>
      </c>
      <c r="C408" s="254" t="s">
        <v>406</v>
      </c>
      <c r="D408" s="442" t="s">
        <v>2434</v>
      </c>
      <c r="E408" s="579" t="s">
        <v>821</v>
      </c>
      <c r="F408" s="292">
        <f>F409</f>
        <v>7303.5</v>
      </c>
      <c r="G408" s="292">
        <f t="shared" ref="G408:H408" si="72">G409</f>
        <v>5988.8</v>
      </c>
      <c r="H408" s="292">
        <f t="shared" si="72"/>
        <v>0</v>
      </c>
      <c r="I408" s="292"/>
      <c r="J408" s="292">
        <f t="shared" si="71"/>
        <v>0</v>
      </c>
      <c r="K408" s="292"/>
      <c r="L408" s="465"/>
      <c r="N408" s="465"/>
      <c r="O408" s="465"/>
    </row>
    <row r="409" spans="1:15" s="513" customFormat="1" ht="31.5" x14ac:dyDescent="0.25">
      <c r="A409" s="519" t="s">
        <v>1273</v>
      </c>
      <c r="B409" s="254" t="s">
        <v>1181</v>
      </c>
      <c r="C409" s="254" t="s">
        <v>406</v>
      </c>
      <c r="D409" s="442" t="s">
        <v>2434</v>
      </c>
      <c r="E409" s="579" t="s">
        <v>1479</v>
      </c>
      <c r="F409" s="292">
        <f>'ведом. 2021-2023'!AD939</f>
        <v>7303.5</v>
      </c>
      <c r="G409" s="292">
        <f>2633.9+3354.9</f>
        <v>5988.8</v>
      </c>
      <c r="H409" s="292">
        <v>0</v>
      </c>
      <c r="I409" s="292"/>
      <c r="J409" s="292">
        <v>0</v>
      </c>
      <c r="K409" s="292"/>
      <c r="L409" s="465"/>
      <c r="N409" s="465"/>
      <c r="O409" s="465"/>
    </row>
    <row r="410" spans="1:15" s="513" customFormat="1" x14ac:dyDescent="0.25">
      <c r="A410" s="519" t="s">
        <v>2438</v>
      </c>
      <c r="B410" s="254" t="s">
        <v>1181</v>
      </c>
      <c r="C410" s="254" t="s">
        <v>406</v>
      </c>
      <c r="D410" s="442" t="s">
        <v>2437</v>
      </c>
      <c r="E410" s="579"/>
      <c r="F410" s="292">
        <f>F411</f>
        <v>584.70000000000005</v>
      </c>
      <c r="G410" s="292">
        <f>G411</f>
        <v>479.5</v>
      </c>
      <c r="H410" s="292">
        <f t="shared" ref="H410:J410" si="73">H411</f>
        <v>0</v>
      </c>
      <c r="I410" s="292"/>
      <c r="J410" s="292">
        <f t="shared" si="73"/>
        <v>0</v>
      </c>
      <c r="K410" s="292"/>
      <c r="L410" s="465"/>
      <c r="N410" s="465"/>
      <c r="O410" s="465"/>
    </row>
    <row r="411" spans="1:15" s="513" customFormat="1" x14ac:dyDescent="0.25">
      <c r="A411" s="519" t="s">
        <v>1781</v>
      </c>
      <c r="B411" s="254" t="s">
        <v>1181</v>
      </c>
      <c r="C411" s="254" t="s">
        <v>406</v>
      </c>
      <c r="D411" s="442" t="s">
        <v>2437</v>
      </c>
      <c r="E411" s="579" t="s">
        <v>821</v>
      </c>
      <c r="F411" s="292">
        <f>F412</f>
        <v>584.70000000000005</v>
      </c>
      <c r="G411" s="292">
        <f>G412</f>
        <v>479.5</v>
      </c>
      <c r="H411" s="292">
        <f t="shared" ref="H411:J411" si="74">H412</f>
        <v>0</v>
      </c>
      <c r="I411" s="292"/>
      <c r="J411" s="292">
        <f t="shared" si="74"/>
        <v>0</v>
      </c>
      <c r="K411" s="292"/>
      <c r="L411" s="465"/>
      <c r="N411" s="465"/>
      <c r="O411" s="465"/>
    </row>
    <row r="412" spans="1:15" s="513" customFormat="1" ht="31.5" x14ac:dyDescent="0.25">
      <c r="A412" s="519" t="s">
        <v>1273</v>
      </c>
      <c r="B412" s="254" t="s">
        <v>1181</v>
      </c>
      <c r="C412" s="254" t="s">
        <v>406</v>
      </c>
      <c r="D412" s="442" t="s">
        <v>2437</v>
      </c>
      <c r="E412" s="579" t="s">
        <v>1479</v>
      </c>
      <c r="F412" s="292">
        <f>'ведом. 2021-2023'!AD942</f>
        <v>584.70000000000005</v>
      </c>
      <c r="G412" s="292">
        <v>479.5</v>
      </c>
      <c r="H412" s="292">
        <v>0</v>
      </c>
      <c r="I412" s="292"/>
      <c r="J412" s="292">
        <v>0</v>
      </c>
      <c r="K412" s="292"/>
      <c r="L412" s="465"/>
      <c r="N412" s="465"/>
      <c r="O412" s="465"/>
    </row>
    <row r="413" spans="1:15" s="513" customFormat="1" x14ac:dyDescent="0.25">
      <c r="A413" s="519" t="s">
        <v>2342</v>
      </c>
      <c r="B413" s="254" t="s">
        <v>1181</v>
      </c>
      <c r="C413" s="254" t="s">
        <v>406</v>
      </c>
      <c r="D413" s="442" t="s">
        <v>2345</v>
      </c>
      <c r="E413" s="238"/>
      <c r="F413" s="292">
        <f t="shared" si="66"/>
        <v>14748.7</v>
      </c>
      <c r="G413" s="292">
        <f t="shared" si="66"/>
        <v>12093.9</v>
      </c>
      <c r="H413" s="292">
        <f t="shared" si="66"/>
        <v>0</v>
      </c>
      <c r="I413" s="292"/>
      <c r="J413" s="292">
        <f t="shared" si="66"/>
        <v>0</v>
      </c>
      <c r="K413" s="292"/>
      <c r="L413" s="465"/>
      <c r="N413" s="465"/>
      <c r="O413" s="465"/>
    </row>
    <row r="414" spans="1:15" s="513" customFormat="1" x14ac:dyDescent="0.25">
      <c r="A414" s="519" t="s">
        <v>2417</v>
      </c>
      <c r="B414" s="254" t="s">
        <v>1181</v>
      </c>
      <c r="C414" s="254" t="s">
        <v>406</v>
      </c>
      <c r="D414" s="822" t="s">
        <v>2418</v>
      </c>
      <c r="E414" s="238"/>
      <c r="F414" s="292">
        <f t="shared" si="66"/>
        <v>14748.7</v>
      </c>
      <c r="G414" s="292">
        <f t="shared" si="66"/>
        <v>12093.9</v>
      </c>
      <c r="H414" s="292">
        <f t="shared" si="66"/>
        <v>0</v>
      </c>
      <c r="I414" s="292"/>
      <c r="J414" s="292">
        <f t="shared" si="66"/>
        <v>0</v>
      </c>
      <c r="K414" s="292"/>
      <c r="L414" s="465"/>
      <c r="N414" s="465"/>
      <c r="O414" s="465"/>
    </row>
    <row r="415" spans="1:15" s="513" customFormat="1" x14ac:dyDescent="0.25">
      <c r="A415" s="519" t="s">
        <v>1781</v>
      </c>
      <c r="B415" s="254" t="s">
        <v>1181</v>
      </c>
      <c r="C415" s="254" t="s">
        <v>406</v>
      </c>
      <c r="D415" s="822" t="s">
        <v>2418</v>
      </c>
      <c r="E415" s="238">
        <v>200</v>
      </c>
      <c r="F415" s="292">
        <f t="shared" si="66"/>
        <v>14748.7</v>
      </c>
      <c r="G415" s="292">
        <f t="shared" si="66"/>
        <v>12093.9</v>
      </c>
      <c r="H415" s="292">
        <f t="shared" si="66"/>
        <v>0</v>
      </c>
      <c r="I415" s="292"/>
      <c r="J415" s="292">
        <f t="shared" si="66"/>
        <v>0</v>
      </c>
      <c r="K415" s="292"/>
      <c r="L415" s="465"/>
      <c r="N415" s="465"/>
      <c r="O415" s="465"/>
    </row>
    <row r="416" spans="1:15" s="513" customFormat="1" ht="31.5" x14ac:dyDescent="0.25">
      <c r="A416" s="519" t="s">
        <v>1273</v>
      </c>
      <c r="B416" s="254" t="s">
        <v>1181</v>
      </c>
      <c r="C416" s="254" t="s">
        <v>406</v>
      </c>
      <c r="D416" s="822" t="s">
        <v>2418</v>
      </c>
      <c r="E416" s="238">
        <v>240</v>
      </c>
      <c r="F416" s="292">
        <f>'ведом. 2021-2023'!AD946</f>
        <v>14748.7</v>
      </c>
      <c r="G416" s="475">
        <v>12093.9</v>
      </c>
      <c r="H416" s="475">
        <v>0</v>
      </c>
      <c r="I416" s="475"/>
      <c r="J416" s="475">
        <f>'ведом. 2021-2023'!AF946</f>
        <v>0</v>
      </c>
      <c r="K416" s="475"/>
      <c r="L416" s="465"/>
      <c r="N416" s="465"/>
      <c r="O416" s="465"/>
    </row>
    <row r="417" spans="1:15" s="441" customFormat="1" x14ac:dyDescent="0.25">
      <c r="A417" s="608" t="s">
        <v>626</v>
      </c>
      <c r="B417" s="613" t="s">
        <v>1181</v>
      </c>
      <c r="C417" s="235">
        <v>10</v>
      </c>
      <c r="D417" s="256"/>
      <c r="E417" s="238"/>
      <c r="F417" s="292">
        <f t="shared" ref="F417:K417" si="75">F418</f>
        <v>2651</v>
      </c>
      <c r="G417" s="475">
        <f t="shared" si="75"/>
        <v>275</v>
      </c>
      <c r="H417" s="475">
        <f t="shared" si="75"/>
        <v>693</v>
      </c>
      <c r="I417" s="475">
        <f t="shared" si="75"/>
        <v>276</v>
      </c>
      <c r="J417" s="475">
        <f t="shared" si="75"/>
        <v>694</v>
      </c>
      <c r="K417" s="475">
        <f t="shared" si="75"/>
        <v>290</v>
      </c>
      <c r="L417" s="465"/>
      <c r="N417" s="465"/>
      <c r="O417" s="465"/>
    </row>
    <row r="418" spans="1:15" s="441" customFormat="1" x14ac:dyDescent="0.25">
      <c r="A418" s="520" t="s">
        <v>1957</v>
      </c>
      <c r="B418" s="246" t="s">
        <v>1181</v>
      </c>
      <c r="C418" s="255">
        <v>10</v>
      </c>
      <c r="D418" s="442" t="s">
        <v>1958</v>
      </c>
      <c r="E418" s="238"/>
      <c r="F418" s="292">
        <f t="shared" ref="F418:K418" si="76">F419</f>
        <v>2651</v>
      </c>
      <c r="G418" s="475">
        <f t="shared" si="76"/>
        <v>275</v>
      </c>
      <c r="H418" s="475">
        <f t="shared" si="76"/>
        <v>693</v>
      </c>
      <c r="I418" s="475">
        <f t="shared" si="76"/>
        <v>276</v>
      </c>
      <c r="J418" s="475">
        <f t="shared" si="76"/>
        <v>694</v>
      </c>
      <c r="K418" s="475">
        <f t="shared" si="76"/>
        <v>290</v>
      </c>
      <c r="L418" s="465"/>
      <c r="N418" s="465"/>
      <c r="O418" s="465"/>
    </row>
    <row r="419" spans="1:15" s="441" customFormat="1" ht="31.5" x14ac:dyDescent="0.25">
      <c r="A419" s="520" t="s">
        <v>1964</v>
      </c>
      <c r="B419" s="246" t="s">
        <v>1181</v>
      </c>
      <c r="C419" s="255">
        <v>10</v>
      </c>
      <c r="D419" s="442" t="s">
        <v>1965</v>
      </c>
      <c r="E419" s="586"/>
      <c r="F419" s="292">
        <f t="shared" ref="F419:K419" si="77">F432+F420+F428+F424</f>
        <v>2651</v>
      </c>
      <c r="G419" s="475">
        <f t="shared" si="77"/>
        <v>275</v>
      </c>
      <c r="H419" s="475">
        <f t="shared" si="77"/>
        <v>693</v>
      </c>
      <c r="I419" s="475">
        <f t="shared" si="77"/>
        <v>276</v>
      </c>
      <c r="J419" s="475">
        <f t="shared" si="77"/>
        <v>694</v>
      </c>
      <c r="K419" s="475">
        <f t="shared" si="77"/>
        <v>290</v>
      </c>
      <c r="L419" s="465"/>
      <c r="N419" s="465"/>
      <c r="O419" s="465"/>
    </row>
    <row r="420" spans="1:15" s="513" customFormat="1" x14ac:dyDescent="0.25">
      <c r="A420" s="548" t="s">
        <v>2352</v>
      </c>
      <c r="B420" s="246" t="s">
        <v>1181</v>
      </c>
      <c r="C420" s="255">
        <v>10</v>
      </c>
      <c r="D420" s="442" t="s">
        <v>2353</v>
      </c>
      <c r="E420" s="586"/>
      <c r="F420" s="292">
        <f>F421</f>
        <v>1550</v>
      </c>
      <c r="G420" s="475"/>
      <c r="H420" s="475">
        <f>H421</f>
        <v>0</v>
      </c>
      <c r="I420" s="475"/>
      <c r="J420" s="475">
        <f>J421</f>
        <v>0</v>
      </c>
      <c r="K420" s="475"/>
      <c r="L420" s="465"/>
      <c r="N420" s="465"/>
      <c r="O420" s="465"/>
    </row>
    <row r="421" spans="1:15" s="513" customFormat="1" x14ac:dyDescent="0.25">
      <c r="A421" s="531" t="s">
        <v>2354</v>
      </c>
      <c r="B421" s="246" t="s">
        <v>1181</v>
      </c>
      <c r="C421" s="255">
        <v>10</v>
      </c>
      <c r="D421" s="442" t="s">
        <v>2355</v>
      </c>
      <c r="E421" s="587"/>
      <c r="F421" s="292">
        <f>F422</f>
        <v>1550</v>
      </c>
      <c r="G421" s="475"/>
      <c r="H421" s="475">
        <f>H422</f>
        <v>0</v>
      </c>
      <c r="I421" s="475"/>
      <c r="J421" s="475">
        <f>J422</f>
        <v>0</v>
      </c>
      <c r="K421" s="475"/>
      <c r="L421" s="465"/>
      <c r="N421" s="465"/>
      <c r="O421" s="465"/>
    </row>
    <row r="422" spans="1:15" s="513" customFormat="1" x14ac:dyDescent="0.25">
      <c r="A422" s="519" t="s">
        <v>1781</v>
      </c>
      <c r="B422" s="246" t="s">
        <v>1181</v>
      </c>
      <c r="C422" s="255">
        <v>10</v>
      </c>
      <c r="D422" s="442" t="s">
        <v>2355</v>
      </c>
      <c r="E422" s="238">
        <v>200</v>
      </c>
      <c r="F422" s="292">
        <f>F423</f>
        <v>1550</v>
      </c>
      <c r="G422" s="475"/>
      <c r="H422" s="475">
        <f>H423</f>
        <v>0</v>
      </c>
      <c r="I422" s="475"/>
      <c r="J422" s="475">
        <f>J423</f>
        <v>0</v>
      </c>
      <c r="K422" s="475"/>
      <c r="L422" s="465"/>
      <c r="N422" s="465"/>
      <c r="O422" s="465"/>
    </row>
    <row r="423" spans="1:15" s="513" customFormat="1" ht="31.5" x14ac:dyDescent="0.25">
      <c r="A423" s="519" t="s">
        <v>1273</v>
      </c>
      <c r="B423" s="246" t="s">
        <v>1181</v>
      </c>
      <c r="C423" s="255">
        <v>10</v>
      </c>
      <c r="D423" s="442" t="s">
        <v>2355</v>
      </c>
      <c r="E423" s="238">
        <v>240</v>
      </c>
      <c r="F423" s="292">
        <f>'ведом. 2021-2023'!AD272</f>
        <v>1550</v>
      </c>
      <c r="G423" s="475"/>
      <c r="H423" s="475">
        <f>'ведом. 2021-2023'!AE272</f>
        <v>0</v>
      </c>
      <c r="I423" s="475"/>
      <c r="J423" s="475">
        <f>'ведом. 2021-2023'!AF272</f>
        <v>0</v>
      </c>
      <c r="K423" s="475"/>
      <c r="L423" s="465"/>
      <c r="N423" s="465"/>
      <c r="O423" s="465"/>
    </row>
    <row r="424" spans="1:15" s="513" customFormat="1" x14ac:dyDescent="0.25">
      <c r="A424" s="548" t="s">
        <v>2403</v>
      </c>
      <c r="B424" s="246" t="s">
        <v>1181</v>
      </c>
      <c r="C424" s="255">
        <v>10</v>
      </c>
      <c r="D424" s="442" t="s">
        <v>2404</v>
      </c>
      <c r="E424" s="238"/>
      <c r="F424" s="292">
        <f>F425</f>
        <v>110</v>
      </c>
      <c r="G424" s="475"/>
      <c r="H424" s="475">
        <f>H425</f>
        <v>0</v>
      </c>
      <c r="I424" s="475"/>
      <c r="J424" s="475">
        <f>J425</f>
        <v>0</v>
      </c>
      <c r="K424" s="475"/>
      <c r="L424" s="465"/>
      <c r="N424" s="465"/>
      <c r="O424" s="465"/>
    </row>
    <row r="425" spans="1:15" s="513" customFormat="1" x14ac:dyDescent="0.25">
      <c r="A425" s="531" t="s">
        <v>2405</v>
      </c>
      <c r="B425" s="246" t="s">
        <v>1181</v>
      </c>
      <c r="C425" s="255">
        <v>10</v>
      </c>
      <c r="D425" s="442" t="s">
        <v>2406</v>
      </c>
      <c r="E425" s="238"/>
      <c r="F425" s="292">
        <f>F426</f>
        <v>110</v>
      </c>
      <c r="G425" s="475"/>
      <c r="H425" s="475">
        <f>H426</f>
        <v>0</v>
      </c>
      <c r="I425" s="475"/>
      <c r="J425" s="475">
        <f>J426</f>
        <v>0</v>
      </c>
      <c r="K425" s="475"/>
      <c r="L425" s="465"/>
      <c r="N425" s="465"/>
      <c r="O425" s="465"/>
    </row>
    <row r="426" spans="1:15" s="513" customFormat="1" x14ac:dyDescent="0.25">
      <c r="A426" s="519" t="s">
        <v>1781</v>
      </c>
      <c r="B426" s="246" t="s">
        <v>1181</v>
      </c>
      <c r="C426" s="255">
        <v>10</v>
      </c>
      <c r="D426" s="442" t="s">
        <v>2406</v>
      </c>
      <c r="E426" s="238">
        <v>200</v>
      </c>
      <c r="F426" s="292">
        <f>F427</f>
        <v>110</v>
      </c>
      <c r="G426" s="475"/>
      <c r="H426" s="475">
        <f>H427</f>
        <v>0</v>
      </c>
      <c r="I426" s="475"/>
      <c r="J426" s="475">
        <f>J427</f>
        <v>0</v>
      </c>
      <c r="K426" s="475"/>
      <c r="L426" s="465"/>
      <c r="N426" s="465"/>
      <c r="O426" s="465"/>
    </row>
    <row r="427" spans="1:15" s="513" customFormat="1" ht="31.5" x14ac:dyDescent="0.25">
      <c r="A427" s="519" t="s">
        <v>1273</v>
      </c>
      <c r="B427" s="246" t="s">
        <v>1181</v>
      </c>
      <c r="C427" s="255">
        <v>10</v>
      </c>
      <c r="D427" s="442" t="s">
        <v>2406</v>
      </c>
      <c r="E427" s="238">
        <v>240</v>
      </c>
      <c r="F427" s="292">
        <f>'ведом. 2021-2023'!AD276</f>
        <v>110</v>
      </c>
      <c r="G427" s="475"/>
      <c r="H427" s="475">
        <f>'ведом. 2021-2023'!AE276</f>
        <v>0</v>
      </c>
      <c r="I427" s="475"/>
      <c r="J427" s="475">
        <f>'ведом. 2021-2023'!AF276</f>
        <v>0</v>
      </c>
      <c r="K427" s="475"/>
      <c r="L427" s="465"/>
      <c r="N427" s="465"/>
      <c r="O427" s="465"/>
    </row>
    <row r="428" spans="1:15" s="513" customFormat="1" x14ac:dyDescent="0.25">
      <c r="A428" s="548" t="s">
        <v>2358</v>
      </c>
      <c r="B428" s="246" t="s">
        <v>1181</v>
      </c>
      <c r="C428" s="255">
        <v>10</v>
      </c>
      <c r="D428" s="442" t="s">
        <v>2359</v>
      </c>
      <c r="E428" s="238"/>
      <c r="F428" s="292">
        <f>F429</f>
        <v>297</v>
      </c>
      <c r="G428" s="475"/>
      <c r="H428" s="475">
        <f>H429</f>
        <v>0</v>
      </c>
      <c r="I428" s="475"/>
      <c r="J428" s="475">
        <f>J429</f>
        <v>0</v>
      </c>
      <c r="K428" s="475"/>
      <c r="L428" s="465"/>
      <c r="N428" s="465"/>
      <c r="O428" s="465"/>
    </row>
    <row r="429" spans="1:15" s="513" customFormat="1" x14ac:dyDescent="0.25">
      <c r="A429" s="531" t="s">
        <v>2360</v>
      </c>
      <c r="B429" s="246" t="s">
        <v>1181</v>
      </c>
      <c r="C429" s="255">
        <v>10</v>
      </c>
      <c r="D429" s="442" t="s">
        <v>2361</v>
      </c>
      <c r="E429" s="238"/>
      <c r="F429" s="292">
        <f>F430</f>
        <v>297</v>
      </c>
      <c r="G429" s="475"/>
      <c r="H429" s="475">
        <f>H430</f>
        <v>0</v>
      </c>
      <c r="I429" s="475"/>
      <c r="J429" s="475">
        <f>J430</f>
        <v>0</v>
      </c>
      <c r="K429" s="475"/>
      <c r="L429" s="465"/>
      <c r="N429" s="465"/>
      <c r="O429" s="465"/>
    </row>
    <row r="430" spans="1:15" s="513" customFormat="1" x14ac:dyDescent="0.25">
      <c r="A430" s="519" t="s">
        <v>1781</v>
      </c>
      <c r="B430" s="246" t="s">
        <v>1181</v>
      </c>
      <c r="C430" s="255">
        <v>10</v>
      </c>
      <c r="D430" s="442" t="s">
        <v>2361</v>
      </c>
      <c r="E430" s="238">
        <v>200</v>
      </c>
      <c r="F430" s="292">
        <f>F431</f>
        <v>297</v>
      </c>
      <c r="G430" s="475"/>
      <c r="H430" s="475">
        <f>H431</f>
        <v>0</v>
      </c>
      <c r="I430" s="475"/>
      <c r="J430" s="475">
        <f>J431</f>
        <v>0</v>
      </c>
      <c r="K430" s="475"/>
      <c r="L430" s="465"/>
      <c r="N430" s="465"/>
      <c r="O430" s="465"/>
    </row>
    <row r="431" spans="1:15" s="513" customFormat="1" ht="31.5" x14ac:dyDescent="0.25">
      <c r="A431" s="519" t="s">
        <v>1273</v>
      </c>
      <c r="B431" s="246" t="s">
        <v>1181</v>
      </c>
      <c r="C431" s="255">
        <v>10</v>
      </c>
      <c r="D431" s="442" t="s">
        <v>2361</v>
      </c>
      <c r="E431" s="238">
        <v>240</v>
      </c>
      <c r="F431" s="292">
        <f>'ведом. 2021-2023'!AD280</f>
        <v>297</v>
      </c>
      <c r="G431" s="475"/>
      <c r="H431" s="475">
        <f>'ведом. 2021-2023'!AE280</f>
        <v>0</v>
      </c>
      <c r="I431" s="475"/>
      <c r="J431" s="475">
        <f>'ведом. 2021-2023'!AF280</f>
        <v>0</v>
      </c>
      <c r="K431" s="475"/>
      <c r="L431" s="465"/>
      <c r="N431" s="465"/>
      <c r="O431" s="465"/>
    </row>
    <row r="432" spans="1:15" s="441" customFormat="1" x14ac:dyDescent="0.25">
      <c r="A432" s="520" t="s">
        <v>2148</v>
      </c>
      <c r="B432" s="246" t="s">
        <v>1181</v>
      </c>
      <c r="C432" s="255">
        <v>10</v>
      </c>
      <c r="D432" s="442" t="s">
        <v>2149</v>
      </c>
      <c r="E432" s="595"/>
      <c r="F432" s="292">
        <f t="shared" ref="F432:K432" si="78">F433</f>
        <v>694</v>
      </c>
      <c r="G432" s="475">
        <f t="shared" si="78"/>
        <v>275</v>
      </c>
      <c r="H432" s="475">
        <f t="shared" si="78"/>
        <v>693</v>
      </c>
      <c r="I432" s="475">
        <f t="shared" si="78"/>
        <v>276</v>
      </c>
      <c r="J432" s="475">
        <f t="shared" si="78"/>
        <v>694</v>
      </c>
      <c r="K432" s="475">
        <f t="shared" si="78"/>
        <v>290</v>
      </c>
      <c r="L432" s="465"/>
      <c r="N432" s="465"/>
      <c r="O432" s="465"/>
    </row>
    <row r="433" spans="1:15" s="441" customFormat="1" ht="63" x14ac:dyDescent="0.25">
      <c r="A433" s="550" t="s">
        <v>2414</v>
      </c>
      <c r="B433" s="246" t="s">
        <v>1181</v>
      </c>
      <c r="C433" s="255">
        <v>10</v>
      </c>
      <c r="D433" s="442" t="s">
        <v>2150</v>
      </c>
      <c r="E433" s="595"/>
      <c r="F433" s="292">
        <f t="shared" ref="F433:K434" si="79">F434</f>
        <v>694</v>
      </c>
      <c r="G433" s="475">
        <f t="shared" si="79"/>
        <v>275</v>
      </c>
      <c r="H433" s="475">
        <f t="shared" si="79"/>
        <v>693</v>
      </c>
      <c r="I433" s="475">
        <f t="shared" si="79"/>
        <v>276</v>
      </c>
      <c r="J433" s="475">
        <f t="shared" si="79"/>
        <v>694</v>
      </c>
      <c r="K433" s="475">
        <f t="shared" si="79"/>
        <v>290</v>
      </c>
      <c r="L433" s="465"/>
      <c r="N433" s="465"/>
      <c r="O433" s="465"/>
    </row>
    <row r="434" spans="1:15" s="441" customFormat="1" ht="31.5" x14ac:dyDescent="0.25">
      <c r="A434" s="523" t="s">
        <v>1342</v>
      </c>
      <c r="B434" s="246" t="s">
        <v>1181</v>
      </c>
      <c r="C434" s="255">
        <v>10</v>
      </c>
      <c r="D434" s="442" t="s">
        <v>2150</v>
      </c>
      <c r="E434" s="595">
        <v>600</v>
      </c>
      <c r="F434" s="292">
        <f t="shared" si="79"/>
        <v>694</v>
      </c>
      <c r="G434" s="475">
        <f t="shared" si="79"/>
        <v>275</v>
      </c>
      <c r="H434" s="475">
        <f t="shared" si="79"/>
        <v>693</v>
      </c>
      <c r="I434" s="475">
        <f t="shared" si="79"/>
        <v>276</v>
      </c>
      <c r="J434" s="475">
        <f t="shared" si="79"/>
        <v>694</v>
      </c>
      <c r="K434" s="475">
        <f t="shared" si="79"/>
        <v>290</v>
      </c>
      <c r="L434" s="465"/>
      <c r="N434" s="465"/>
      <c r="O434" s="465"/>
    </row>
    <row r="435" spans="1:15" s="441" customFormat="1" x14ac:dyDescent="0.25">
      <c r="A435" s="523" t="s">
        <v>1343</v>
      </c>
      <c r="B435" s="246" t="s">
        <v>1181</v>
      </c>
      <c r="C435" s="255">
        <v>10</v>
      </c>
      <c r="D435" s="442" t="s">
        <v>2150</v>
      </c>
      <c r="E435" s="595">
        <v>610</v>
      </c>
      <c r="F435" s="292">
        <f>'ведом. 2021-2023'!AD729</f>
        <v>694</v>
      </c>
      <c r="G435" s="475">
        <v>275</v>
      </c>
      <c r="H435" s="475">
        <f>'ведом. 2021-2023'!AE729</f>
        <v>693</v>
      </c>
      <c r="I435" s="475">
        <f>277-1</f>
        <v>276</v>
      </c>
      <c r="J435" s="475">
        <f>'ведом. 2021-2023'!AF729</f>
        <v>694</v>
      </c>
      <c r="K435" s="475">
        <f>291-1</f>
        <v>290</v>
      </c>
      <c r="L435" s="465"/>
      <c r="N435" s="465"/>
      <c r="O435" s="465"/>
    </row>
    <row r="436" spans="1:15" s="457" customFormat="1" x14ac:dyDescent="0.25">
      <c r="A436" s="523" t="s">
        <v>1253</v>
      </c>
      <c r="B436" s="613" t="s">
        <v>1181</v>
      </c>
      <c r="C436" s="235">
        <v>12</v>
      </c>
      <c r="D436" s="249"/>
      <c r="E436" s="576"/>
      <c r="F436" s="292">
        <f>F437</f>
        <v>326</v>
      </c>
      <c r="G436" s="292">
        <f t="shared" ref="G436:K436" si="80">G437</f>
        <v>251</v>
      </c>
      <c r="H436" s="292">
        <f t="shared" si="80"/>
        <v>326</v>
      </c>
      <c r="I436" s="292">
        <f t="shared" si="80"/>
        <v>251</v>
      </c>
      <c r="J436" s="292">
        <f t="shared" si="80"/>
        <v>326</v>
      </c>
      <c r="K436" s="292">
        <f t="shared" si="80"/>
        <v>251</v>
      </c>
      <c r="L436" s="465"/>
      <c r="N436" s="465"/>
      <c r="O436" s="465"/>
    </row>
    <row r="437" spans="1:15" s="457" customFormat="1" ht="31.5" x14ac:dyDescent="0.25">
      <c r="A437" s="520" t="s">
        <v>1853</v>
      </c>
      <c r="B437" s="613" t="s">
        <v>1181</v>
      </c>
      <c r="C437" s="235">
        <v>12</v>
      </c>
      <c r="D437" s="249" t="s">
        <v>1761</v>
      </c>
      <c r="E437" s="238"/>
      <c r="F437" s="292">
        <f t="shared" ref="F437:K438" si="81">F438</f>
        <v>326</v>
      </c>
      <c r="G437" s="475">
        <f t="shared" si="81"/>
        <v>251</v>
      </c>
      <c r="H437" s="475">
        <f t="shared" si="81"/>
        <v>326</v>
      </c>
      <c r="I437" s="475">
        <f t="shared" si="81"/>
        <v>251</v>
      </c>
      <c r="J437" s="475">
        <f t="shared" si="81"/>
        <v>326</v>
      </c>
      <c r="K437" s="475">
        <f t="shared" si="81"/>
        <v>251</v>
      </c>
      <c r="L437" s="465"/>
      <c r="N437" s="465"/>
      <c r="O437" s="465"/>
    </row>
    <row r="438" spans="1:15" s="457" customFormat="1" x14ac:dyDescent="0.25">
      <c r="A438" s="520" t="s">
        <v>1854</v>
      </c>
      <c r="B438" s="613" t="s">
        <v>1181</v>
      </c>
      <c r="C438" s="235">
        <v>12</v>
      </c>
      <c r="D438" s="249" t="s">
        <v>1765</v>
      </c>
      <c r="E438" s="238"/>
      <c r="F438" s="292">
        <f t="shared" si="81"/>
        <v>326</v>
      </c>
      <c r="G438" s="475">
        <f t="shared" si="81"/>
        <v>251</v>
      </c>
      <c r="H438" s="475">
        <f t="shared" si="81"/>
        <v>326</v>
      </c>
      <c r="I438" s="475">
        <f t="shared" si="81"/>
        <v>251</v>
      </c>
      <c r="J438" s="475">
        <f t="shared" si="81"/>
        <v>326</v>
      </c>
      <c r="K438" s="475">
        <f t="shared" si="81"/>
        <v>251</v>
      </c>
      <c r="L438" s="465"/>
      <c r="N438" s="465"/>
      <c r="O438" s="465"/>
    </row>
    <row r="439" spans="1:15" s="441" customFormat="1" x14ac:dyDescent="0.25">
      <c r="A439" s="522" t="s">
        <v>2280</v>
      </c>
      <c r="B439" s="613" t="s">
        <v>1181</v>
      </c>
      <c r="C439" s="235">
        <v>12</v>
      </c>
      <c r="D439" s="249" t="s">
        <v>2204</v>
      </c>
      <c r="E439" s="579"/>
      <c r="F439" s="292">
        <f t="shared" ref="F439:K439" si="82">F440+F443</f>
        <v>326</v>
      </c>
      <c r="G439" s="475">
        <f t="shared" si="82"/>
        <v>251</v>
      </c>
      <c r="H439" s="475">
        <f t="shared" si="82"/>
        <v>326</v>
      </c>
      <c r="I439" s="475">
        <f t="shared" si="82"/>
        <v>251</v>
      </c>
      <c r="J439" s="475">
        <f t="shared" si="82"/>
        <v>326</v>
      </c>
      <c r="K439" s="475">
        <f t="shared" si="82"/>
        <v>251</v>
      </c>
      <c r="L439" s="465"/>
      <c r="N439" s="465"/>
      <c r="O439" s="465"/>
    </row>
    <row r="440" spans="1:15" s="441" customFormat="1" x14ac:dyDescent="0.25">
      <c r="A440" s="521" t="s">
        <v>1985</v>
      </c>
      <c r="B440" s="613" t="s">
        <v>1181</v>
      </c>
      <c r="C440" s="235">
        <v>12</v>
      </c>
      <c r="D440" s="442" t="s">
        <v>2203</v>
      </c>
      <c r="E440" s="576"/>
      <c r="F440" s="292">
        <f>F441</f>
        <v>75</v>
      </c>
      <c r="G440" s="475"/>
      <c r="H440" s="475">
        <f>H441</f>
        <v>75</v>
      </c>
      <c r="I440" s="475"/>
      <c r="J440" s="475">
        <f>J441</f>
        <v>75</v>
      </c>
      <c r="K440" s="475"/>
      <c r="L440" s="465"/>
      <c r="N440" s="465"/>
      <c r="O440" s="465"/>
    </row>
    <row r="441" spans="1:15" s="441" customFormat="1" x14ac:dyDescent="0.25">
      <c r="A441" s="523" t="s">
        <v>1781</v>
      </c>
      <c r="B441" s="613" t="s">
        <v>1181</v>
      </c>
      <c r="C441" s="235">
        <v>12</v>
      </c>
      <c r="D441" s="442" t="s">
        <v>2203</v>
      </c>
      <c r="E441" s="238">
        <v>200</v>
      </c>
      <c r="F441" s="292">
        <f>F442</f>
        <v>75</v>
      </c>
      <c r="G441" s="475"/>
      <c r="H441" s="475">
        <f>H442</f>
        <v>75</v>
      </c>
      <c r="I441" s="475"/>
      <c r="J441" s="475">
        <f>J442</f>
        <v>75</v>
      </c>
      <c r="K441" s="475"/>
      <c r="L441" s="465"/>
      <c r="N441" s="465"/>
      <c r="O441" s="465"/>
    </row>
    <row r="442" spans="1:15" s="441" customFormat="1" ht="31.5" x14ac:dyDescent="0.25">
      <c r="A442" s="523" t="s">
        <v>1273</v>
      </c>
      <c r="B442" s="613" t="s">
        <v>1181</v>
      </c>
      <c r="C442" s="235">
        <v>12</v>
      </c>
      <c r="D442" s="442" t="s">
        <v>2203</v>
      </c>
      <c r="E442" s="238">
        <v>240</v>
      </c>
      <c r="F442" s="292">
        <f>'ведом. 2021-2023'!AD287</f>
        <v>75</v>
      </c>
      <c r="G442" s="475"/>
      <c r="H442" s="475">
        <f>'ведом. 2021-2023'!AE287</f>
        <v>75</v>
      </c>
      <c r="I442" s="475"/>
      <c r="J442" s="475">
        <f>'ведом. 2021-2023'!AF287</f>
        <v>75</v>
      </c>
      <c r="K442" s="475"/>
      <c r="L442" s="465"/>
      <c r="N442" s="465"/>
      <c r="O442" s="465"/>
    </row>
    <row r="443" spans="1:15" s="513" customFormat="1" ht="47.25" x14ac:dyDescent="0.25">
      <c r="A443" s="519" t="s">
        <v>2282</v>
      </c>
      <c r="B443" s="613" t="s">
        <v>1181</v>
      </c>
      <c r="C443" s="235">
        <v>12</v>
      </c>
      <c r="D443" s="249" t="s">
        <v>2281</v>
      </c>
      <c r="E443" s="238"/>
      <c r="F443" s="292">
        <f t="shared" ref="F443:K444" si="83">F444</f>
        <v>251</v>
      </c>
      <c r="G443" s="475">
        <f t="shared" si="83"/>
        <v>251</v>
      </c>
      <c r="H443" s="475">
        <f t="shared" si="83"/>
        <v>251</v>
      </c>
      <c r="I443" s="475">
        <f t="shared" si="83"/>
        <v>251</v>
      </c>
      <c r="J443" s="475">
        <f t="shared" si="83"/>
        <v>251</v>
      </c>
      <c r="K443" s="475">
        <f t="shared" si="83"/>
        <v>251</v>
      </c>
      <c r="L443" s="465"/>
      <c r="N443" s="465"/>
      <c r="O443" s="465"/>
    </row>
    <row r="444" spans="1:15" s="513" customFormat="1" x14ac:dyDescent="0.25">
      <c r="A444" s="519" t="s">
        <v>1781</v>
      </c>
      <c r="B444" s="613" t="s">
        <v>1181</v>
      </c>
      <c r="C444" s="235">
        <v>12</v>
      </c>
      <c r="D444" s="249" t="s">
        <v>2281</v>
      </c>
      <c r="E444" s="238">
        <v>200</v>
      </c>
      <c r="F444" s="292">
        <f t="shared" si="83"/>
        <v>251</v>
      </c>
      <c r="G444" s="475">
        <f t="shared" si="83"/>
        <v>251</v>
      </c>
      <c r="H444" s="475">
        <f t="shared" si="83"/>
        <v>251</v>
      </c>
      <c r="I444" s="475">
        <f t="shared" si="83"/>
        <v>251</v>
      </c>
      <c r="J444" s="475">
        <f t="shared" si="83"/>
        <v>251</v>
      </c>
      <c r="K444" s="475">
        <f t="shared" si="83"/>
        <v>251</v>
      </c>
      <c r="L444" s="465"/>
      <c r="N444" s="465"/>
      <c r="O444" s="465"/>
    </row>
    <row r="445" spans="1:15" s="513" customFormat="1" ht="31.5" x14ac:dyDescent="0.25">
      <c r="A445" s="519" t="s">
        <v>1273</v>
      </c>
      <c r="B445" s="613" t="s">
        <v>1181</v>
      </c>
      <c r="C445" s="235">
        <v>12</v>
      </c>
      <c r="D445" s="249" t="s">
        <v>2281</v>
      </c>
      <c r="E445" s="238">
        <v>240</v>
      </c>
      <c r="F445" s="292">
        <f>'ведом. 2021-2023'!AD290</f>
        <v>251</v>
      </c>
      <c r="G445" s="475">
        <v>251</v>
      </c>
      <c r="H445" s="475">
        <f>'ведом. 2021-2023'!AE290</f>
        <v>251</v>
      </c>
      <c r="I445" s="475">
        <v>251</v>
      </c>
      <c r="J445" s="475">
        <f>'ведом. 2021-2023'!AF290</f>
        <v>251</v>
      </c>
      <c r="K445" s="475">
        <v>251</v>
      </c>
      <c r="L445" s="465"/>
      <c r="N445" s="465"/>
      <c r="O445" s="465"/>
    </row>
    <row r="446" spans="1:15" s="441" customFormat="1" x14ac:dyDescent="0.25">
      <c r="A446" s="607" t="s">
        <v>173</v>
      </c>
      <c r="B446" s="615" t="s">
        <v>175</v>
      </c>
      <c r="C446" s="247"/>
      <c r="D446" s="271"/>
      <c r="E446" s="588"/>
      <c r="F446" s="733">
        <f t="shared" ref="F446:K446" si="84">F447+F481+F583+F467</f>
        <v>183632.39999999997</v>
      </c>
      <c r="G446" s="478">
        <f t="shared" si="84"/>
        <v>74270.200000000012</v>
      </c>
      <c r="H446" s="478">
        <f t="shared" si="84"/>
        <v>78031.799999999988</v>
      </c>
      <c r="I446" s="478">
        <f t="shared" si="84"/>
        <v>10715.7</v>
      </c>
      <c r="J446" s="478">
        <f t="shared" si="84"/>
        <v>65152.100000000006</v>
      </c>
      <c r="K446" s="478">
        <f t="shared" si="84"/>
        <v>5100</v>
      </c>
      <c r="L446" s="465"/>
      <c r="N446" s="465"/>
      <c r="O446" s="465"/>
    </row>
    <row r="447" spans="1:15" s="441" customFormat="1" x14ac:dyDescent="0.25">
      <c r="A447" s="523" t="s">
        <v>1591</v>
      </c>
      <c r="B447" s="613" t="s">
        <v>175</v>
      </c>
      <c r="C447" s="235" t="s">
        <v>566</v>
      </c>
      <c r="D447" s="249"/>
      <c r="E447" s="588"/>
      <c r="F447" s="292">
        <f>F448+F454</f>
        <v>13928.1</v>
      </c>
      <c r="G447" s="292">
        <f t="shared" ref="G447:J447" si="85">G448+G454</f>
        <v>4346.8</v>
      </c>
      <c r="H447" s="292">
        <f t="shared" si="85"/>
        <v>10102.1</v>
      </c>
      <c r="I447" s="292">
        <f t="shared" si="85"/>
        <v>0</v>
      </c>
      <c r="J447" s="292">
        <f t="shared" si="85"/>
        <v>10102.1</v>
      </c>
      <c r="K447" s="475"/>
      <c r="L447" s="465"/>
      <c r="N447" s="465"/>
      <c r="O447" s="465"/>
    </row>
    <row r="448" spans="1:15" s="441" customFormat="1" x14ac:dyDescent="0.25">
      <c r="A448" s="520" t="s">
        <v>1898</v>
      </c>
      <c r="B448" s="613" t="s">
        <v>175</v>
      </c>
      <c r="C448" s="235" t="s">
        <v>566</v>
      </c>
      <c r="D448" s="442" t="s">
        <v>1771</v>
      </c>
      <c r="E448" s="588"/>
      <c r="F448" s="292">
        <f>F449</f>
        <v>8017.1</v>
      </c>
      <c r="G448" s="475"/>
      <c r="H448" s="475">
        <f>H449</f>
        <v>10002.1</v>
      </c>
      <c r="I448" s="475"/>
      <c r="J448" s="475">
        <f>J449</f>
        <v>10002.1</v>
      </c>
      <c r="K448" s="475"/>
      <c r="L448" s="465"/>
      <c r="N448" s="465"/>
      <c r="O448" s="465"/>
    </row>
    <row r="449" spans="1:15" s="441" customFormat="1" x14ac:dyDescent="0.25">
      <c r="A449" s="520" t="s">
        <v>1893</v>
      </c>
      <c r="B449" s="613" t="s">
        <v>175</v>
      </c>
      <c r="C449" s="235" t="s">
        <v>566</v>
      </c>
      <c r="D449" s="442" t="s">
        <v>1772</v>
      </c>
      <c r="E449" s="588"/>
      <c r="F449" s="292">
        <f>F450</f>
        <v>8017.1</v>
      </c>
      <c r="G449" s="475"/>
      <c r="H449" s="475">
        <f>H450</f>
        <v>10002.1</v>
      </c>
      <c r="I449" s="475"/>
      <c r="J449" s="475">
        <f>J450</f>
        <v>10002.1</v>
      </c>
      <c r="K449" s="475"/>
      <c r="L449" s="465"/>
      <c r="N449" s="465"/>
      <c r="O449" s="465"/>
    </row>
    <row r="450" spans="1:15" s="441" customFormat="1" ht="31.5" x14ac:dyDescent="0.25">
      <c r="A450" s="521" t="s">
        <v>1894</v>
      </c>
      <c r="B450" s="613" t="s">
        <v>175</v>
      </c>
      <c r="C450" s="235" t="s">
        <v>566</v>
      </c>
      <c r="D450" s="442" t="s">
        <v>1895</v>
      </c>
      <c r="E450" s="588"/>
      <c r="F450" s="292">
        <f>F451</f>
        <v>8017.1</v>
      </c>
      <c r="G450" s="475"/>
      <c r="H450" s="475">
        <f>H451</f>
        <v>10002.1</v>
      </c>
      <c r="I450" s="475"/>
      <c r="J450" s="475">
        <f>J451</f>
        <v>10002.1</v>
      </c>
      <c r="K450" s="475"/>
      <c r="L450" s="465"/>
      <c r="N450" s="465"/>
      <c r="O450" s="465"/>
    </row>
    <row r="451" spans="1:15" s="441" customFormat="1" x14ac:dyDescent="0.25">
      <c r="A451" s="531" t="s">
        <v>2393</v>
      </c>
      <c r="B451" s="613" t="s">
        <v>175</v>
      </c>
      <c r="C451" s="235" t="s">
        <v>566</v>
      </c>
      <c r="D451" s="442" t="s">
        <v>2392</v>
      </c>
      <c r="E451" s="576"/>
      <c r="F451" s="292">
        <f>F452</f>
        <v>8017.1</v>
      </c>
      <c r="G451" s="475"/>
      <c r="H451" s="475">
        <f>H452</f>
        <v>10002.1</v>
      </c>
      <c r="I451" s="475"/>
      <c r="J451" s="475">
        <f>J452</f>
        <v>10002.1</v>
      </c>
      <c r="K451" s="475"/>
      <c r="L451" s="465"/>
      <c r="N451" s="465"/>
      <c r="O451" s="465"/>
    </row>
    <row r="452" spans="1:15" s="441" customFormat="1" x14ac:dyDescent="0.25">
      <c r="A452" s="519" t="s">
        <v>1781</v>
      </c>
      <c r="B452" s="613" t="s">
        <v>175</v>
      </c>
      <c r="C452" s="235" t="s">
        <v>566</v>
      </c>
      <c r="D452" s="442" t="s">
        <v>2392</v>
      </c>
      <c r="E452" s="589">
        <v>200</v>
      </c>
      <c r="F452" s="292">
        <f>F453</f>
        <v>8017.1</v>
      </c>
      <c r="G452" s="475"/>
      <c r="H452" s="475">
        <f>H453</f>
        <v>10002.1</v>
      </c>
      <c r="I452" s="475"/>
      <c r="J452" s="475">
        <f>J453</f>
        <v>10002.1</v>
      </c>
      <c r="K452" s="475"/>
      <c r="L452" s="465"/>
      <c r="N452" s="465"/>
      <c r="O452" s="465"/>
    </row>
    <row r="453" spans="1:15" s="441" customFormat="1" ht="31.5" x14ac:dyDescent="0.25">
      <c r="A453" s="519" t="s">
        <v>1273</v>
      </c>
      <c r="B453" s="613" t="s">
        <v>175</v>
      </c>
      <c r="C453" s="235" t="s">
        <v>566</v>
      </c>
      <c r="D453" s="442" t="s">
        <v>2392</v>
      </c>
      <c r="E453" s="589">
        <v>240</v>
      </c>
      <c r="F453" s="292">
        <f>'ведом. 2021-2023'!AD298</f>
        <v>8017.1</v>
      </c>
      <c r="G453" s="475"/>
      <c r="H453" s="475">
        <f>'ведом. 2021-2023'!AE298</f>
        <v>10002.1</v>
      </c>
      <c r="I453" s="475"/>
      <c r="J453" s="475">
        <f>'ведом. 2021-2023'!AF298</f>
        <v>10002.1</v>
      </c>
      <c r="K453" s="475"/>
      <c r="L453" s="465"/>
      <c r="N453" s="465"/>
      <c r="O453" s="465"/>
    </row>
    <row r="454" spans="1:15" s="441" customFormat="1" x14ac:dyDescent="0.25">
      <c r="A454" s="520" t="s">
        <v>1972</v>
      </c>
      <c r="B454" s="613" t="s">
        <v>175</v>
      </c>
      <c r="C454" s="235" t="s">
        <v>566</v>
      </c>
      <c r="D454" s="442" t="s">
        <v>1973</v>
      </c>
      <c r="E454" s="576"/>
      <c r="F454" s="292">
        <f>F455</f>
        <v>5911</v>
      </c>
      <c r="G454" s="475">
        <f>G455</f>
        <v>4346.8</v>
      </c>
      <c r="H454" s="475">
        <f>H455</f>
        <v>100</v>
      </c>
      <c r="I454" s="475"/>
      <c r="J454" s="475">
        <f>J455</f>
        <v>100</v>
      </c>
      <c r="K454" s="475"/>
      <c r="L454" s="465"/>
      <c r="N454" s="465"/>
      <c r="O454" s="465"/>
    </row>
    <row r="455" spans="1:15" s="441" customFormat="1" ht="31.5" x14ac:dyDescent="0.25">
      <c r="A455" s="605" t="s">
        <v>2298</v>
      </c>
      <c r="B455" s="613" t="s">
        <v>175</v>
      </c>
      <c r="C455" s="235" t="s">
        <v>566</v>
      </c>
      <c r="D455" s="442" t="s">
        <v>2144</v>
      </c>
      <c r="E455" s="576"/>
      <c r="F455" s="292">
        <f>F456+F463</f>
        <v>5911</v>
      </c>
      <c r="G455" s="475">
        <f>G456+G463</f>
        <v>4346.8</v>
      </c>
      <c r="H455" s="475">
        <f>H456+H463</f>
        <v>100</v>
      </c>
      <c r="I455" s="475"/>
      <c r="J455" s="475">
        <f>J456+J463</f>
        <v>100</v>
      </c>
      <c r="K455" s="475"/>
      <c r="L455" s="465"/>
      <c r="N455" s="465"/>
      <c r="O455" s="465"/>
    </row>
    <row r="456" spans="1:15" s="441" customFormat="1" ht="31.5" x14ac:dyDescent="0.25">
      <c r="A456" s="521" t="s">
        <v>2151</v>
      </c>
      <c r="B456" s="613" t="s">
        <v>175</v>
      </c>
      <c r="C456" s="235" t="s">
        <v>566</v>
      </c>
      <c r="D456" s="442" t="s">
        <v>2154</v>
      </c>
      <c r="E456" s="576"/>
      <c r="F456" s="292">
        <f>F460+F457</f>
        <v>5751</v>
      </c>
      <c r="G456" s="292">
        <f t="shared" ref="G456:J456" si="86">G460+G457</f>
        <v>4346.8</v>
      </c>
      <c r="H456" s="292">
        <f t="shared" si="86"/>
        <v>0</v>
      </c>
      <c r="I456" s="292">
        <f t="shared" si="86"/>
        <v>0</v>
      </c>
      <c r="J456" s="292">
        <f t="shared" si="86"/>
        <v>0</v>
      </c>
      <c r="K456" s="475"/>
      <c r="L456" s="465"/>
      <c r="N456" s="465"/>
      <c r="O456" s="465"/>
    </row>
    <row r="457" spans="1:15" s="513" customFormat="1" ht="31.5" x14ac:dyDescent="0.25">
      <c r="A457" s="519" t="s">
        <v>2478</v>
      </c>
      <c r="B457" s="235" t="s">
        <v>175</v>
      </c>
      <c r="C457" s="235" t="s">
        <v>566</v>
      </c>
      <c r="D457" s="442" t="s">
        <v>2477</v>
      </c>
      <c r="E457" s="579"/>
      <c r="F457" s="292">
        <f>F458</f>
        <v>450</v>
      </c>
      <c r="G457" s="292">
        <f t="shared" ref="G457:J457" si="87">G458</f>
        <v>0</v>
      </c>
      <c r="H457" s="292">
        <f t="shared" si="87"/>
        <v>0</v>
      </c>
      <c r="I457" s="292"/>
      <c r="J457" s="292">
        <f t="shared" si="87"/>
        <v>0</v>
      </c>
      <c r="K457" s="475"/>
      <c r="L457" s="465"/>
      <c r="N457" s="465"/>
      <c r="O457" s="465"/>
    </row>
    <row r="458" spans="1:15" s="513" customFormat="1" x14ac:dyDescent="0.25">
      <c r="A458" s="519" t="s">
        <v>923</v>
      </c>
      <c r="B458" s="235" t="s">
        <v>175</v>
      </c>
      <c r="C458" s="235" t="s">
        <v>566</v>
      </c>
      <c r="D458" s="442" t="s">
        <v>2477</v>
      </c>
      <c r="E458" s="579" t="s">
        <v>2240</v>
      </c>
      <c r="F458" s="292">
        <f>F459</f>
        <v>450</v>
      </c>
      <c r="G458" s="292">
        <f t="shared" ref="G458:J458" si="88">G459</f>
        <v>0</v>
      </c>
      <c r="H458" s="292">
        <f t="shared" si="88"/>
        <v>0</v>
      </c>
      <c r="I458" s="292"/>
      <c r="J458" s="292">
        <f t="shared" si="88"/>
        <v>0</v>
      </c>
      <c r="K458" s="475"/>
      <c r="L458" s="465"/>
      <c r="N458" s="465"/>
      <c r="O458" s="465"/>
    </row>
    <row r="459" spans="1:15" s="513" customFormat="1" ht="31.5" x14ac:dyDescent="0.25">
      <c r="A459" s="519" t="s">
        <v>1782</v>
      </c>
      <c r="B459" s="235" t="s">
        <v>175</v>
      </c>
      <c r="C459" s="235" t="s">
        <v>566</v>
      </c>
      <c r="D459" s="442" t="s">
        <v>2477</v>
      </c>
      <c r="E459" s="579" t="s">
        <v>2241</v>
      </c>
      <c r="F459" s="292">
        <f>'ведом. 2021-2023'!AD304</f>
        <v>450</v>
      </c>
      <c r="G459" s="475"/>
      <c r="H459" s="475">
        <f>'ведом. 2021-2023'!AE304</f>
        <v>0</v>
      </c>
      <c r="I459" s="475"/>
      <c r="J459" s="475">
        <f>'ведом. 2021-2023'!AF304</f>
        <v>0</v>
      </c>
      <c r="K459" s="475"/>
      <c r="L459" s="465"/>
      <c r="N459" s="465"/>
      <c r="O459" s="465"/>
    </row>
    <row r="460" spans="1:15" s="441" customFormat="1" x14ac:dyDescent="0.25">
      <c r="A460" s="521" t="s">
        <v>2152</v>
      </c>
      <c r="B460" s="613" t="s">
        <v>175</v>
      </c>
      <c r="C460" s="235" t="s">
        <v>566</v>
      </c>
      <c r="D460" s="442" t="s">
        <v>2153</v>
      </c>
      <c r="E460" s="576"/>
      <c r="F460" s="292">
        <f t="shared" ref="F460:J461" si="89">F461</f>
        <v>5301</v>
      </c>
      <c r="G460" s="475">
        <f t="shared" si="89"/>
        <v>4346.8</v>
      </c>
      <c r="H460" s="475">
        <f t="shared" si="89"/>
        <v>0</v>
      </c>
      <c r="I460" s="475"/>
      <c r="J460" s="475">
        <f t="shared" si="89"/>
        <v>0</v>
      </c>
      <c r="K460" s="475"/>
      <c r="L460" s="465"/>
      <c r="N460" s="465"/>
      <c r="O460" s="465"/>
    </row>
    <row r="461" spans="1:15" s="441" customFormat="1" x14ac:dyDescent="0.25">
      <c r="A461" s="519" t="s">
        <v>923</v>
      </c>
      <c r="B461" s="613" t="s">
        <v>175</v>
      </c>
      <c r="C461" s="235" t="s">
        <v>566</v>
      </c>
      <c r="D461" s="442" t="s">
        <v>2153</v>
      </c>
      <c r="E461" s="579" t="s">
        <v>2240</v>
      </c>
      <c r="F461" s="292">
        <f t="shared" si="89"/>
        <v>5301</v>
      </c>
      <c r="G461" s="475">
        <f t="shared" si="89"/>
        <v>4346.8</v>
      </c>
      <c r="H461" s="475">
        <f t="shared" si="89"/>
        <v>0</v>
      </c>
      <c r="I461" s="475"/>
      <c r="J461" s="475">
        <f t="shared" si="89"/>
        <v>0</v>
      </c>
      <c r="K461" s="475"/>
      <c r="L461" s="465"/>
      <c r="N461" s="465"/>
      <c r="O461" s="465"/>
    </row>
    <row r="462" spans="1:15" s="441" customFormat="1" ht="31.5" x14ac:dyDescent="0.25">
      <c r="A462" s="519" t="s">
        <v>1782</v>
      </c>
      <c r="B462" s="613" t="s">
        <v>175</v>
      </c>
      <c r="C462" s="235" t="s">
        <v>566</v>
      </c>
      <c r="D462" s="442" t="s">
        <v>2153</v>
      </c>
      <c r="E462" s="579" t="s">
        <v>2241</v>
      </c>
      <c r="F462" s="292">
        <f>'ведом. 2021-2023'!AD307</f>
        <v>5301</v>
      </c>
      <c r="G462" s="475">
        <f>3762.6+584.2</f>
        <v>4346.8</v>
      </c>
      <c r="H462" s="475">
        <f>'ведом. 2021-2023'!AE307</f>
        <v>0</v>
      </c>
      <c r="I462" s="475"/>
      <c r="J462" s="475">
        <f>'ведом. 2021-2023'!AF307</f>
        <v>0</v>
      </c>
      <c r="K462" s="475"/>
      <c r="L462" s="465"/>
      <c r="N462" s="465"/>
      <c r="O462" s="465"/>
    </row>
    <row r="463" spans="1:15" s="441" customFormat="1" ht="31.5" x14ac:dyDescent="0.25">
      <c r="A463" s="521" t="s">
        <v>2145</v>
      </c>
      <c r="B463" s="613" t="s">
        <v>175</v>
      </c>
      <c r="C463" s="235" t="s">
        <v>566</v>
      </c>
      <c r="D463" s="442" t="s">
        <v>2146</v>
      </c>
      <c r="E463" s="576"/>
      <c r="F463" s="292">
        <f>F464</f>
        <v>160</v>
      </c>
      <c r="G463" s="475"/>
      <c r="H463" s="475">
        <f>H464</f>
        <v>100</v>
      </c>
      <c r="I463" s="475"/>
      <c r="J463" s="475">
        <f>J464</f>
        <v>100</v>
      </c>
      <c r="K463" s="475"/>
      <c r="L463" s="465"/>
      <c r="N463" s="465"/>
      <c r="O463" s="465"/>
    </row>
    <row r="464" spans="1:15" s="441" customFormat="1" x14ac:dyDescent="0.25">
      <c r="A464" s="529" t="s">
        <v>2228</v>
      </c>
      <c r="B464" s="613" t="s">
        <v>175</v>
      </c>
      <c r="C464" s="235" t="s">
        <v>566</v>
      </c>
      <c r="D464" s="442" t="s">
        <v>2229</v>
      </c>
      <c r="E464" s="576"/>
      <c r="F464" s="292">
        <f>F465</f>
        <v>160</v>
      </c>
      <c r="G464" s="475"/>
      <c r="H464" s="475">
        <f>H465</f>
        <v>100</v>
      </c>
      <c r="I464" s="475"/>
      <c r="J464" s="475">
        <f>J465</f>
        <v>100</v>
      </c>
      <c r="K464" s="475"/>
      <c r="L464" s="465"/>
      <c r="N464" s="465"/>
      <c r="O464" s="465"/>
    </row>
    <row r="465" spans="1:15" s="441" customFormat="1" x14ac:dyDescent="0.25">
      <c r="A465" s="523" t="s">
        <v>1781</v>
      </c>
      <c r="B465" s="613" t="s">
        <v>175</v>
      </c>
      <c r="C465" s="235" t="s">
        <v>566</v>
      </c>
      <c r="D465" s="442" t="s">
        <v>2229</v>
      </c>
      <c r="E465" s="579" t="s">
        <v>821</v>
      </c>
      <c r="F465" s="292">
        <f>F466</f>
        <v>160</v>
      </c>
      <c r="G465" s="475"/>
      <c r="H465" s="475">
        <f>H466</f>
        <v>100</v>
      </c>
      <c r="I465" s="475"/>
      <c r="J465" s="475">
        <f>J466</f>
        <v>100</v>
      </c>
      <c r="K465" s="475"/>
      <c r="L465" s="465"/>
      <c r="N465" s="465"/>
      <c r="O465" s="465"/>
    </row>
    <row r="466" spans="1:15" s="441" customFormat="1" ht="31.5" x14ac:dyDescent="0.25">
      <c r="A466" s="523" t="s">
        <v>1273</v>
      </c>
      <c r="B466" s="613" t="s">
        <v>175</v>
      </c>
      <c r="C466" s="235" t="s">
        <v>566</v>
      </c>
      <c r="D466" s="442" t="s">
        <v>2229</v>
      </c>
      <c r="E466" s="579" t="s">
        <v>1479</v>
      </c>
      <c r="F466" s="292">
        <f>'ведом. 2021-2023'!AD954</f>
        <v>160</v>
      </c>
      <c r="G466" s="475"/>
      <c r="H466" s="475">
        <f>'ведом. 2021-2023'!AE954</f>
        <v>100</v>
      </c>
      <c r="I466" s="475"/>
      <c r="J466" s="475">
        <f>'ведом. 2021-2023'!AF954</f>
        <v>100</v>
      </c>
      <c r="K466" s="475"/>
      <c r="L466" s="465"/>
      <c r="N466" s="465"/>
      <c r="O466" s="465"/>
    </row>
    <row r="467" spans="1:15" s="441" customFormat="1" x14ac:dyDescent="0.25">
      <c r="A467" s="523" t="s">
        <v>2155</v>
      </c>
      <c r="B467" s="613" t="s">
        <v>175</v>
      </c>
      <c r="C467" s="235" t="s">
        <v>567</v>
      </c>
      <c r="D467" s="235"/>
      <c r="E467" s="579"/>
      <c r="F467" s="292">
        <f>F468</f>
        <v>17650</v>
      </c>
      <c r="G467" s="292">
        <f t="shared" ref="G467:J467" si="90">G468</f>
        <v>9020</v>
      </c>
      <c r="H467" s="292">
        <f t="shared" si="90"/>
        <v>9348.4000000000015</v>
      </c>
      <c r="I467" s="292">
        <f t="shared" si="90"/>
        <v>7665.7</v>
      </c>
      <c r="J467" s="292">
        <f t="shared" si="90"/>
        <v>0</v>
      </c>
      <c r="K467" s="292"/>
      <c r="L467" s="465"/>
      <c r="N467" s="465"/>
      <c r="O467" s="465"/>
    </row>
    <row r="468" spans="1:15" s="513" customFormat="1" x14ac:dyDescent="0.25">
      <c r="A468" s="542" t="s">
        <v>1948</v>
      </c>
      <c r="B468" s="617" t="s">
        <v>175</v>
      </c>
      <c r="C468" s="544" t="s">
        <v>567</v>
      </c>
      <c r="D468" s="442" t="s">
        <v>1770</v>
      </c>
      <c r="E468" s="590"/>
      <c r="F468" s="292">
        <f t="shared" ref="F468:F479" si="91">F469</f>
        <v>17650</v>
      </c>
      <c r="G468" s="475">
        <f t="shared" ref="G468:I479" si="92">G469</f>
        <v>9020</v>
      </c>
      <c r="H468" s="475">
        <f t="shared" si="92"/>
        <v>9348.4000000000015</v>
      </c>
      <c r="I468" s="475">
        <f t="shared" si="92"/>
        <v>7665.7</v>
      </c>
      <c r="J468" s="475">
        <f t="shared" ref="J468:J479" si="93">J469</f>
        <v>0</v>
      </c>
      <c r="K468" s="475"/>
      <c r="L468" s="465"/>
      <c r="N468" s="465"/>
      <c r="O468" s="465"/>
    </row>
    <row r="469" spans="1:15" s="513" customFormat="1" ht="31.5" x14ac:dyDescent="0.25">
      <c r="A469" s="542" t="s">
        <v>2398</v>
      </c>
      <c r="B469" s="617" t="s">
        <v>175</v>
      </c>
      <c r="C469" s="544" t="s">
        <v>567</v>
      </c>
      <c r="D469" s="442" t="s">
        <v>2399</v>
      </c>
      <c r="E469" s="590"/>
      <c r="F469" s="292">
        <f t="shared" si="91"/>
        <v>17650</v>
      </c>
      <c r="G469" s="475">
        <f t="shared" si="92"/>
        <v>9020</v>
      </c>
      <c r="H469" s="475">
        <f t="shared" si="92"/>
        <v>9348.4000000000015</v>
      </c>
      <c r="I469" s="475">
        <f t="shared" si="92"/>
        <v>7665.7</v>
      </c>
      <c r="J469" s="475">
        <f t="shared" si="93"/>
        <v>0</v>
      </c>
      <c r="K469" s="475"/>
      <c r="L469" s="465"/>
      <c r="N469" s="465"/>
      <c r="O469" s="465"/>
    </row>
    <row r="470" spans="1:15" s="513" customFormat="1" ht="47.25" x14ac:dyDescent="0.25">
      <c r="A470" s="514" t="s">
        <v>2483</v>
      </c>
      <c r="B470" s="617" t="s">
        <v>175</v>
      </c>
      <c r="C470" s="544" t="s">
        <v>567</v>
      </c>
      <c r="D470" s="442" t="s">
        <v>2400</v>
      </c>
      <c r="E470" s="590"/>
      <c r="F470" s="292">
        <f>F471+F477</f>
        <v>17650</v>
      </c>
      <c r="G470" s="292">
        <f t="shared" ref="G470:J470" si="94">G471+G477</f>
        <v>9020</v>
      </c>
      <c r="H470" s="292">
        <f t="shared" si="94"/>
        <v>9348.4000000000015</v>
      </c>
      <c r="I470" s="292">
        <f t="shared" si="94"/>
        <v>7665.7</v>
      </c>
      <c r="J470" s="292">
        <f t="shared" si="94"/>
        <v>0</v>
      </c>
      <c r="K470" s="292"/>
      <c r="L470" s="465"/>
      <c r="N470" s="465"/>
      <c r="O470" s="465"/>
    </row>
    <row r="471" spans="1:15" s="513" customFormat="1" ht="31.5" x14ac:dyDescent="0.25">
      <c r="A471" s="834" t="s">
        <v>2486</v>
      </c>
      <c r="B471" s="235" t="s">
        <v>175</v>
      </c>
      <c r="C471" s="281" t="s">
        <v>567</v>
      </c>
      <c r="D471" s="547" t="s">
        <v>2487</v>
      </c>
      <c r="E471" s="590"/>
      <c r="F471" s="292">
        <f>F472</f>
        <v>6650</v>
      </c>
      <c r="G471" s="292"/>
      <c r="H471" s="292">
        <f t="shared" ref="H471:J471" si="95">H472</f>
        <v>0</v>
      </c>
      <c r="I471" s="292"/>
      <c r="J471" s="292">
        <f t="shared" si="95"/>
        <v>0</v>
      </c>
      <c r="K471" s="292"/>
      <c r="L471" s="465"/>
      <c r="N471" s="465"/>
      <c r="O471" s="465"/>
    </row>
    <row r="472" spans="1:15" s="513" customFormat="1" ht="47.25" x14ac:dyDescent="0.25">
      <c r="A472" s="519" t="s">
        <v>2473</v>
      </c>
      <c r="B472" s="544" t="s">
        <v>175</v>
      </c>
      <c r="C472" s="544" t="s">
        <v>567</v>
      </c>
      <c r="D472" s="442" t="s">
        <v>2474</v>
      </c>
      <c r="E472" s="590"/>
      <c r="F472" s="292">
        <f>F473+F475</f>
        <v>6650</v>
      </c>
      <c r="G472" s="292"/>
      <c r="H472" s="292">
        <f t="shared" ref="H472:J472" si="96">H473+H475</f>
        <v>0</v>
      </c>
      <c r="I472" s="292"/>
      <c r="J472" s="292">
        <f t="shared" si="96"/>
        <v>0</v>
      </c>
      <c r="K472" s="292"/>
      <c r="L472" s="465"/>
      <c r="N472" s="465"/>
      <c r="O472" s="465"/>
    </row>
    <row r="473" spans="1:15" s="513" customFormat="1" x14ac:dyDescent="0.25">
      <c r="A473" s="519" t="s">
        <v>923</v>
      </c>
      <c r="B473" s="544" t="s">
        <v>175</v>
      </c>
      <c r="C473" s="544" t="s">
        <v>567</v>
      </c>
      <c r="D473" s="442" t="s">
        <v>2474</v>
      </c>
      <c r="E473" s="579" t="s">
        <v>821</v>
      </c>
      <c r="F473" s="292">
        <f>F474</f>
        <v>150</v>
      </c>
      <c r="G473" s="292"/>
      <c r="H473" s="292">
        <f t="shared" ref="H473:J473" si="97">H474</f>
        <v>0</v>
      </c>
      <c r="I473" s="292"/>
      <c r="J473" s="292">
        <f t="shared" si="97"/>
        <v>0</v>
      </c>
      <c r="K473" s="292"/>
      <c r="L473" s="465"/>
      <c r="N473" s="465"/>
      <c r="O473" s="465"/>
    </row>
    <row r="474" spans="1:15" s="513" customFormat="1" ht="31.5" x14ac:dyDescent="0.25">
      <c r="A474" s="519" t="s">
        <v>1782</v>
      </c>
      <c r="B474" s="544" t="s">
        <v>175</v>
      </c>
      <c r="C474" s="544" t="s">
        <v>567</v>
      </c>
      <c r="D474" s="442" t="s">
        <v>2474</v>
      </c>
      <c r="E474" s="579" t="s">
        <v>1479</v>
      </c>
      <c r="F474" s="292">
        <f>'ведом. 2021-2023'!AD962</f>
        <v>150</v>
      </c>
      <c r="G474" s="292"/>
      <c r="H474" s="292">
        <f>'ведом. 2021-2023'!AE962</f>
        <v>0</v>
      </c>
      <c r="I474" s="292"/>
      <c r="J474" s="292">
        <f>'ведом. 2021-2023'!AF961</f>
        <v>0</v>
      </c>
      <c r="K474" s="292"/>
      <c r="L474" s="465"/>
      <c r="N474" s="465"/>
      <c r="O474" s="465"/>
    </row>
    <row r="475" spans="1:15" s="513" customFormat="1" x14ac:dyDescent="0.25">
      <c r="A475" s="519" t="s">
        <v>923</v>
      </c>
      <c r="B475" s="235" t="s">
        <v>175</v>
      </c>
      <c r="C475" s="281" t="s">
        <v>567</v>
      </c>
      <c r="D475" s="547" t="s">
        <v>2474</v>
      </c>
      <c r="E475" s="714" t="s">
        <v>2240</v>
      </c>
      <c r="F475" s="292">
        <f>F476</f>
        <v>6500</v>
      </c>
      <c r="G475" s="292"/>
      <c r="H475" s="292">
        <f t="shared" ref="H475:J475" si="98">H476</f>
        <v>0</v>
      </c>
      <c r="I475" s="292"/>
      <c r="J475" s="292">
        <f t="shared" si="98"/>
        <v>0</v>
      </c>
      <c r="K475" s="292"/>
      <c r="L475" s="465"/>
      <c r="N475" s="465"/>
      <c r="O475" s="465"/>
    </row>
    <row r="476" spans="1:15" s="513" customFormat="1" ht="31.5" x14ac:dyDescent="0.25">
      <c r="A476" s="519" t="s">
        <v>1782</v>
      </c>
      <c r="B476" s="235" t="s">
        <v>175</v>
      </c>
      <c r="C476" s="281" t="s">
        <v>567</v>
      </c>
      <c r="D476" s="547" t="s">
        <v>2474</v>
      </c>
      <c r="E476" s="714" t="s">
        <v>2241</v>
      </c>
      <c r="F476" s="292">
        <f>'ведом. 2021-2023'!AD315</f>
        <v>6500</v>
      </c>
      <c r="G476" s="292"/>
      <c r="H476" s="292">
        <v>0</v>
      </c>
      <c r="I476" s="292"/>
      <c r="J476" s="292">
        <f>'ведом. 2021-2023'!AF315</f>
        <v>0</v>
      </c>
      <c r="K476" s="292"/>
      <c r="L476" s="465"/>
      <c r="N476" s="465"/>
      <c r="O476" s="465"/>
    </row>
    <row r="477" spans="1:15" s="513" customFormat="1" ht="31.5" x14ac:dyDescent="0.25">
      <c r="A477" s="542" t="s">
        <v>2411</v>
      </c>
      <c r="B477" s="617" t="s">
        <v>175</v>
      </c>
      <c r="C477" s="544" t="s">
        <v>567</v>
      </c>
      <c r="D477" s="442" t="s">
        <v>2401</v>
      </c>
      <c r="E477" s="590"/>
      <c r="F477" s="292">
        <f t="shared" si="91"/>
        <v>11000</v>
      </c>
      <c r="G477" s="475">
        <f t="shared" si="92"/>
        <v>9020</v>
      </c>
      <c r="H477" s="475">
        <f t="shared" si="92"/>
        <v>9348.4000000000015</v>
      </c>
      <c r="I477" s="475">
        <f t="shared" si="92"/>
        <v>7665.7</v>
      </c>
      <c r="J477" s="475">
        <f t="shared" si="93"/>
        <v>0</v>
      </c>
      <c r="K477" s="475"/>
      <c r="L477" s="465"/>
      <c r="N477" s="465"/>
      <c r="O477" s="465"/>
    </row>
    <row r="478" spans="1:15" s="513" customFormat="1" ht="31.5" x14ac:dyDescent="0.25">
      <c r="A478" s="730" t="s">
        <v>2412</v>
      </c>
      <c r="B478" s="617" t="s">
        <v>175</v>
      </c>
      <c r="C478" s="544" t="s">
        <v>567</v>
      </c>
      <c r="D478" s="442" t="s">
        <v>2402</v>
      </c>
      <c r="E478" s="590"/>
      <c r="F478" s="292">
        <f t="shared" si="91"/>
        <v>11000</v>
      </c>
      <c r="G478" s="475">
        <f t="shared" si="92"/>
        <v>9020</v>
      </c>
      <c r="H478" s="475">
        <f t="shared" si="92"/>
        <v>9348.4000000000015</v>
      </c>
      <c r="I478" s="475">
        <f t="shared" si="92"/>
        <v>7665.7</v>
      </c>
      <c r="J478" s="475">
        <f t="shared" si="93"/>
        <v>0</v>
      </c>
      <c r="K478" s="475"/>
      <c r="L478" s="465"/>
      <c r="N478" s="465"/>
      <c r="O478" s="465"/>
    </row>
    <row r="479" spans="1:15" s="513" customFormat="1" x14ac:dyDescent="0.25">
      <c r="A479" s="523" t="s">
        <v>1781</v>
      </c>
      <c r="B479" s="617" t="s">
        <v>175</v>
      </c>
      <c r="C479" s="544" t="s">
        <v>567</v>
      </c>
      <c r="D479" s="442" t="s">
        <v>2402</v>
      </c>
      <c r="E479" s="579" t="s">
        <v>821</v>
      </c>
      <c r="F479" s="292">
        <f t="shared" si="91"/>
        <v>11000</v>
      </c>
      <c r="G479" s="475">
        <f t="shared" si="92"/>
        <v>9020</v>
      </c>
      <c r="H479" s="475">
        <f t="shared" si="92"/>
        <v>9348.4000000000015</v>
      </c>
      <c r="I479" s="475">
        <f t="shared" si="92"/>
        <v>7665.7</v>
      </c>
      <c r="J479" s="475">
        <f t="shared" si="93"/>
        <v>0</v>
      </c>
      <c r="K479" s="475"/>
      <c r="L479" s="465"/>
      <c r="N479" s="465"/>
      <c r="O479" s="465"/>
    </row>
    <row r="480" spans="1:15" s="513" customFormat="1" ht="31.5" x14ac:dyDescent="0.25">
      <c r="A480" s="523" t="s">
        <v>1273</v>
      </c>
      <c r="B480" s="617" t="s">
        <v>175</v>
      </c>
      <c r="C480" s="544" t="s">
        <v>567</v>
      </c>
      <c r="D480" s="442" t="s">
        <v>2402</v>
      </c>
      <c r="E480" s="579" t="s">
        <v>1479</v>
      </c>
      <c r="F480" s="292">
        <f>'ведом. 2021-2023'!AD966</f>
        <v>11000</v>
      </c>
      <c r="G480" s="475">
        <v>9020</v>
      </c>
      <c r="H480" s="475">
        <f>'ведом. 2021-2023'!AE966</f>
        <v>9348.4000000000015</v>
      </c>
      <c r="I480" s="475">
        <f>7666-0.3</f>
        <v>7665.7</v>
      </c>
      <c r="J480" s="475">
        <f>'ведом. 2021-2023'!AF966</f>
        <v>0</v>
      </c>
      <c r="K480" s="475"/>
      <c r="L480" s="465"/>
      <c r="N480" s="465"/>
      <c r="O480" s="465"/>
    </row>
    <row r="481" spans="1:15" s="441" customFormat="1" x14ac:dyDescent="0.25">
      <c r="A481" s="523" t="s">
        <v>340</v>
      </c>
      <c r="B481" s="613" t="s">
        <v>175</v>
      </c>
      <c r="C481" s="235" t="s">
        <v>193</v>
      </c>
      <c r="D481" s="270"/>
      <c r="E481" s="579"/>
      <c r="F481" s="292">
        <f>F549+F495+F482</f>
        <v>128424.99999999999</v>
      </c>
      <c r="G481" s="475">
        <f>G549+G495+G482</f>
        <v>57853.4</v>
      </c>
      <c r="H481" s="475">
        <f>H549+H495+H482</f>
        <v>34883.5</v>
      </c>
      <c r="I481" s="475"/>
      <c r="J481" s="475">
        <f>J549+J495+J482</f>
        <v>31499.200000000001</v>
      </c>
      <c r="K481" s="475">
        <f>K549+K495+K482</f>
        <v>2050</v>
      </c>
      <c r="L481" s="465"/>
      <c r="N481" s="465"/>
      <c r="O481" s="465"/>
    </row>
    <row r="482" spans="1:15" s="441" customFormat="1" ht="29.45" customHeight="1" x14ac:dyDescent="0.25">
      <c r="A482" s="520" t="s">
        <v>1853</v>
      </c>
      <c r="B482" s="613" t="s">
        <v>175</v>
      </c>
      <c r="C482" s="235" t="s">
        <v>193</v>
      </c>
      <c r="D482" s="249" t="s">
        <v>1761</v>
      </c>
      <c r="E482" s="579"/>
      <c r="F482" s="292">
        <f>F483</f>
        <v>15807.4</v>
      </c>
      <c r="G482" s="475"/>
      <c r="H482" s="475">
        <f>H483</f>
        <v>6294.2999999999993</v>
      </c>
      <c r="I482" s="475"/>
      <c r="J482" s="475">
        <f>J483</f>
        <v>6294.2999999999993</v>
      </c>
      <c r="K482" s="475"/>
      <c r="L482" s="465"/>
      <c r="N482" s="465"/>
      <c r="O482" s="465"/>
    </row>
    <row r="483" spans="1:15" s="441" customFormat="1" x14ac:dyDescent="0.25">
      <c r="A483" s="548" t="s">
        <v>1854</v>
      </c>
      <c r="B483" s="613" t="s">
        <v>175</v>
      </c>
      <c r="C483" s="235" t="s">
        <v>193</v>
      </c>
      <c r="D483" s="249" t="s">
        <v>1765</v>
      </c>
      <c r="E483" s="579"/>
      <c r="F483" s="292">
        <f>F484+F488</f>
        <v>15807.4</v>
      </c>
      <c r="G483" s="475"/>
      <c r="H483" s="475">
        <f>H484+H488</f>
        <v>6294.2999999999993</v>
      </c>
      <c r="I483" s="475"/>
      <c r="J483" s="475">
        <f>J484+J488</f>
        <v>6294.2999999999993</v>
      </c>
      <c r="K483" s="475"/>
      <c r="L483" s="465"/>
      <c r="N483" s="465"/>
      <c r="O483" s="465"/>
    </row>
    <row r="484" spans="1:15" s="441" customFormat="1" x14ac:dyDescent="0.25">
      <c r="A484" s="522" t="s">
        <v>2280</v>
      </c>
      <c r="B484" s="613" t="s">
        <v>175</v>
      </c>
      <c r="C484" s="235" t="s">
        <v>193</v>
      </c>
      <c r="D484" s="249" t="s">
        <v>2204</v>
      </c>
      <c r="E484" s="579"/>
      <c r="F484" s="292">
        <f>F485</f>
        <v>10548.5</v>
      </c>
      <c r="G484" s="475"/>
      <c r="H484" s="475">
        <f>H485</f>
        <v>1585.4</v>
      </c>
      <c r="I484" s="475"/>
      <c r="J484" s="475">
        <f>J485</f>
        <v>1585.4</v>
      </c>
      <c r="K484" s="475"/>
      <c r="L484" s="465"/>
      <c r="N484" s="465"/>
      <c r="O484" s="465"/>
    </row>
    <row r="485" spans="1:15" s="441" customFormat="1" x14ac:dyDescent="0.25">
      <c r="A485" s="529" t="s">
        <v>1987</v>
      </c>
      <c r="B485" s="613" t="s">
        <v>175</v>
      </c>
      <c r="C485" s="235" t="s">
        <v>193</v>
      </c>
      <c r="D485" s="249" t="s">
        <v>2205</v>
      </c>
      <c r="E485" s="579"/>
      <c r="F485" s="292">
        <f>F486</f>
        <v>10548.5</v>
      </c>
      <c r="G485" s="475"/>
      <c r="H485" s="475">
        <f>H486</f>
        <v>1585.4</v>
      </c>
      <c r="I485" s="475"/>
      <c r="J485" s="475">
        <f>J486</f>
        <v>1585.4</v>
      </c>
      <c r="K485" s="475"/>
      <c r="L485" s="465"/>
      <c r="N485" s="465"/>
      <c r="O485" s="465"/>
    </row>
    <row r="486" spans="1:15" s="441" customFormat="1" x14ac:dyDescent="0.25">
      <c r="A486" s="519" t="s">
        <v>1781</v>
      </c>
      <c r="B486" s="613" t="s">
        <v>175</v>
      </c>
      <c r="C486" s="235" t="s">
        <v>193</v>
      </c>
      <c r="D486" s="249" t="s">
        <v>2205</v>
      </c>
      <c r="E486" s="579" t="s">
        <v>821</v>
      </c>
      <c r="F486" s="292">
        <f>F487</f>
        <v>10548.5</v>
      </c>
      <c r="G486" s="475"/>
      <c r="H486" s="475">
        <f>H487</f>
        <v>1585.4</v>
      </c>
      <c r="I486" s="475"/>
      <c r="J486" s="475">
        <f>J487</f>
        <v>1585.4</v>
      </c>
      <c r="K486" s="475"/>
      <c r="L486" s="465"/>
      <c r="N486" s="465"/>
      <c r="O486" s="465"/>
    </row>
    <row r="487" spans="1:15" s="441" customFormat="1" ht="31.5" x14ac:dyDescent="0.25">
      <c r="A487" s="519" t="s">
        <v>1273</v>
      </c>
      <c r="B487" s="613" t="s">
        <v>175</v>
      </c>
      <c r="C487" s="235" t="s">
        <v>193</v>
      </c>
      <c r="D487" s="249" t="s">
        <v>2205</v>
      </c>
      <c r="E487" s="579" t="s">
        <v>1479</v>
      </c>
      <c r="F487" s="292">
        <f>'ведом. 2021-2023'!AD322</f>
        <v>10548.5</v>
      </c>
      <c r="G487" s="475"/>
      <c r="H487" s="475">
        <f>'ведом. 2021-2023'!AE322</f>
        <v>1585.4</v>
      </c>
      <c r="I487" s="475"/>
      <c r="J487" s="475">
        <f>'ведом. 2021-2023'!AF322</f>
        <v>1585.4</v>
      </c>
      <c r="K487" s="475"/>
      <c r="L487" s="465"/>
      <c r="N487" s="465"/>
      <c r="O487" s="465"/>
    </row>
    <row r="488" spans="1:15" s="441" customFormat="1" ht="31.5" x14ac:dyDescent="0.25">
      <c r="A488" s="531" t="s">
        <v>1986</v>
      </c>
      <c r="B488" s="613" t="s">
        <v>175</v>
      </c>
      <c r="C488" s="235" t="s">
        <v>193</v>
      </c>
      <c r="D488" s="249" t="s">
        <v>2206</v>
      </c>
      <c r="E488" s="579"/>
      <c r="F488" s="292">
        <f>F489+F491+F493</f>
        <v>5258.9</v>
      </c>
      <c r="G488" s="475"/>
      <c r="H488" s="475">
        <f>H489+H491+H493</f>
        <v>4708.8999999999996</v>
      </c>
      <c r="I488" s="475"/>
      <c r="J488" s="475">
        <f>J489+J491+J493</f>
        <v>4708.8999999999996</v>
      </c>
      <c r="K488" s="475"/>
      <c r="L488" s="465"/>
      <c r="N488" s="465"/>
      <c r="O488" s="465"/>
    </row>
    <row r="489" spans="1:15" s="441" customFormat="1" ht="47.25" x14ac:dyDescent="0.25">
      <c r="A489" s="519" t="s">
        <v>921</v>
      </c>
      <c r="B489" s="613" t="s">
        <v>175</v>
      </c>
      <c r="C489" s="235" t="s">
        <v>193</v>
      </c>
      <c r="D489" s="249" t="s">
        <v>2206</v>
      </c>
      <c r="E489" s="579" t="s">
        <v>1797</v>
      </c>
      <c r="F489" s="292">
        <f>F490</f>
        <v>4749.7</v>
      </c>
      <c r="G489" s="475"/>
      <c r="H489" s="475">
        <f>H490</f>
        <v>3979.7</v>
      </c>
      <c r="I489" s="475"/>
      <c r="J489" s="475">
        <f>J490</f>
        <v>3979.7</v>
      </c>
      <c r="K489" s="475"/>
      <c r="L489" s="465"/>
      <c r="N489" s="465"/>
      <c r="O489" s="465"/>
    </row>
    <row r="490" spans="1:15" s="441" customFormat="1" x14ac:dyDescent="0.25">
      <c r="A490" s="519" t="s">
        <v>1568</v>
      </c>
      <c r="B490" s="613" t="s">
        <v>175</v>
      </c>
      <c r="C490" s="235" t="s">
        <v>193</v>
      </c>
      <c r="D490" s="249" t="s">
        <v>2206</v>
      </c>
      <c r="E490" s="579" t="s">
        <v>1798</v>
      </c>
      <c r="F490" s="292">
        <f>'ведом. 2021-2023'!AD325</f>
        <v>4749.7</v>
      </c>
      <c r="G490" s="475"/>
      <c r="H490" s="475">
        <f>'ведом. 2021-2023'!AE325</f>
        <v>3979.7</v>
      </c>
      <c r="I490" s="475"/>
      <c r="J490" s="475">
        <f>'ведом. 2021-2023'!AF325</f>
        <v>3979.7</v>
      </c>
      <c r="K490" s="475"/>
      <c r="L490" s="465"/>
      <c r="N490" s="465"/>
      <c r="O490" s="465"/>
    </row>
    <row r="491" spans="1:15" s="441" customFormat="1" x14ac:dyDescent="0.25">
      <c r="A491" s="519" t="s">
        <v>1781</v>
      </c>
      <c r="B491" s="613" t="s">
        <v>175</v>
      </c>
      <c r="C491" s="235" t="s">
        <v>193</v>
      </c>
      <c r="D491" s="249" t="s">
        <v>2206</v>
      </c>
      <c r="E491" s="579" t="s">
        <v>821</v>
      </c>
      <c r="F491" s="292">
        <f>F492</f>
        <v>507</v>
      </c>
      <c r="G491" s="475"/>
      <c r="H491" s="475">
        <f>H492</f>
        <v>729.2</v>
      </c>
      <c r="I491" s="475"/>
      <c r="J491" s="475">
        <f>J492</f>
        <v>729.2</v>
      </c>
      <c r="K491" s="475"/>
      <c r="L491" s="465"/>
      <c r="N491" s="465"/>
      <c r="O491" s="465"/>
    </row>
    <row r="492" spans="1:15" s="441" customFormat="1" ht="31.5" x14ac:dyDescent="0.25">
      <c r="A492" s="519" t="s">
        <v>1273</v>
      </c>
      <c r="B492" s="613" t="s">
        <v>175</v>
      </c>
      <c r="C492" s="235" t="s">
        <v>193</v>
      </c>
      <c r="D492" s="249" t="s">
        <v>2206</v>
      </c>
      <c r="E492" s="579" t="s">
        <v>1479</v>
      </c>
      <c r="F492" s="292">
        <f>'ведом. 2021-2023'!AD327</f>
        <v>507</v>
      </c>
      <c r="G492" s="475"/>
      <c r="H492" s="475">
        <f>'ведом. 2021-2023'!AE327</f>
        <v>729.2</v>
      </c>
      <c r="I492" s="475"/>
      <c r="J492" s="475">
        <f>'ведом. 2021-2023'!AF327</f>
        <v>729.2</v>
      </c>
      <c r="K492" s="475"/>
      <c r="L492" s="465"/>
      <c r="N492" s="465"/>
      <c r="O492" s="465"/>
    </row>
    <row r="493" spans="1:15" s="513" customFormat="1" x14ac:dyDescent="0.25">
      <c r="A493" s="519" t="s">
        <v>923</v>
      </c>
      <c r="B493" s="613" t="s">
        <v>175</v>
      </c>
      <c r="C493" s="235" t="s">
        <v>193</v>
      </c>
      <c r="D493" s="249" t="s">
        <v>2206</v>
      </c>
      <c r="E493" s="579" t="s">
        <v>2240</v>
      </c>
      <c r="F493" s="292">
        <f>F494</f>
        <v>2.2000000000000002</v>
      </c>
      <c r="G493" s="475"/>
      <c r="H493" s="475">
        <f>H494</f>
        <v>0</v>
      </c>
      <c r="I493" s="475"/>
      <c r="J493" s="475">
        <f>J494</f>
        <v>0</v>
      </c>
      <c r="K493" s="475"/>
      <c r="L493" s="465"/>
      <c r="N493" s="465"/>
      <c r="O493" s="465"/>
    </row>
    <row r="494" spans="1:15" s="513" customFormat="1" x14ac:dyDescent="0.25">
      <c r="A494" s="519" t="s">
        <v>1319</v>
      </c>
      <c r="B494" s="613" t="s">
        <v>175</v>
      </c>
      <c r="C494" s="235" t="s">
        <v>193</v>
      </c>
      <c r="D494" s="249" t="s">
        <v>2206</v>
      </c>
      <c r="E494" s="579" t="s">
        <v>2391</v>
      </c>
      <c r="F494" s="292">
        <f>'ведом. 2021-2023'!AD329</f>
        <v>2.2000000000000002</v>
      </c>
      <c r="G494" s="475"/>
      <c r="H494" s="475">
        <f>'ведом. 2021-2023'!AE329</f>
        <v>0</v>
      </c>
      <c r="I494" s="475"/>
      <c r="J494" s="475">
        <f>'ведом. 2021-2023'!AF329</f>
        <v>0</v>
      </c>
      <c r="K494" s="475"/>
      <c r="L494" s="465"/>
      <c r="N494" s="465"/>
      <c r="O494" s="465"/>
    </row>
    <row r="495" spans="1:15" s="441" customFormat="1" ht="31.5" x14ac:dyDescent="0.25">
      <c r="A495" s="520" t="s">
        <v>2102</v>
      </c>
      <c r="B495" s="613" t="s">
        <v>175</v>
      </c>
      <c r="C495" s="235" t="s">
        <v>193</v>
      </c>
      <c r="D495" s="442" t="s">
        <v>1805</v>
      </c>
      <c r="E495" s="579"/>
      <c r="F495" s="292">
        <f>F496+F501</f>
        <v>9353.4999999999982</v>
      </c>
      <c r="G495" s="292">
        <f>G496+G501</f>
        <v>6999.9999999999991</v>
      </c>
      <c r="H495" s="475">
        <f>H496+H501</f>
        <v>513.5</v>
      </c>
      <c r="I495" s="475"/>
      <c r="J495" s="475">
        <f>J496+J501</f>
        <v>513.5</v>
      </c>
      <c r="K495" s="475"/>
      <c r="L495" s="465"/>
      <c r="N495" s="465"/>
      <c r="O495" s="465"/>
    </row>
    <row r="496" spans="1:15" s="441" customFormat="1" ht="47.25" x14ac:dyDescent="0.25">
      <c r="A496" s="520" t="s">
        <v>2103</v>
      </c>
      <c r="B496" s="613" t="s">
        <v>175</v>
      </c>
      <c r="C496" s="235" t="s">
        <v>193</v>
      </c>
      <c r="D496" s="442" t="s">
        <v>2104</v>
      </c>
      <c r="E496" s="238"/>
      <c r="F496" s="292">
        <f>F497</f>
        <v>816.90000000000009</v>
      </c>
      <c r="G496" s="475"/>
      <c r="H496" s="475">
        <f>H497</f>
        <v>513.5</v>
      </c>
      <c r="I496" s="475"/>
      <c r="J496" s="475">
        <f>J497</f>
        <v>513.5</v>
      </c>
      <c r="K496" s="475"/>
      <c r="L496" s="465"/>
      <c r="N496" s="465"/>
      <c r="O496" s="465"/>
    </row>
    <row r="497" spans="1:15" s="441" customFormat="1" ht="31.5" x14ac:dyDescent="0.25">
      <c r="A497" s="528" t="s">
        <v>2108</v>
      </c>
      <c r="B497" s="613" t="s">
        <v>175</v>
      </c>
      <c r="C497" s="235" t="s">
        <v>193</v>
      </c>
      <c r="D497" s="442" t="s">
        <v>2109</v>
      </c>
      <c r="E497" s="238"/>
      <c r="F497" s="292">
        <f>F498</f>
        <v>816.90000000000009</v>
      </c>
      <c r="G497" s="475"/>
      <c r="H497" s="475">
        <f>H498</f>
        <v>513.5</v>
      </c>
      <c r="I497" s="475"/>
      <c r="J497" s="475">
        <f>J498</f>
        <v>513.5</v>
      </c>
      <c r="K497" s="475"/>
      <c r="L497" s="465"/>
      <c r="N497" s="465"/>
      <c r="O497" s="465"/>
    </row>
    <row r="498" spans="1:15" s="441" customFormat="1" ht="47.25" x14ac:dyDescent="0.25">
      <c r="A498" s="518" t="s">
        <v>2247</v>
      </c>
      <c r="B498" s="613" t="s">
        <v>175</v>
      </c>
      <c r="C498" s="235" t="s">
        <v>193</v>
      </c>
      <c r="D498" s="442" t="s">
        <v>2110</v>
      </c>
      <c r="E498" s="238"/>
      <c r="F498" s="292">
        <f>F499</f>
        <v>816.90000000000009</v>
      </c>
      <c r="G498" s="475"/>
      <c r="H498" s="475">
        <f>H499</f>
        <v>513.5</v>
      </c>
      <c r="I498" s="475"/>
      <c r="J498" s="475">
        <f>J499</f>
        <v>513.5</v>
      </c>
      <c r="K498" s="475"/>
      <c r="L498" s="465"/>
      <c r="N498" s="465"/>
      <c r="O498" s="465"/>
    </row>
    <row r="499" spans="1:15" s="441" customFormat="1" x14ac:dyDescent="0.25">
      <c r="A499" s="523" t="s">
        <v>1781</v>
      </c>
      <c r="B499" s="613" t="s">
        <v>175</v>
      </c>
      <c r="C499" s="235" t="s">
        <v>193</v>
      </c>
      <c r="D499" s="442" t="s">
        <v>2110</v>
      </c>
      <c r="E499" s="238">
        <v>200</v>
      </c>
      <c r="F499" s="292">
        <f>F500</f>
        <v>816.90000000000009</v>
      </c>
      <c r="G499" s="475"/>
      <c r="H499" s="475">
        <f>H500</f>
        <v>513.5</v>
      </c>
      <c r="I499" s="475"/>
      <c r="J499" s="475">
        <f>J500</f>
        <v>513.5</v>
      </c>
      <c r="K499" s="475"/>
      <c r="L499" s="465"/>
      <c r="N499" s="465"/>
      <c r="O499" s="465"/>
    </row>
    <row r="500" spans="1:15" s="441" customFormat="1" ht="31.5" x14ac:dyDescent="0.25">
      <c r="A500" s="523" t="s">
        <v>1273</v>
      </c>
      <c r="B500" s="613" t="s">
        <v>175</v>
      </c>
      <c r="C500" s="235" t="s">
        <v>193</v>
      </c>
      <c r="D500" s="442" t="s">
        <v>2110</v>
      </c>
      <c r="E500" s="238">
        <v>240</v>
      </c>
      <c r="F500" s="292">
        <f>'ведом. 2021-2023'!AD335</f>
        <v>816.90000000000009</v>
      </c>
      <c r="G500" s="475"/>
      <c r="H500" s="475">
        <f>'ведом. 2021-2023'!AE335</f>
        <v>513.5</v>
      </c>
      <c r="I500" s="475"/>
      <c r="J500" s="475">
        <f>'ведом. 2021-2023'!AF335</f>
        <v>513.5</v>
      </c>
      <c r="K500" s="475"/>
      <c r="L500" s="465"/>
      <c r="N500" s="465"/>
      <c r="O500" s="465"/>
    </row>
    <row r="501" spans="1:15" s="513" customFormat="1" x14ac:dyDescent="0.25">
      <c r="A501" s="514" t="s">
        <v>2371</v>
      </c>
      <c r="B501" s="613" t="s">
        <v>175</v>
      </c>
      <c r="C501" s="235" t="s">
        <v>193</v>
      </c>
      <c r="D501" s="467" t="s">
        <v>2372</v>
      </c>
      <c r="E501" s="579"/>
      <c r="F501" s="292">
        <f>F502</f>
        <v>8536.5999999999985</v>
      </c>
      <c r="G501" s="292">
        <f>G502</f>
        <v>6999.9999999999991</v>
      </c>
      <c r="H501" s="475">
        <f t="shared" ref="H501:J502" si="99">H502</f>
        <v>0</v>
      </c>
      <c r="I501" s="475"/>
      <c r="J501" s="475">
        <f t="shared" si="99"/>
        <v>0</v>
      </c>
      <c r="K501" s="475"/>
      <c r="L501" s="465"/>
      <c r="N501" s="465"/>
      <c r="O501" s="465"/>
    </row>
    <row r="502" spans="1:15" s="513" customFormat="1" ht="31.5" x14ac:dyDescent="0.25">
      <c r="A502" s="514" t="s">
        <v>2373</v>
      </c>
      <c r="B502" s="613" t="s">
        <v>175</v>
      </c>
      <c r="C502" s="235" t="s">
        <v>193</v>
      </c>
      <c r="D502" s="467" t="s">
        <v>2374</v>
      </c>
      <c r="E502" s="579"/>
      <c r="F502" s="292">
        <f>F503</f>
        <v>8536.5999999999985</v>
      </c>
      <c r="G502" s="292">
        <f>G503</f>
        <v>6999.9999999999991</v>
      </c>
      <c r="H502" s="475">
        <f t="shared" si="99"/>
        <v>0</v>
      </c>
      <c r="I502" s="475"/>
      <c r="J502" s="475">
        <f t="shared" si="99"/>
        <v>0</v>
      </c>
      <c r="K502" s="475"/>
      <c r="L502" s="465"/>
      <c r="N502" s="465"/>
      <c r="O502" s="465"/>
    </row>
    <row r="503" spans="1:15" s="513" customFormat="1" ht="31.5" x14ac:dyDescent="0.25">
      <c r="A503" s="514" t="s">
        <v>2375</v>
      </c>
      <c r="B503" s="613" t="s">
        <v>175</v>
      </c>
      <c r="C503" s="235" t="s">
        <v>193</v>
      </c>
      <c r="D503" s="467" t="s">
        <v>2376</v>
      </c>
      <c r="E503" s="579"/>
      <c r="F503" s="292">
        <f>F504+F507+F510+F513+F516+F519+F522+F525+F528+F531+F534+F537+F540+F543+F546</f>
        <v>8536.5999999999985</v>
      </c>
      <c r="G503" s="292">
        <f>G504+G507+G510+G513+G516+G519+G522+G525+G528+G531+G534+G537+G540+G543+G546</f>
        <v>6999.9999999999991</v>
      </c>
      <c r="H503" s="292">
        <f>H507+H546</f>
        <v>0</v>
      </c>
      <c r="I503" s="292"/>
      <c r="J503" s="292">
        <f>J507+J546</f>
        <v>0</v>
      </c>
      <c r="K503" s="475"/>
      <c r="L503" s="465"/>
      <c r="N503" s="465"/>
      <c r="O503" s="465"/>
    </row>
    <row r="504" spans="1:15" s="513" customFormat="1" ht="47.25" x14ac:dyDescent="0.25">
      <c r="A504" s="514" t="s">
        <v>2444</v>
      </c>
      <c r="B504" s="613" t="s">
        <v>175</v>
      </c>
      <c r="C504" s="235" t="s">
        <v>193</v>
      </c>
      <c r="D504" s="467" t="s">
        <v>2445</v>
      </c>
      <c r="E504" s="714"/>
      <c r="F504" s="292">
        <f>F505</f>
        <v>517.70000000000005</v>
      </c>
      <c r="G504" s="292">
        <f>G505</f>
        <v>424.5</v>
      </c>
      <c r="H504" s="292">
        <f t="shared" ref="H504:J505" si="100">H505</f>
        <v>0</v>
      </c>
      <c r="I504" s="475"/>
      <c r="J504" s="292">
        <f t="shared" si="100"/>
        <v>0</v>
      </c>
      <c r="K504" s="475"/>
      <c r="L504" s="465"/>
      <c r="N504" s="465"/>
      <c r="O504" s="465"/>
    </row>
    <row r="505" spans="1:15" s="513" customFormat="1" x14ac:dyDescent="0.25">
      <c r="A505" s="514" t="s">
        <v>1781</v>
      </c>
      <c r="B505" s="613" t="s">
        <v>175</v>
      </c>
      <c r="C505" s="235" t="s">
        <v>193</v>
      </c>
      <c r="D505" s="467" t="s">
        <v>2445</v>
      </c>
      <c r="E505" s="713">
        <v>200</v>
      </c>
      <c r="F505" s="292">
        <f>F506</f>
        <v>517.70000000000005</v>
      </c>
      <c r="G505" s="292">
        <f>G506</f>
        <v>424.5</v>
      </c>
      <c r="H505" s="292">
        <f t="shared" si="100"/>
        <v>0</v>
      </c>
      <c r="I505" s="475"/>
      <c r="J505" s="292">
        <f t="shared" si="100"/>
        <v>0</v>
      </c>
      <c r="K505" s="475"/>
      <c r="L505" s="465"/>
      <c r="N505" s="465"/>
      <c r="O505" s="465"/>
    </row>
    <row r="506" spans="1:15" s="513" customFormat="1" ht="31.5" x14ac:dyDescent="0.25">
      <c r="A506" s="514" t="s">
        <v>1273</v>
      </c>
      <c r="B506" s="613" t="s">
        <v>175</v>
      </c>
      <c r="C506" s="235" t="s">
        <v>193</v>
      </c>
      <c r="D506" s="467" t="s">
        <v>2445</v>
      </c>
      <c r="E506" s="713">
        <v>240</v>
      </c>
      <c r="F506" s="292">
        <f>'ведом. 2021-2023'!AD974</f>
        <v>517.70000000000005</v>
      </c>
      <c r="G506" s="475">
        <v>424.5</v>
      </c>
      <c r="H506" s="475">
        <v>0</v>
      </c>
      <c r="I506" s="475"/>
      <c r="J506" s="475">
        <v>0</v>
      </c>
      <c r="K506" s="475"/>
      <c r="L506" s="465"/>
      <c r="N506" s="465"/>
      <c r="O506" s="465"/>
    </row>
    <row r="507" spans="1:15" s="513" customFormat="1" ht="47.25" x14ac:dyDescent="0.25">
      <c r="A507" s="519" t="s">
        <v>2377</v>
      </c>
      <c r="B507" s="613" t="s">
        <v>175</v>
      </c>
      <c r="C507" s="235" t="s">
        <v>193</v>
      </c>
      <c r="D507" s="467" t="s">
        <v>2378</v>
      </c>
      <c r="E507" s="714"/>
      <c r="F507" s="292">
        <f>F508</f>
        <v>185.4</v>
      </c>
      <c r="G507" s="475">
        <f>G508</f>
        <v>152</v>
      </c>
      <c r="H507" s="475">
        <f t="shared" ref="H507:J508" si="101">H508</f>
        <v>0</v>
      </c>
      <c r="I507" s="475"/>
      <c r="J507" s="475">
        <f t="shared" si="101"/>
        <v>0</v>
      </c>
      <c r="K507" s="475"/>
      <c r="L507" s="465"/>
      <c r="N507" s="465"/>
      <c r="O507" s="465"/>
    </row>
    <row r="508" spans="1:15" s="513" customFormat="1" x14ac:dyDescent="0.25">
      <c r="A508" s="514" t="s">
        <v>1781</v>
      </c>
      <c r="B508" s="613" t="s">
        <v>175</v>
      </c>
      <c r="C508" s="235" t="s">
        <v>193</v>
      </c>
      <c r="D508" s="467" t="s">
        <v>2378</v>
      </c>
      <c r="E508" s="713">
        <v>200</v>
      </c>
      <c r="F508" s="292">
        <f>F509</f>
        <v>185.4</v>
      </c>
      <c r="G508" s="475">
        <f>G509</f>
        <v>152</v>
      </c>
      <c r="H508" s="475">
        <f t="shared" si="101"/>
        <v>0</v>
      </c>
      <c r="I508" s="475"/>
      <c r="J508" s="475">
        <f t="shared" si="101"/>
        <v>0</v>
      </c>
      <c r="K508" s="475"/>
      <c r="L508" s="465"/>
      <c r="N508" s="465"/>
      <c r="O508" s="465"/>
    </row>
    <row r="509" spans="1:15" s="513" customFormat="1" ht="31.5" x14ac:dyDescent="0.25">
      <c r="A509" s="514" t="s">
        <v>1273</v>
      </c>
      <c r="B509" s="613" t="s">
        <v>175</v>
      </c>
      <c r="C509" s="235" t="s">
        <v>193</v>
      </c>
      <c r="D509" s="467" t="s">
        <v>2378</v>
      </c>
      <c r="E509" s="713">
        <v>240</v>
      </c>
      <c r="F509" s="292">
        <f>'ведом. 2021-2023'!AD977</f>
        <v>185.4</v>
      </c>
      <c r="G509" s="475">
        <v>152</v>
      </c>
      <c r="H509" s="475">
        <v>0</v>
      </c>
      <c r="I509" s="475"/>
      <c r="J509" s="475">
        <v>0</v>
      </c>
      <c r="K509" s="475"/>
      <c r="L509" s="465"/>
      <c r="N509" s="465"/>
      <c r="O509" s="465"/>
    </row>
    <row r="510" spans="1:15" s="513" customFormat="1" ht="47.25" x14ac:dyDescent="0.25">
      <c r="A510" s="519" t="s">
        <v>2446</v>
      </c>
      <c r="B510" s="613" t="s">
        <v>175</v>
      </c>
      <c r="C510" s="235" t="s">
        <v>193</v>
      </c>
      <c r="D510" s="467" t="s">
        <v>2447</v>
      </c>
      <c r="E510" s="714"/>
      <c r="F510" s="292">
        <f>F511</f>
        <v>608.79999999999995</v>
      </c>
      <c r="G510" s="292">
        <f>G511</f>
        <v>499.2</v>
      </c>
      <c r="H510" s="475">
        <f t="shared" ref="H510:J511" si="102">H511</f>
        <v>0</v>
      </c>
      <c r="I510" s="475"/>
      <c r="J510" s="475">
        <f t="shared" si="102"/>
        <v>0</v>
      </c>
      <c r="K510" s="475"/>
      <c r="L510" s="465"/>
      <c r="N510" s="465"/>
      <c r="O510" s="465"/>
    </row>
    <row r="511" spans="1:15" s="513" customFormat="1" x14ac:dyDescent="0.25">
      <c r="A511" s="514" t="s">
        <v>1781</v>
      </c>
      <c r="B511" s="613" t="s">
        <v>175</v>
      </c>
      <c r="C511" s="235" t="s">
        <v>193</v>
      </c>
      <c r="D511" s="467" t="s">
        <v>2447</v>
      </c>
      <c r="E511" s="713">
        <v>200</v>
      </c>
      <c r="F511" s="292">
        <f>F512</f>
        <v>608.79999999999995</v>
      </c>
      <c r="G511" s="292">
        <f>G512</f>
        <v>499.2</v>
      </c>
      <c r="H511" s="475">
        <f t="shared" si="102"/>
        <v>0</v>
      </c>
      <c r="I511" s="475"/>
      <c r="J511" s="475">
        <f t="shared" si="102"/>
        <v>0</v>
      </c>
      <c r="K511" s="475"/>
      <c r="L511" s="465"/>
      <c r="N511" s="465"/>
      <c r="O511" s="465"/>
    </row>
    <row r="512" spans="1:15" s="513" customFormat="1" ht="31.5" x14ac:dyDescent="0.25">
      <c r="A512" s="514" t="s">
        <v>1273</v>
      </c>
      <c r="B512" s="613" t="s">
        <v>175</v>
      </c>
      <c r="C512" s="235" t="s">
        <v>193</v>
      </c>
      <c r="D512" s="467" t="s">
        <v>2447</v>
      </c>
      <c r="E512" s="713">
        <v>240</v>
      </c>
      <c r="F512" s="292">
        <f>'ведом. 2021-2023'!AD980</f>
        <v>608.79999999999995</v>
      </c>
      <c r="G512" s="475">
        <v>499.2</v>
      </c>
      <c r="H512" s="475">
        <v>0</v>
      </c>
      <c r="I512" s="475"/>
      <c r="J512" s="475">
        <v>0</v>
      </c>
      <c r="K512" s="475"/>
      <c r="L512" s="465"/>
      <c r="N512" s="465"/>
      <c r="O512" s="465"/>
    </row>
    <row r="513" spans="1:15" s="513" customFormat="1" ht="47.25" x14ac:dyDescent="0.25">
      <c r="A513" s="519" t="s">
        <v>2448</v>
      </c>
      <c r="B513" s="613" t="s">
        <v>175</v>
      </c>
      <c r="C513" s="235" t="s">
        <v>193</v>
      </c>
      <c r="D513" s="467" t="s">
        <v>2449</v>
      </c>
      <c r="E513" s="714"/>
      <c r="F513" s="292">
        <f>F514</f>
        <v>681.7</v>
      </c>
      <c r="G513" s="475">
        <f>G514</f>
        <v>559</v>
      </c>
      <c r="H513" s="475">
        <f t="shared" ref="H513:J514" si="103">H514</f>
        <v>0</v>
      </c>
      <c r="I513" s="475"/>
      <c r="J513" s="475">
        <f t="shared" si="103"/>
        <v>0</v>
      </c>
      <c r="K513" s="475"/>
      <c r="L513" s="465"/>
      <c r="N513" s="465"/>
      <c r="O513" s="465"/>
    </row>
    <row r="514" spans="1:15" s="513" customFormat="1" x14ac:dyDescent="0.25">
      <c r="A514" s="514" t="s">
        <v>1781</v>
      </c>
      <c r="B514" s="613" t="s">
        <v>175</v>
      </c>
      <c r="C514" s="235" t="s">
        <v>193</v>
      </c>
      <c r="D514" s="467" t="s">
        <v>2449</v>
      </c>
      <c r="E514" s="713">
        <v>200</v>
      </c>
      <c r="F514" s="292">
        <f>F515</f>
        <v>681.7</v>
      </c>
      <c r="G514" s="292">
        <f>G515</f>
        <v>559</v>
      </c>
      <c r="H514" s="475">
        <f t="shared" si="103"/>
        <v>0</v>
      </c>
      <c r="I514" s="475"/>
      <c r="J514" s="475">
        <f t="shared" si="103"/>
        <v>0</v>
      </c>
      <c r="K514" s="475"/>
      <c r="L514" s="465"/>
      <c r="N514" s="465"/>
      <c r="O514" s="465"/>
    </row>
    <row r="515" spans="1:15" s="513" customFormat="1" ht="31.5" x14ac:dyDescent="0.25">
      <c r="A515" s="514" t="s">
        <v>1273</v>
      </c>
      <c r="B515" s="613" t="s">
        <v>175</v>
      </c>
      <c r="C515" s="235" t="s">
        <v>193</v>
      </c>
      <c r="D515" s="467" t="s">
        <v>2449</v>
      </c>
      <c r="E515" s="713">
        <v>240</v>
      </c>
      <c r="F515" s="292">
        <f>'ведом. 2021-2023'!AD983</f>
        <v>681.7</v>
      </c>
      <c r="G515" s="475">
        <v>559</v>
      </c>
      <c r="H515" s="475">
        <v>0</v>
      </c>
      <c r="I515" s="475"/>
      <c r="J515" s="475">
        <v>0</v>
      </c>
      <c r="K515" s="475"/>
      <c r="L515" s="465"/>
      <c r="N515" s="465"/>
      <c r="O515" s="465"/>
    </row>
    <row r="516" spans="1:15" s="513" customFormat="1" ht="47.25" x14ac:dyDescent="0.25">
      <c r="A516" s="514" t="s">
        <v>2450</v>
      </c>
      <c r="B516" s="613" t="s">
        <v>175</v>
      </c>
      <c r="C516" s="235" t="s">
        <v>193</v>
      </c>
      <c r="D516" s="467" t="s">
        <v>2451</v>
      </c>
      <c r="E516" s="714"/>
      <c r="F516" s="292">
        <f>F517</f>
        <v>1122.7</v>
      </c>
      <c r="G516" s="292">
        <f>G517</f>
        <v>920.6</v>
      </c>
      <c r="H516" s="292">
        <f t="shared" ref="H516:J517" si="104">H517</f>
        <v>0</v>
      </c>
      <c r="I516" s="475"/>
      <c r="J516" s="292">
        <f t="shared" si="104"/>
        <v>0</v>
      </c>
      <c r="K516" s="475"/>
      <c r="L516" s="465"/>
      <c r="N516" s="465"/>
      <c r="O516" s="465"/>
    </row>
    <row r="517" spans="1:15" s="513" customFormat="1" x14ac:dyDescent="0.25">
      <c r="A517" s="514" t="s">
        <v>1781</v>
      </c>
      <c r="B517" s="613" t="s">
        <v>175</v>
      </c>
      <c r="C517" s="235" t="s">
        <v>193</v>
      </c>
      <c r="D517" s="467" t="s">
        <v>2451</v>
      </c>
      <c r="E517" s="713">
        <v>200</v>
      </c>
      <c r="F517" s="292">
        <f>F518</f>
        <v>1122.7</v>
      </c>
      <c r="G517" s="292">
        <f>G518</f>
        <v>920.6</v>
      </c>
      <c r="H517" s="292">
        <f t="shared" si="104"/>
        <v>0</v>
      </c>
      <c r="I517" s="475"/>
      <c r="J517" s="292">
        <f t="shared" si="104"/>
        <v>0</v>
      </c>
      <c r="K517" s="475"/>
      <c r="L517" s="465"/>
      <c r="N517" s="465"/>
      <c r="O517" s="465"/>
    </row>
    <row r="518" spans="1:15" s="513" customFormat="1" ht="31.5" x14ac:dyDescent="0.25">
      <c r="A518" s="514" t="s">
        <v>1273</v>
      </c>
      <c r="B518" s="613" t="s">
        <v>175</v>
      </c>
      <c r="C518" s="235" t="s">
        <v>193</v>
      </c>
      <c r="D518" s="467" t="s">
        <v>2451</v>
      </c>
      <c r="E518" s="713">
        <v>240</v>
      </c>
      <c r="F518" s="292">
        <f>'ведом. 2021-2023'!AD986</f>
        <v>1122.7</v>
      </c>
      <c r="G518" s="475">
        <v>920.6</v>
      </c>
      <c r="H518" s="475">
        <v>0</v>
      </c>
      <c r="I518" s="475"/>
      <c r="J518" s="475">
        <v>0</v>
      </c>
      <c r="K518" s="475"/>
      <c r="L518" s="465"/>
      <c r="N518" s="465"/>
      <c r="O518" s="465"/>
    </row>
    <row r="519" spans="1:15" s="513" customFormat="1" ht="47.25" x14ac:dyDescent="0.25">
      <c r="A519" s="514" t="s">
        <v>2470</v>
      </c>
      <c r="B519" s="613" t="s">
        <v>175</v>
      </c>
      <c r="C519" s="235" t="s">
        <v>193</v>
      </c>
      <c r="D519" s="467" t="s">
        <v>2452</v>
      </c>
      <c r="E519" s="714"/>
      <c r="F519" s="292">
        <f>F520</f>
        <v>523.9</v>
      </c>
      <c r="G519" s="292">
        <f>G520</f>
        <v>429.6</v>
      </c>
      <c r="H519" s="292">
        <f t="shared" ref="H519:J520" si="105">H520</f>
        <v>0</v>
      </c>
      <c r="I519" s="475"/>
      <c r="J519" s="292">
        <f t="shared" si="105"/>
        <v>0</v>
      </c>
      <c r="K519" s="475"/>
      <c r="L519" s="465"/>
      <c r="N519" s="465"/>
      <c r="O519" s="465"/>
    </row>
    <row r="520" spans="1:15" s="513" customFormat="1" x14ac:dyDescent="0.25">
      <c r="A520" s="514" t="s">
        <v>1781</v>
      </c>
      <c r="B520" s="613" t="s">
        <v>175</v>
      </c>
      <c r="C520" s="235" t="s">
        <v>193</v>
      </c>
      <c r="D520" s="467" t="s">
        <v>2452</v>
      </c>
      <c r="E520" s="713">
        <v>200</v>
      </c>
      <c r="F520" s="292">
        <f>F521</f>
        <v>523.9</v>
      </c>
      <c r="G520" s="292">
        <f>G521</f>
        <v>429.6</v>
      </c>
      <c r="H520" s="292">
        <f t="shared" si="105"/>
        <v>0</v>
      </c>
      <c r="I520" s="475"/>
      <c r="J520" s="292">
        <f t="shared" si="105"/>
        <v>0</v>
      </c>
      <c r="K520" s="475"/>
      <c r="L520" s="465"/>
      <c r="N520" s="465"/>
      <c r="O520" s="465"/>
    </row>
    <row r="521" spans="1:15" s="513" customFormat="1" ht="31.5" x14ac:dyDescent="0.25">
      <c r="A521" s="514" t="s">
        <v>1273</v>
      </c>
      <c r="B521" s="613" t="s">
        <v>175</v>
      </c>
      <c r="C521" s="235" t="s">
        <v>193</v>
      </c>
      <c r="D521" s="467" t="s">
        <v>2452</v>
      </c>
      <c r="E521" s="713">
        <v>240</v>
      </c>
      <c r="F521" s="292">
        <f>'ведом. 2021-2023'!AD989</f>
        <v>523.9</v>
      </c>
      <c r="G521" s="475">
        <v>429.6</v>
      </c>
      <c r="H521" s="475">
        <v>0</v>
      </c>
      <c r="I521" s="475"/>
      <c r="J521" s="475">
        <v>0</v>
      </c>
      <c r="K521" s="475"/>
      <c r="L521" s="465"/>
      <c r="N521" s="465"/>
      <c r="O521" s="465"/>
    </row>
    <row r="522" spans="1:15" s="513" customFormat="1" ht="31.5" x14ac:dyDescent="0.25">
      <c r="A522" s="514" t="s">
        <v>2453</v>
      </c>
      <c r="B522" s="613" t="s">
        <v>175</v>
      </c>
      <c r="C522" s="235" t="s">
        <v>193</v>
      </c>
      <c r="D522" s="467" t="s">
        <v>2454</v>
      </c>
      <c r="E522" s="714"/>
      <c r="F522" s="292">
        <f>F523</f>
        <v>331.20000000000005</v>
      </c>
      <c r="G522" s="292">
        <f>G523</f>
        <v>271.60000000000002</v>
      </c>
      <c r="H522" s="292">
        <f>H523</f>
        <v>0</v>
      </c>
      <c r="I522" s="475"/>
      <c r="J522" s="292">
        <f>J523</f>
        <v>0</v>
      </c>
      <c r="K522" s="475"/>
      <c r="L522" s="465"/>
      <c r="N522" s="465"/>
      <c r="O522" s="465"/>
    </row>
    <row r="523" spans="1:15" s="513" customFormat="1" x14ac:dyDescent="0.25">
      <c r="A523" s="514" t="s">
        <v>1781</v>
      </c>
      <c r="B523" s="613" t="s">
        <v>175</v>
      </c>
      <c r="C523" s="235" t="s">
        <v>193</v>
      </c>
      <c r="D523" s="467" t="s">
        <v>2454</v>
      </c>
      <c r="E523" s="713">
        <v>200</v>
      </c>
      <c r="F523" s="292">
        <f>F524</f>
        <v>331.20000000000005</v>
      </c>
      <c r="G523" s="292">
        <f>G524</f>
        <v>271.60000000000002</v>
      </c>
      <c r="H523" s="475">
        <v>0</v>
      </c>
      <c r="I523" s="475"/>
      <c r="J523" s="475">
        <v>0</v>
      </c>
      <c r="K523" s="475"/>
      <c r="L523" s="465"/>
      <c r="N523" s="465"/>
      <c r="O523" s="465"/>
    </row>
    <row r="524" spans="1:15" s="513" customFormat="1" ht="31.5" x14ac:dyDescent="0.25">
      <c r="A524" s="514" t="s">
        <v>1273</v>
      </c>
      <c r="B524" s="613" t="s">
        <v>175</v>
      </c>
      <c r="C524" s="235" t="s">
        <v>193</v>
      </c>
      <c r="D524" s="467" t="s">
        <v>2454</v>
      </c>
      <c r="E524" s="713">
        <v>240</v>
      </c>
      <c r="F524" s="292">
        <f>'ведом. 2021-2023'!AD992</f>
        <v>331.20000000000005</v>
      </c>
      <c r="G524" s="475">
        <v>271.60000000000002</v>
      </c>
      <c r="H524" s="475">
        <v>0</v>
      </c>
      <c r="I524" s="475"/>
      <c r="J524" s="475">
        <v>0</v>
      </c>
      <c r="K524" s="475"/>
      <c r="L524" s="465"/>
      <c r="N524" s="465"/>
      <c r="O524" s="465"/>
    </row>
    <row r="525" spans="1:15" s="513" customFormat="1" ht="47.25" x14ac:dyDescent="0.25">
      <c r="A525" s="514" t="s">
        <v>2455</v>
      </c>
      <c r="B525" s="613" t="s">
        <v>175</v>
      </c>
      <c r="C525" s="235" t="s">
        <v>193</v>
      </c>
      <c r="D525" s="467" t="s">
        <v>2456</v>
      </c>
      <c r="E525" s="714"/>
      <c r="F525" s="292">
        <f>F526</f>
        <v>330.7</v>
      </c>
      <c r="G525" s="292">
        <f>G526</f>
        <v>271.2</v>
      </c>
      <c r="H525" s="292">
        <f t="shared" ref="H525:J526" si="106">H526</f>
        <v>0</v>
      </c>
      <c r="I525" s="475"/>
      <c r="J525" s="292">
        <f t="shared" si="106"/>
        <v>0</v>
      </c>
      <c r="K525" s="475"/>
      <c r="L525" s="465"/>
      <c r="N525" s="465"/>
      <c r="O525" s="465"/>
    </row>
    <row r="526" spans="1:15" s="513" customFormat="1" x14ac:dyDescent="0.25">
      <c r="A526" s="514" t="s">
        <v>1781</v>
      </c>
      <c r="B526" s="613" t="s">
        <v>175</v>
      </c>
      <c r="C526" s="235" t="s">
        <v>193</v>
      </c>
      <c r="D526" s="467" t="s">
        <v>2456</v>
      </c>
      <c r="E526" s="713">
        <v>200</v>
      </c>
      <c r="F526" s="292">
        <f>F527</f>
        <v>330.7</v>
      </c>
      <c r="G526" s="292">
        <f>G527</f>
        <v>271.2</v>
      </c>
      <c r="H526" s="292">
        <f t="shared" si="106"/>
        <v>0</v>
      </c>
      <c r="I526" s="475"/>
      <c r="J526" s="292">
        <f t="shared" si="106"/>
        <v>0</v>
      </c>
      <c r="K526" s="475"/>
      <c r="L526" s="465"/>
      <c r="N526" s="465"/>
      <c r="O526" s="465"/>
    </row>
    <row r="527" spans="1:15" s="513" customFormat="1" ht="31.5" x14ac:dyDescent="0.25">
      <c r="A527" s="514" t="s">
        <v>1273</v>
      </c>
      <c r="B527" s="613" t="s">
        <v>175</v>
      </c>
      <c r="C527" s="235" t="s">
        <v>193</v>
      </c>
      <c r="D527" s="467" t="s">
        <v>2456</v>
      </c>
      <c r="E527" s="713">
        <v>240</v>
      </c>
      <c r="F527" s="292">
        <f>'ведом. 2021-2023'!AD995</f>
        <v>330.7</v>
      </c>
      <c r="G527" s="475">
        <v>271.2</v>
      </c>
      <c r="H527" s="475">
        <v>0</v>
      </c>
      <c r="I527" s="475"/>
      <c r="J527" s="475">
        <v>0</v>
      </c>
      <c r="K527" s="475"/>
      <c r="L527" s="465"/>
      <c r="N527" s="465"/>
      <c r="O527" s="465"/>
    </row>
    <row r="528" spans="1:15" s="513" customFormat="1" ht="47.25" x14ac:dyDescent="0.25">
      <c r="A528" s="823" t="s">
        <v>2457</v>
      </c>
      <c r="B528" s="613" t="s">
        <v>175</v>
      </c>
      <c r="C528" s="235" t="s">
        <v>193</v>
      </c>
      <c r="D528" s="467" t="s">
        <v>2458</v>
      </c>
      <c r="E528" s="238"/>
      <c r="F528" s="292">
        <f>F529</f>
        <v>42.7</v>
      </c>
      <c r="G528" s="292">
        <f>G529</f>
        <v>35</v>
      </c>
      <c r="H528" s="292">
        <f t="shared" ref="H528:J529" si="107">H529</f>
        <v>0</v>
      </c>
      <c r="I528" s="475"/>
      <c r="J528" s="292">
        <f t="shared" si="107"/>
        <v>0</v>
      </c>
      <c r="K528" s="475"/>
      <c r="L528" s="465"/>
      <c r="N528" s="465"/>
      <c r="O528" s="465"/>
    </row>
    <row r="529" spans="1:15" s="513" customFormat="1" x14ac:dyDescent="0.25">
      <c r="A529" s="514" t="s">
        <v>1781</v>
      </c>
      <c r="B529" s="613" t="s">
        <v>175</v>
      </c>
      <c r="C529" s="235" t="s">
        <v>193</v>
      </c>
      <c r="D529" s="467" t="s">
        <v>2458</v>
      </c>
      <c r="E529" s="713">
        <v>200</v>
      </c>
      <c r="F529" s="292">
        <f>F530</f>
        <v>42.7</v>
      </c>
      <c r="G529" s="292">
        <f>G530</f>
        <v>35</v>
      </c>
      <c r="H529" s="292">
        <f t="shared" si="107"/>
        <v>0</v>
      </c>
      <c r="I529" s="475"/>
      <c r="J529" s="292">
        <f t="shared" si="107"/>
        <v>0</v>
      </c>
      <c r="K529" s="475"/>
      <c r="L529" s="465"/>
      <c r="N529" s="465"/>
      <c r="O529" s="465"/>
    </row>
    <row r="530" spans="1:15" s="513" customFormat="1" ht="31.5" x14ac:dyDescent="0.25">
      <c r="A530" s="514" t="s">
        <v>1273</v>
      </c>
      <c r="B530" s="613" t="s">
        <v>175</v>
      </c>
      <c r="C530" s="235" t="s">
        <v>193</v>
      </c>
      <c r="D530" s="467" t="s">
        <v>2458</v>
      </c>
      <c r="E530" s="713">
        <v>240</v>
      </c>
      <c r="F530" s="292">
        <f>'ведом. 2021-2023'!AD998</f>
        <v>42.7</v>
      </c>
      <c r="G530" s="475">
        <v>35</v>
      </c>
      <c r="H530" s="475">
        <v>0</v>
      </c>
      <c r="I530" s="475"/>
      <c r="J530" s="475">
        <v>0</v>
      </c>
      <c r="K530" s="475"/>
      <c r="L530" s="465"/>
      <c r="N530" s="465"/>
      <c r="O530" s="465"/>
    </row>
    <row r="531" spans="1:15" s="513" customFormat="1" ht="47.25" x14ac:dyDescent="0.25">
      <c r="A531" s="823" t="s">
        <v>2459</v>
      </c>
      <c r="B531" s="613" t="s">
        <v>175</v>
      </c>
      <c r="C531" s="235" t="s">
        <v>193</v>
      </c>
      <c r="D531" s="467" t="s">
        <v>2460</v>
      </c>
      <c r="E531" s="238"/>
      <c r="F531" s="292">
        <f>F532</f>
        <v>277.7</v>
      </c>
      <c r="G531" s="292">
        <f>G532</f>
        <v>227.7</v>
      </c>
      <c r="H531" s="292">
        <f>H532</f>
        <v>0</v>
      </c>
      <c r="I531" s="475"/>
      <c r="J531" s="292">
        <f>J532</f>
        <v>0</v>
      </c>
      <c r="K531" s="475"/>
      <c r="L531" s="465"/>
      <c r="N531" s="465"/>
      <c r="O531" s="465"/>
    </row>
    <row r="532" spans="1:15" s="513" customFormat="1" x14ac:dyDescent="0.25">
      <c r="A532" s="514" t="s">
        <v>1781</v>
      </c>
      <c r="B532" s="613" t="s">
        <v>175</v>
      </c>
      <c r="C532" s="235" t="s">
        <v>193</v>
      </c>
      <c r="D532" s="467" t="s">
        <v>2460</v>
      </c>
      <c r="E532" s="713">
        <v>200</v>
      </c>
      <c r="F532" s="292">
        <f>F533</f>
        <v>277.7</v>
      </c>
      <c r="G532" s="292">
        <f>G533</f>
        <v>227.7</v>
      </c>
      <c r="H532" s="475">
        <v>0</v>
      </c>
      <c r="I532" s="475"/>
      <c r="J532" s="475">
        <v>0</v>
      </c>
      <c r="K532" s="475"/>
      <c r="L532" s="465"/>
      <c r="N532" s="465"/>
      <c r="O532" s="465"/>
    </row>
    <row r="533" spans="1:15" s="513" customFormat="1" ht="31.5" x14ac:dyDescent="0.25">
      <c r="A533" s="514" t="s">
        <v>1273</v>
      </c>
      <c r="B533" s="613" t="s">
        <v>175</v>
      </c>
      <c r="C533" s="235" t="s">
        <v>193</v>
      </c>
      <c r="D533" s="467" t="s">
        <v>2460</v>
      </c>
      <c r="E533" s="713">
        <v>240</v>
      </c>
      <c r="F533" s="292">
        <f>'ведом. 2021-2023'!AD1001</f>
        <v>277.7</v>
      </c>
      <c r="G533" s="475">
        <v>227.7</v>
      </c>
      <c r="H533" s="475">
        <v>0</v>
      </c>
      <c r="I533" s="475"/>
      <c r="J533" s="475">
        <v>0</v>
      </c>
      <c r="K533" s="475"/>
      <c r="L533" s="465"/>
      <c r="N533" s="465"/>
      <c r="O533" s="465"/>
    </row>
    <row r="534" spans="1:15" s="513" customFormat="1" ht="47.25" x14ac:dyDescent="0.25">
      <c r="A534" s="715" t="s">
        <v>2461</v>
      </c>
      <c r="B534" s="613" t="s">
        <v>175</v>
      </c>
      <c r="C534" s="235" t="s">
        <v>193</v>
      </c>
      <c r="D534" s="467" t="s">
        <v>2462</v>
      </c>
      <c r="E534" s="238"/>
      <c r="F534" s="292">
        <f>F535</f>
        <v>350.70000000000005</v>
      </c>
      <c r="G534" s="292">
        <f>G535</f>
        <v>287.60000000000002</v>
      </c>
      <c r="H534" s="292">
        <f>H535</f>
        <v>0</v>
      </c>
      <c r="I534" s="475"/>
      <c r="J534" s="292">
        <f>J535</f>
        <v>0</v>
      </c>
      <c r="K534" s="475"/>
      <c r="L534" s="465"/>
      <c r="N534" s="465"/>
      <c r="O534" s="465"/>
    </row>
    <row r="535" spans="1:15" s="513" customFormat="1" x14ac:dyDescent="0.25">
      <c r="A535" s="514" t="s">
        <v>1781</v>
      </c>
      <c r="B535" s="613" t="s">
        <v>175</v>
      </c>
      <c r="C535" s="235" t="s">
        <v>193</v>
      </c>
      <c r="D535" s="467" t="s">
        <v>2462</v>
      </c>
      <c r="E535" s="713">
        <v>200</v>
      </c>
      <c r="F535" s="292">
        <f>F536</f>
        <v>350.70000000000005</v>
      </c>
      <c r="G535" s="292">
        <f>G536</f>
        <v>287.60000000000002</v>
      </c>
      <c r="H535" s="475">
        <v>0</v>
      </c>
      <c r="I535" s="475"/>
      <c r="J535" s="475">
        <v>0</v>
      </c>
      <c r="K535" s="475"/>
      <c r="L535" s="465"/>
      <c r="N535" s="465"/>
      <c r="O535" s="465"/>
    </row>
    <row r="536" spans="1:15" s="513" customFormat="1" ht="31.5" x14ac:dyDescent="0.25">
      <c r="A536" s="514" t="s">
        <v>1273</v>
      </c>
      <c r="B536" s="613" t="s">
        <v>175</v>
      </c>
      <c r="C536" s="235" t="s">
        <v>193</v>
      </c>
      <c r="D536" s="467" t="s">
        <v>2462</v>
      </c>
      <c r="E536" s="713">
        <v>240</v>
      </c>
      <c r="F536" s="292">
        <f>'ведом. 2021-2023'!AD1004</f>
        <v>350.70000000000005</v>
      </c>
      <c r="G536" s="475">
        <v>287.60000000000002</v>
      </c>
      <c r="H536" s="475">
        <v>0</v>
      </c>
      <c r="I536" s="475"/>
      <c r="J536" s="475">
        <v>0</v>
      </c>
      <c r="K536" s="475"/>
      <c r="L536" s="465"/>
      <c r="N536" s="465"/>
      <c r="O536" s="465"/>
    </row>
    <row r="537" spans="1:15" s="513" customFormat="1" ht="47.25" x14ac:dyDescent="0.25">
      <c r="A537" s="823" t="s">
        <v>2463</v>
      </c>
      <c r="B537" s="613" t="s">
        <v>175</v>
      </c>
      <c r="C537" s="235" t="s">
        <v>193</v>
      </c>
      <c r="D537" s="467" t="s">
        <v>2464</v>
      </c>
      <c r="E537" s="238"/>
      <c r="F537" s="292">
        <f>F538</f>
        <v>219</v>
      </c>
      <c r="G537" s="292">
        <f>G538</f>
        <v>179.6</v>
      </c>
      <c r="H537" s="292">
        <f t="shared" ref="H537:J538" si="108">H538</f>
        <v>0</v>
      </c>
      <c r="I537" s="475"/>
      <c r="J537" s="292">
        <f t="shared" si="108"/>
        <v>0</v>
      </c>
      <c r="K537" s="475"/>
      <c r="L537" s="465"/>
      <c r="N537" s="465"/>
      <c r="O537" s="465"/>
    </row>
    <row r="538" spans="1:15" s="513" customFormat="1" x14ac:dyDescent="0.25">
      <c r="A538" s="514" t="s">
        <v>1781</v>
      </c>
      <c r="B538" s="613" t="s">
        <v>175</v>
      </c>
      <c r="C538" s="235" t="s">
        <v>193</v>
      </c>
      <c r="D538" s="467" t="s">
        <v>2464</v>
      </c>
      <c r="E538" s="713">
        <v>200</v>
      </c>
      <c r="F538" s="292">
        <f>F539</f>
        <v>219</v>
      </c>
      <c r="G538" s="292">
        <f>G539</f>
        <v>179.6</v>
      </c>
      <c r="H538" s="292">
        <f t="shared" si="108"/>
        <v>0</v>
      </c>
      <c r="I538" s="475"/>
      <c r="J538" s="292">
        <f t="shared" si="108"/>
        <v>0</v>
      </c>
      <c r="K538" s="475"/>
      <c r="L538" s="465"/>
      <c r="N538" s="465"/>
      <c r="O538" s="465"/>
    </row>
    <row r="539" spans="1:15" s="513" customFormat="1" ht="31.5" x14ac:dyDescent="0.25">
      <c r="A539" s="514" t="s">
        <v>1273</v>
      </c>
      <c r="B539" s="613" t="s">
        <v>175</v>
      </c>
      <c r="C539" s="235" t="s">
        <v>193</v>
      </c>
      <c r="D539" s="467" t="s">
        <v>2464</v>
      </c>
      <c r="E539" s="713">
        <v>240</v>
      </c>
      <c r="F539" s="292">
        <f>'ведом. 2021-2023'!AD1007</f>
        <v>219</v>
      </c>
      <c r="G539" s="475">
        <v>179.6</v>
      </c>
      <c r="H539" s="475">
        <v>0</v>
      </c>
      <c r="I539" s="475"/>
      <c r="J539" s="475">
        <v>0</v>
      </c>
      <c r="K539" s="475"/>
      <c r="L539" s="465"/>
      <c r="N539" s="465"/>
      <c r="O539" s="465"/>
    </row>
    <row r="540" spans="1:15" s="513" customFormat="1" ht="63" x14ac:dyDescent="0.25">
      <c r="A540" s="715" t="s">
        <v>2465</v>
      </c>
      <c r="B540" s="613" t="s">
        <v>175</v>
      </c>
      <c r="C540" s="235" t="s">
        <v>193</v>
      </c>
      <c r="D540" s="467" t="s">
        <v>2466</v>
      </c>
      <c r="E540" s="238"/>
      <c r="F540" s="292">
        <f>F541</f>
        <v>702.7</v>
      </c>
      <c r="G540" s="292">
        <f>G541</f>
        <v>576.20000000000005</v>
      </c>
      <c r="H540" s="292">
        <f>H541</f>
        <v>0</v>
      </c>
      <c r="I540" s="475"/>
      <c r="J540" s="292">
        <f>J541</f>
        <v>0</v>
      </c>
      <c r="K540" s="475"/>
      <c r="L540" s="465"/>
      <c r="N540" s="465"/>
      <c r="O540" s="465"/>
    </row>
    <row r="541" spans="1:15" s="513" customFormat="1" x14ac:dyDescent="0.25">
      <c r="A541" s="514" t="s">
        <v>1781</v>
      </c>
      <c r="B541" s="613" t="s">
        <v>175</v>
      </c>
      <c r="C541" s="235" t="s">
        <v>193</v>
      </c>
      <c r="D541" s="467" t="s">
        <v>2466</v>
      </c>
      <c r="E541" s="713">
        <v>200</v>
      </c>
      <c r="F541" s="292">
        <f>F542</f>
        <v>702.7</v>
      </c>
      <c r="G541" s="292">
        <f>G542</f>
        <v>576.20000000000005</v>
      </c>
      <c r="H541" s="475">
        <v>0</v>
      </c>
      <c r="I541" s="475"/>
      <c r="J541" s="475">
        <v>0</v>
      </c>
      <c r="K541" s="475"/>
      <c r="L541" s="465"/>
      <c r="N541" s="465"/>
      <c r="O541" s="465"/>
    </row>
    <row r="542" spans="1:15" s="513" customFormat="1" ht="31.5" x14ac:dyDescent="0.25">
      <c r="A542" s="514" t="s">
        <v>1273</v>
      </c>
      <c r="B542" s="613" t="s">
        <v>175</v>
      </c>
      <c r="C542" s="235" t="s">
        <v>193</v>
      </c>
      <c r="D542" s="467" t="s">
        <v>2466</v>
      </c>
      <c r="E542" s="713">
        <v>240</v>
      </c>
      <c r="F542" s="292">
        <f>'ведом. 2021-2023'!AD1010</f>
        <v>702.7</v>
      </c>
      <c r="G542" s="475">
        <v>576.20000000000005</v>
      </c>
      <c r="H542" s="475">
        <v>0</v>
      </c>
      <c r="I542" s="475"/>
      <c r="J542" s="475">
        <v>0</v>
      </c>
      <c r="K542" s="475"/>
      <c r="L542" s="465"/>
      <c r="N542" s="465"/>
      <c r="O542" s="465"/>
    </row>
    <row r="543" spans="1:15" s="513" customFormat="1" ht="31.5" x14ac:dyDescent="0.25">
      <c r="A543" s="715" t="s">
        <v>2467</v>
      </c>
      <c r="B543" s="613" t="s">
        <v>175</v>
      </c>
      <c r="C543" s="235" t="s">
        <v>193</v>
      </c>
      <c r="D543" s="467" t="s">
        <v>2468</v>
      </c>
      <c r="E543" s="238"/>
      <c r="F543" s="292">
        <f>F544</f>
        <v>202.7</v>
      </c>
      <c r="G543" s="292">
        <f>G544</f>
        <v>166.2</v>
      </c>
      <c r="H543" s="292">
        <f t="shared" ref="H543:J544" si="109">H544</f>
        <v>0</v>
      </c>
      <c r="I543" s="475"/>
      <c r="J543" s="292">
        <f t="shared" si="109"/>
        <v>0</v>
      </c>
      <c r="K543" s="475"/>
      <c r="L543" s="465"/>
      <c r="N543" s="465"/>
      <c r="O543" s="465"/>
    </row>
    <row r="544" spans="1:15" s="513" customFormat="1" x14ac:dyDescent="0.25">
      <c r="A544" s="514" t="s">
        <v>1781</v>
      </c>
      <c r="B544" s="613" t="s">
        <v>175</v>
      </c>
      <c r="C544" s="235" t="s">
        <v>193</v>
      </c>
      <c r="D544" s="467" t="s">
        <v>2468</v>
      </c>
      <c r="E544" s="713">
        <v>200</v>
      </c>
      <c r="F544" s="292">
        <f>F545</f>
        <v>202.7</v>
      </c>
      <c r="G544" s="292">
        <f>G545</f>
        <v>166.2</v>
      </c>
      <c r="H544" s="292">
        <f t="shared" si="109"/>
        <v>0</v>
      </c>
      <c r="I544" s="475"/>
      <c r="J544" s="292">
        <f t="shared" si="109"/>
        <v>0</v>
      </c>
      <c r="K544" s="475"/>
      <c r="L544" s="465"/>
      <c r="N544" s="465"/>
      <c r="O544" s="465"/>
    </row>
    <row r="545" spans="1:15" s="513" customFormat="1" ht="31.5" x14ac:dyDescent="0.25">
      <c r="A545" s="514" t="s">
        <v>1273</v>
      </c>
      <c r="B545" s="613" t="s">
        <v>175</v>
      </c>
      <c r="C545" s="235" t="s">
        <v>193</v>
      </c>
      <c r="D545" s="467" t="s">
        <v>2468</v>
      </c>
      <c r="E545" s="713">
        <v>240</v>
      </c>
      <c r="F545" s="292">
        <f>'ведом. 2021-2023'!AD1013</f>
        <v>202.7</v>
      </c>
      <c r="G545" s="475">
        <v>166.2</v>
      </c>
      <c r="H545" s="475">
        <v>0</v>
      </c>
      <c r="I545" s="475"/>
      <c r="J545" s="475">
        <v>0</v>
      </c>
      <c r="K545" s="475"/>
      <c r="L545" s="465"/>
      <c r="M545" s="825"/>
      <c r="N545" s="465"/>
      <c r="O545" s="465"/>
    </row>
    <row r="546" spans="1:15" s="513" customFormat="1" ht="47.25" x14ac:dyDescent="0.25">
      <c r="A546" s="715" t="s">
        <v>2379</v>
      </c>
      <c r="B546" s="613" t="s">
        <v>175</v>
      </c>
      <c r="C546" s="235" t="s">
        <v>193</v>
      </c>
      <c r="D546" s="467" t="s">
        <v>2380</v>
      </c>
      <c r="E546" s="238"/>
      <c r="F546" s="292">
        <f>F547</f>
        <v>2439</v>
      </c>
      <c r="G546" s="292">
        <f>G547</f>
        <v>2000</v>
      </c>
      <c r="H546" s="292">
        <f t="shared" ref="H546:J547" si="110">H547</f>
        <v>0</v>
      </c>
      <c r="I546" s="475"/>
      <c r="J546" s="292">
        <f t="shared" si="110"/>
        <v>0</v>
      </c>
      <c r="K546" s="475"/>
      <c r="L546" s="465"/>
      <c r="N546" s="465"/>
      <c r="O546" s="465"/>
    </row>
    <row r="547" spans="1:15" s="513" customFormat="1" x14ac:dyDescent="0.25">
      <c r="A547" s="514" t="s">
        <v>1781</v>
      </c>
      <c r="B547" s="613" t="s">
        <v>175</v>
      </c>
      <c r="C547" s="235" t="s">
        <v>193</v>
      </c>
      <c r="D547" s="467" t="s">
        <v>2380</v>
      </c>
      <c r="E547" s="713">
        <v>200</v>
      </c>
      <c r="F547" s="292">
        <f>F548</f>
        <v>2439</v>
      </c>
      <c r="G547" s="292">
        <f>G548</f>
        <v>2000</v>
      </c>
      <c r="H547" s="292">
        <f t="shared" si="110"/>
        <v>0</v>
      </c>
      <c r="I547" s="475"/>
      <c r="J547" s="292">
        <f t="shared" si="110"/>
        <v>0</v>
      </c>
      <c r="K547" s="475"/>
      <c r="L547" s="465"/>
      <c r="N547" s="465"/>
      <c r="O547" s="465"/>
    </row>
    <row r="548" spans="1:15" s="513" customFormat="1" ht="31.5" x14ac:dyDescent="0.25">
      <c r="A548" s="514" t="s">
        <v>1273</v>
      </c>
      <c r="B548" s="613" t="s">
        <v>175</v>
      </c>
      <c r="C548" s="235" t="s">
        <v>193</v>
      </c>
      <c r="D548" s="467" t="s">
        <v>2380</v>
      </c>
      <c r="E548" s="713">
        <v>240</v>
      </c>
      <c r="F548" s="292">
        <f>'ведом. 2021-2023'!AD1016</f>
        <v>2439</v>
      </c>
      <c r="G548" s="475">
        <v>2000</v>
      </c>
      <c r="H548" s="475">
        <v>0</v>
      </c>
      <c r="I548" s="475"/>
      <c r="J548" s="475">
        <v>0</v>
      </c>
      <c r="K548" s="475"/>
      <c r="L548" s="465"/>
      <c r="N548" s="465"/>
      <c r="O548" s="465"/>
    </row>
    <row r="549" spans="1:15" s="441" customFormat="1" x14ac:dyDescent="0.25">
      <c r="A549" s="520" t="s">
        <v>1972</v>
      </c>
      <c r="B549" s="613" t="s">
        <v>175</v>
      </c>
      <c r="C549" s="235" t="s">
        <v>193</v>
      </c>
      <c r="D549" s="442" t="s">
        <v>1973</v>
      </c>
      <c r="E549" s="579"/>
      <c r="F549" s="740">
        <f>F550+F571</f>
        <v>103264.09999999999</v>
      </c>
      <c r="G549" s="477">
        <f>G550+G571</f>
        <v>50853.4</v>
      </c>
      <c r="H549" s="477">
        <f>H550+H571</f>
        <v>28075.7</v>
      </c>
      <c r="I549" s="477"/>
      <c r="J549" s="477">
        <f>J550+J571</f>
        <v>24691.4</v>
      </c>
      <c r="K549" s="477">
        <f>K550+K571</f>
        <v>2050</v>
      </c>
      <c r="L549" s="465"/>
      <c r="N549" s="465"/>
      <c r="O549" s="465"/>
    </row>
    <row r="550" spans="1:15" s="513" customFormat="1" x14ac:dyDescent="0.25">
      <c r="A550" s="548" t="s">
        <v>2340</v>
      </c>
      <c r="B550" s="613" t="s">
        <v>175</v>
      </c>
      <c r="C550" s="235" t="s">
        <v>193</v>
      </c>
      <c r="D550" s="442" t="s">
        <v>2341</v>
      </c>
      <c r="E550" s="579"/>
      <c r="F550" s="740">
        <f>F564+F551</f>
        <v>72402.7</v>
      </c>
      <c r="G550" s="477">
        <f>G564+G551</f>
        <v>50853.4</v>
      </c>
      <c r="H550" s="477">
        <f>H564+H551</f>
        <v>9250</v>
      </c>
      <c r="I550" s="477"/>
      <c r="J550" s="477">
        <f>J564+J551</f>
        <v>2500</v>
      </c>
      <c r="K550" s="477">
        <f>K564+K551</f>
        <v>2050</v>
      </c>
      <c r="L550" s="465"/>
      <c r="N550" s="465"/>
      <c r="O550" s="465"/>
    </row>
    <row r="551" spans="1:15" s="513" customFormat="1" ht="31.5" x14ac:dyDescent="0.25">
      <c r="A551" s="548" t="s">
        <v>2407</v>
      </c>
      <c r="B551" s="613" t="s">
        <v>175</v>
      </c>
      <c r="C551" s="235" t="s">
        <v>193</v>
      </c>
      <c r="D551" s="442" t="s">
        <v>2408</v>
      </c>
      <c r="E551" s="579"/>
      <c r="F551" s="740">
        <f>F555+F558+F561+F552</f>
        <v>11460.4</v>
      </c>
      <c r="G551" s="740">
        <f t="shared" ref="G551:J551" si="111">G555+G558+G561+G552</f>
        <v>70</v>
      </c>
      <c r="H551" s="740">
        <f t="shared" si="111"/>
        <v>9250</v>
      </c>
      <c r="I551" s="740"/>
      <c r="J551" s="740">
        <f t="shared" si="111"/>
        <v>0</v>
      </c>
      <c r="K551" s="740"/>
      <c r="L551" s="465"/>
      <c r="N551" s="465"/>
      <c r="O551" s="465"/>
    </row>
    <row r="552" spans="1:15" s="513" customFormat="1" x14ac:dyDescent="0.25">
      <c r="A552" s="548" t="s">
        <v>2481</v>
      </c>
      <c r="B552" s="235" t="s">
        <v>175</v>
      </c>
      <c r="C552" s="235" t="s">
        <v>193</v>
      </c>
      <c r="D552" s="442" t="s">
        <v>2482</v>
      </c>
      <c r="E552" s="579"/>
      <c r="F552" s="740">
        <f>F553</f>
        <v>0</v>
      </c>
      <c r="G552" s="740"/>
      <c r="H552" s="740">
        <f t="shared" ref="H552:J552" si="112">H553</f>
        <v>9250</v>
      </c>
      <c r="I552" s="740"/>
      <c r="J552" s="740">
        <f t="shared" si="112"/>
        <v>0</v>
      </c>
      <c r="K552" s="740"/>
      <c r="L552" s="465"/>
      <c r="N552" s="465"/>
      <c r="O552" s="465"/>
    </row>
    <row r="553" spans="1:15" s="513" customFormat="1" x14ac:dyDescent="0.25">
      <c r="A553" s="519" t="s">
        <v>1781</v>
      </c>
      <c r="B553" s="235" t="s">
        <v>175</v>
      </c>
      <c r="C553" s="235" t="s">
        <v>193</v>
      </c>
      <c r="D553" s="442" t="s">
        <v>2482</v>
      </c>
      <c r="E553" s="579" t="s">
        <v>821</v>
      </c>
      <c r="F553" s="740">
        <f>F554</f>
        <v>0</v>
      </c>
      <c r="G553" s="740"/>
      <c r="H553" s="740">
        <f t="shared" ref="H553:J553" si="113">H554</f>
        <v>9250</v>
      </c>
      <c r="I553" s="740"/>
      <c r="J553" s="740">
        <f t="shared" si="113"/>
        <v>0</v>
      </c>
      <c r="K553" s="740"/>
      <c r="L553" s="465"/>
      <c r="N553" s="465"/>
      <c r="O553" s="465"/>
    </row>
    <row r="554" spans="1:15" s="513" customFormat="1" ht="31.5" x14ac:dyDescent="0.25">
      <c r="A554" s="519" t="s">
        <v>1273</v>
      </c>
      <c r="B554" s="235" t="s">
        <v>175</v>
      </c>
      <c r="C554" s="235" t="s">
        <v>193</v>
      </c>
      <c r="D554" s="442" t="s">
        <v>2482</v>
      </c>
      <c r="E554" s="579" t="s">
        <v>1479</v>
      </c>
      <c r="F554" s="740">
        <f>'ведом. 2021-2023'!AD341</f>
        <v>0</v>
      </c>
      <c r="G554" s="740"/>
      <c r="H554" s="740">
        <f>'ведом. 2021-2023'!AE341</f>
        <v>9250</v>
      </c>
      <c r="I554" s="740"/>
      <c r="J554" s="740">
        <f>'ведом. 2021-2023'!AF341</f>
        <v>0</v>
      </c>
      <c r="K554" s="740"/>
      <c r="L554" s="465"/>
      <c r="N554" s="465"/>
      <c r="O554" s="465"/>
    </row>
    <row r="555" spans="1:15" s="513" customFormat="1" x14ac:dyDescent="0.25">
      <c r="A555" s="548" t="s">
        <v>2420</v>
      </c>
      <c r="B555" s="613" t="s">
        <v>175</v>
      </c>
      <c r="C555" s="235" t="s">
        <v>193</v>
      </c>
      <c r="D555" s="442" t="s">
        <v>2419</v>
      </c>
      <c r="E555" s="579"/>
      <c r="F555" s="740">
        <f>F556</f>
        <v>5009.2</v>
      </c>
      <c r="G555" s="477"/>
      <c r="H555" s="477">
        <f t="shared" ref="H555:J555" si="114">H556</f>
        <v>0</v>
      </c>
      <c r="I555" s="477"/>
      <c r="J555" s="477">
        <f t="shared" si="114"/>
        <v>0</v>
      </c>
      <c r="K555" s="477"/>
      <c r="L555" s="465"/>
      <c r="N555" s="465"/>
      <c r="O555" s="465"/>
    </row>
    <row r="556" spans="1:15" s="513" customFormat="1" x14ac:dyDescent="0.25">
      <c r="A556" s="519" t="s">
        <v>1781</v>
      </c>
      <c r="B556" s="613" t="s">
        <v>175</v>
      </c>
      <c r="C556" s="235" t="s">
        <v>193</v>
      </c>
      <c r="D556" s="442" t="s">
        <v>2419</v>
      </c>
      <c r="E556" s="579" t="s">
        <v>821</v>
      </c>
      <c r="F556" s="740">
        <f>F557</f>
        <v>5009.2</v>
      </c>
      <c r="G556" s="477"/>
      <c r="H556" s="477">
        <f>H557</f>
        <v>0</v>
      </c>
      <c r="I556" s="477"/>
      <c r="J556" s="477">
        <f>J557</f>
        <v>0</v>
      </c>
      <c r="K556" s="477"/>
      <c r="L556" s="465"/>
      <c r="N556" s="465"/>
      <c r="O556" s="465"/>
    </row>
    <row r="557" spans="1:15" s="513" customFormat="1" ht="31.5" x14ac:dyDescent="0.25">
      <c r="A557" s="519" t="s">
        <v>1273</v>
      </c>
      <c r="B557" s="613" t="s">
        <v>175</v>
      </c>
      <c r="C557" s="235" t="s">
        <v>193</v>
      </c>
      <c r="D557" s="442" t="s">
        <v>2419</v>
      </c>
      <c r="E557" s="579" t="s">
        <v>1479</v>
      </c>
      <c r="F557" s="740">
        <f>'ведом. 2021-2023'!AD1022</f>
        <v>5009.2</v>
      </c>
      <c r="G557" s="477"/>
      <c r="H557" s="477">
        <f>'ведом. 2021-2023'!AE1022</f>
        <v>0</v>
      </c>
      <c r="I557" s="477"/>
      <c r="J557" s="477">
        <f>'ведом. 2021-2023'!AF1022</f>
        <v>0</v>
      </c>
      <c r="K557" s="477"/>
      <c r="L557" s="465"/>
      <c r="N557" s="465"/>
      <c r="O557" s="465"/>
    </row>
    <row r="558" spans="1:15" s="513" customFormat="1" ht="31.5" x14ac:dyDescent="0.25">
      <c r="A558" s="548" t="s">
        <v>2424</v>
      </c>
      <c r="B558" s="235" t="s">
        <v>175</v>
      </c>
      <c r="C558" s="235" t="s">
        <v>193</v>
      </c>
      <c r="D558" s="442" t="s">
        <v>2425</v>
      </c>
      <c r="E558" s="579"/>
      <c r="F558" s="740">
        <f>F559</f>
        <v>6365.7999999999993</v>
      </c>
      <c r="G558" s="740"/>
      <c r="H558" s="740">
        <f t="shared" ref="H558:J558" si="115">H559</f>
        <v>0</v>
      </c>
      <c r="I558" s="740"/>
      <c r="J558" s="740">
        <f t="shared" si="115"/>
        <v>0</v>
      </c>
      <c r="K558" s="740"/>
      <c r="L558" s="465"/>
      <c r="N558" s="465"/>
      <c r="O558" s="465"/>
    </row>
    <row r="559" spans="1:15" s="513" customFormat="1" x14ac:dyDescent="0.25">
      <c r="A559" s="519" t="s">
        <v>1781</v>
      </c>
      <c r="B559" s="235" t="s">
        <v>175</v>
      </c>
      <c r="C559" s="235" t="s">
        <v>193</v>
      </c>
      <c r="D559" s="442" t="s">
        <v>2425</v>
      </c>
      <c r="E559" s="579" t="s">
        <v>821</v>
      </c>
      <c r="F559" s="740">
        <f>F560</f>
        <v>6365.7999999999993</v>
      </c>
      <c r="G559" s="740"/>
      <c r="H559" s="740">
        <f t="shared" ref="H559:J559" si="116">H560</f>
        <v>0</v>
      </c>
      <c r="I559" s="740"/>
      <c r="J559" s="740">
        <f t="shared" si="116"/>
        <v>0</v>
      </c>
      <c r="K559" s="740"/>
      <c r="L559" s="465"/>
      <c r="N559" s="465"/>
      <c r="O559" s="465"/>
    </row>
    <row r="560" spans="1:15" s="513" customFormat="1" ht="31.5" x14ac:dyDescent="0.25">
      <c r="A560" s="519" t="s">
        <v>1273</v>
      </c>
      <c r="B560" s="235" t="s">
        <v>175</v>
      </c>
      <c r="C560" s="235" t="s">
        <v>193</v>
      </c>
      <c r="D560" s="442" t="s">
        <v>2425</v>
      </c>
      <c r="E560" s="579" t="s">
        <v>1479</v>
      </c>
      <c r="F560" s="740">
        <f>'ведом. 2021-2023'!AD1025</f>
        <v>6365.7999999999993</v>
      </c>
      <c r="G560" s="477"/>
      <c r="H560" s="477">
        <f>'ведом. 2021-2023'!AE1025</f>
        <v>0</v>
      </c>
      <c r="I560" s="477"/>
      <c r="J560" s="477">
        <f>'ведом. 2021-2023'!AF1025</f>
        <v>0</v>
      </c>
      <c r="K560" s="477"/>
      <c r="L560" s="465"/>
      <c r="N560" s="465"/>
      <c r="O560" s="465"/>
    </row>
    <row r="561" spans="1:15" s="513" customFormat="1" ht="31.5" x14ac:dyDescent="0.25">
      <c r="A561" s="519" t="s">
        <v>2441</v>
      </c>
      <c r="B561" s="235" t="s">
        <v>175</v>
      </c>
      <c r="C561" s="235" t="s">
        <v>193</v>
      </c>
      <c r="D561" s="442" t="s">
        <v>2440</v>
      </c>
      <c r="E561" s="579"/>
      <c r="F561" s="740">
        <f>F562</f>
        <v>85.4</v>
      </c>
      <c r="G561" s="740">
        <f t="shared" ref="G561:J561" si="117">G562</f>
        <v>70</v>
      </c>
      <c r="H561" s="740">
        <f t="shared" si="117"/>
        <v>0</v>
      </c>
      <c r="I561" s="740"/>
      <c r="J561" s="740">
        <f t="shared" si="117"/>
        <v>0</v>
      </c>
      <c r="K561" s="740"/>
      <c r="L561" s="465"/>
      <c r="N561" s="465"/>
      <c r="O561" s="465"/>
    </row>
    <row r="562" spans="1:15" s="513" customFormat="1" x14ac:dyDescent="0.25">
      <c r="A562" s="519" t="s">
        <v>1781</v>
      </c>
      <c r="B562" s="235" t="s">
        <v>175</v>
      </c>
      <c r="C562" s="235" t="s">
        <v>193</v>
      </c>
      <c r="D562" s="442" t="s">
        <v>2440</v>
      </c>
      <c r="E562" s="579" t="s">
        <v>821</v>
      </c>
      <c r="F562" s="740">
        <f>F563</f>
        <v>85.4</v>
      </c>
      <c r="G562" s="740">
        <f t="shared" ref="G562:J562" si="118">G563</f>
        <v>70</v>
      </c>
      <c r="H562" s="740">
        <f t="shared" si="118"/>
        <v>0</v>
      </c>
      <c r="I562" s="740"/>
      <c r="J562" s="740">
        <f t="shared" si="118"/>
        <v>0</v>
      </c>
      <c r="K562" s="740"/>
      <c r="L562" s="465"/>
      <c r="N562" s="465"/>
      <c r="O562" s="465"/>
    </row>
    <row r="563" spans="1:15" s="513" customFormat="1" ht="31.5" x14ac:dyDescent="0.25">
      <c r="A563" s="519" t="s">
        <v>1273</v>
      </c>
      <c r="B563" s="235" t="s">
        <v>175</v>
      </c>
      <c r="C563" s="235" t="s">
        <v>193</v>
      </c>
      <c r="D563" s="442" t="s">
        <v>2440</v>
      </c>
      <c r="E563" s="579" t="s">
        <v>1479</v>
      </c>
      <c r="F563" s="740">
        <f>'ведом. 2021-2023'!AD1028</f>
        <v>85.4</v>
      </c>
      <c r="G563" s="740">
        <v>70</v>
      </c>
      <c r="H563" s="740">
        <f>'ведом. 2021-2023'!AE1028</f>
        <v>0</v>
      </c>
      <c r="I563" s="740"/>
      <c r="J563" s="740">
        <f>'ведом. 2021-2023'!AF1028</f>
        <v>0</v>
      </c>
      <c r="K563" s="740"/>
      <c r="L563" s="465"/>
      <c r="N563" s="465"/>
      <c r="O563" s="465"/>
    </row>
    <row r="564" spans="1:15" s="513" customFormat="1" x14ac:dyDescent="0.25">
      <c r="A564" s="529" t="s">
        <v>2342</v>
      </c>
      <c r="B564" s="613" t="s">
        <v>175</v>
      </c>
      <c r="C564" s="235" t="s">
        <v>193</v>
      </c>
      <c r="D564" s="442" t="s">
        <v>2345</v>
      </c>
      <c r="E564" s="579"/>
      <c r="F564" s="740">
        <f>F565+F568</f>
        <v>60942.3</v>
      </c>
      <c r="G564" s="477">
        <f>G565+G568</f>
        <v>50783.4</v>
      </c>
      <c r="H564" s="477">
        <f>H565+H568</f>
        <v>0</v>
      </c>
      <c r="I564" s="477"/>
      <c r="J564" s="477">
        <f>J565+J568</f>
        <v>2500</v>
      </c>
      <c r="K564" s="477">
        <f>K565+K568</f>
        <v>2050</v>
      </c>
      <c r="L564" s="465"/>
      <c r="N564" s="465"/>
      <c r="O564" s="465"/>
    </row>
    <row r="565" spans="1:15" s="513" customFormat="1" ht="31.5" x14ac:dyDescent="0.25">
      <c r="A565" s="519" t="s">
        <v>2343</v>
      </c>
      <c r="B565" s="613" t="s">
        <v>175</v>
      </c>
      <c r="C565" s="235" t="s">
        <v>193</v>
      </c>
      <c r="D565" s="442" t="s">
        <v>2344</v>
      </c>
      <c r="E565" s="238"/>
      <c r="F565" s="740">
        <f t="shared" ref="F565:H566" si="119">F566</f>
        <v>5500</v>
      </c>
      <c r="G565" s="477">
        <f t="shared" si="119"/>
        <v>5445</v>
      </c>
      <c r="H565" s="477">
        <f t="shared" si="119"/>
        <v>0</v>
      </c>
      <c r="I565" s="477"/>
      <c r="J565" s="477">
        <f>J566</f>
        <v>0</v>
      </c>
      <c r="K565" s="477"/>
      <c r="L565" s="465"/>
      <c r="N565" s="465"/>
      <c r="O565" s="465"/>
    </row>
    <row r="566" spans="1:15" s="513" customFormat="1" x14ac:dyDescent="0.25">
      <c r="A566" s="519" t="s">
        <v>1781</v>
      </c>
      <c r="B566" s="613" t="s">
        <v>175</v>
      </c>
      <c r="C566" s="235" t="s">
        <v>193</v>
      </c>
      <c r="D566" s="442" t="s">
        <v>2344</v>
      </c>
      <c r="E566" s="579" t="s">
        <v>821</v>
      </c>
      <c r="F566" s="740">
        <f t="shared" si="119"/>
        <v>5500</v>
      </c>
      <c r="G566" s="477">
        <f t="shared" si="119"/>
        <v>5445</v>
      </c>
      <c r="H566" s="477">
        <f t="shared" si="119"/>
        <v>0</v>
      </c>
      <c r="I566" s="477"/>
      <c r="J566" s="477">
        <f>J567</f>
        <v>0</v>
      </c>
      <c r="K566" s="477"/>
      <c r="L566" s="465"/>
      <c r="N566" s="465"/>
      <c r="O566" s="465"/>
    </row>
    <row r="567" spans="1:15" s="513" customFormat="1" ht="31.5" x14ac:dyDescent="0.25">
      <c r="A567" s="519" t="s">
        <v>1273</v>
      </c>
      <c r="B567" s="613" t="s">
        <v>175</v>
      </c>
      <c r="C567" s="235" t="s">
        <v>193</v>
      </c>
      <c r="D567" s="442" t="s">
        <v>2344</v>
      </c>
      <c r="E567" s="579" t="s">
        <v>1479</v>
      </c>
      <c r="F567" s="740">
        <f>'ведом. 2021-2023'!AD1032</f>
        <v>5500</v>
      </c>
      <c r="G567" s="477">
        <f>5500-55</f>
        <v>5445</v>
      </c>
      <c r="H567" s="477">
        <f>'ведом. 2021-2023'!AE1032</f>
        <v>0</v>
      </c>
      <c r="I567" s="477"/>
      <c r="J567" s="477">
        <f>'ведом. 2021-2023'!AF1032</f>
        <v>0</v>
      </c>
      <c r="K567" s="477"/>
      <c r="L567" s="465"/>
      <c r="N567" s="465"/>
      <c r="O567" s="465"/>
    </row>
    <row r="568" spans="1:15" s="513" customFormat="1" ht="31.5" x14ac:dyDescent="0.25">
      <c r="A568" s="529" t="s">
        <v>2430</v>
      </c>
      <c r="B568" s="613" t="s">
        <v>175</v>
      </c>
      <c r="C568" s="235" t="s">
        <v>193</v>
      </c>
      <c r="D568" s="442" t="s">
        <v>2346</v>
      </c>
      <c r="E568" s="579"/>
      <c r="F568" s="740">
        <f>F569</f>
        <v>55442.3</v>
      </c>
      <c r="G568" s="477">
        <f t="shared" ref="G568:K569" si="120">G569</f>
        <v>45338.400000000001</v>
      </c>
      <c r="H568" s="477">
        <f t="shared" si="120"/>
        <v>0</v>
      </c>
      <c r="I568" s="477"/>
      <c r="J568" s="477">
        <f t="shared" si="120"/>
        <v>2500</v>
      </c>
      <c r="K568" s="477">
        <f t="shared" si="120"/>
        <v>2050</v>
      </c>
      <c r="L568" s="465"/>
      <c r="N568" s="465"/>
      <c r="O568" s="465"/>
    </row>
    <row r="569" spans="1:15" s="513" customFormat="1" x14ac:dyDescent="0.25">
      <c r="A569" s="519" t="s">
        <v>1781</v>
      </c>
      <c r="B569" s="613" t="s">
        <v>175</v>
      </c>
      <c r="C569" s="235" t="s">
        <v>193</v>
      </c>
      <c r="D569" s="442" t="s">
        <v>2346</v>
      </c>
      <c r="E569" s="579" t="s">
        <v>821</v>
      </c>
      <c r="F569" s="740">
        <f>F570</f>
        <v>55442.3</v>
      </c>
      <c r="G569" s="477">
        <f t="shared" si="120"/>
        <v>45338.400000000001</v>
      </c>
      <c r="H569" s="477">
        <f t="shared" si="120"/>
        <v>0</v>
      </c>
      <c r="I569" s="477"/>
      <c r="J569" s="477">
        <f t="shared" si="120"/>
        <v>2500</v>
      </c>
      <c r="K569" s="477">
        <f t="shared" si="120"/>
        <v>2050</v>
      </c>
      <c r="L569" s="465"/>
      <c r="N569" s="465"/>
      <c r="O569" s="465"/>
    </row>
    <row r="570" spans="1:15" s="513" customFormat="1" ht="31.5" x14ac:dyDescent="0.25">
      <c r="A570" s="519" t="s">
        <v>1273</v>
      </c>
      <c r="B570" s="613" t="s">
        <v>175</v>
      </c>
      <c r="C570" s="235" t="s">
        <v>193</v>
      </c>
      <c r="D570" s="442" t="s">
        <v>2346</v>
      </c>
      <c r="E570" s="579" t="s">
        <v>1479</v>
      </c>
      <c r="F570" s="740">
        <f>'ведом. 2021-2023'!AD1035</f>
        <v>55442.3</v>
      </c>
      <c r="G570" s="477">
        <f>46028.8-690.4</f>
        <v>45338.400000000001</v>
      </c>
      <c r="H570" s="477">
        <f>'ведом. 2021-2023'!AE1035</f>
        <v>0</v>
      </c>
      <c r="I570" s="477"/>
      <c r="J570" s="477">
        <f>'ведом. 2021-2023'!AF1035</f>
        <v>2500</v>
      </c>
      <c r="K570" s="477">
        <v>2050</v>
      </c>
      <c r="L570" s="465"/>
      <c r="N570" s="465"/>
      <c r="O570" s="465"/>
    </row>
    <row r="571" spans="1:15" s="441" customFormat="1" x14ac:dyDescent="0.25">
      <c r="A571" s="520" t="s">
        <v>1974</v>
      </c>
      <c r="B571" s="613" t="s">
        <v>175</v>
      </c>
      <c r="C571" s="235" t="s">
        <v>193</v>
      </c>
      <c r="D571" s="442" t="s">
        <v>1975</v>
      </c>
      <c r="E571" s="579"/>
      <c r="F571" s="740">
        <f>F572</f>
        <v>30861.399999999994</v>
      </c>
      <c r="G571" s="477"/>
      <c r="H571" s="477">
        <f>H572</f>
        <v>18825.7</v>
      </c>
      <c r="I571" s="477"/>
      <c r="J571" s="477">
        <f>J572</f>
        <v>22191.4</v>
      </c>
      <c r="K571" s="479"/>
      <c r="L571" s="465"/>
      <c r="N571" s="465"/>
      <c r="O571" s="465"/>
    </row>
    <row r="572" spans="1:15" s="441" customFormat="1" ht="31.5" x14ac:dyDescent="0.25">
      <c r="A572" s="529" t="s">
        <v>2236</v>
      </c>
      <c r="B572" s="613" t="s">
        <v>175</v>
      </c>
      <c r="C572" s="235" t="s">
        <v>193</v>
      </c>
      <c r="D572" s="442" t="s">
        <v>1976</v>
      </c>
      <c r="E572" s="238"/>
      <c r="F572" s="740">
        <f>F573+F580</f>
        <v>30861.399999999994</v>
      </c>
      <c r="G572" s="477"/>
      <c r="H572" s="477">
        <f>H573+H580</f>
        <v>18825.7</v>
      </c>
      <c r="I572" s="477"/>
      <c r="J572" s="477">
        <f>J573+J580</f>
        <v>22191.4</v>
      </c>
      <c r="K572" s="479"/>
      <c r="L572" s="465"/>
      <c r="N572" s="465"/>
      <c r="O572" s="465"/>
    </row>
    <row r="573" spans="1:15" s="441" customFormat="1" x14ac:dyDescent="0.25">
      <c r="A573" s="521" t="s">
        <v>1977</v>
      </c>
      <c r="B573" s="613" t="s">
        <v>175</v>
      </c>
      <c r="C573" s="235" t="s">
        <v>193</v>
      </c>
      <c r="D573" s="442" t="s">
        <v>1978</v>
      </c>
      <c r="E573" s="238"/>
      <c r="F573" s="739">
        <f>F574+F576+F578</f>
        <v>24150.699999999997</v>
      </c>
      <c r="G573" s="739"/>
      <c r="H573" s="739">
        <f t="shared" ref="H573:J573" si="121">H574+H576+H578</f>
        <v>12115</v>
      </c>
      <c r="I573" s="739"/>
      <c r="J573" s="739">
        <f t="shared" si="121"/>
        <v>15480.7</v>
      </c>
      <c r="K573" s="480"/>
      <c r="L573" s="465"/>
      <c r="N573" s="465"/>
      <c r="O573" s="465"/>
    </row>
    <row r="574" spans="1:15" s="441" customFormat="1" x14ac:dyDescent="0.25">
      <c r="A574" s="523" t="s">
        <v>1781</v>
      </c>
      <c r="B574" s="613" t="s">
        <v>175</v>
      </c>
      <c r="C574" s="235" t="s">
        <v>193</v>
      </c>
      <c r="D574" s="442" t="s">
        <v>1978</v>
      </c>
      <c r="E574" s="576">
        <v>200</v>
      </c>
      <c r="F574" s="740">
        <f>F575</f>
        <v>23828.6</v>
      </c>
      <c r="G574" s="481"/>
      <c r="H574" s="477">
        <f>H575</f>
        <v>12115</v>
      </c>
      <c r="I574" s="481"/>
      <c r="J574" s="477">
        <f>J575</f>
        <v>15480.7</v>
      </c>
      <c r="K574" s="481"/>
      <c r="L574" s="465"/>
      <c r="N574" s="465"/>
      <c r="O574" s="465"/>
    </row>
    <row r="575" spans="1:15" s="441" customFormat="1" ht="31.5" x14ac:dyDescent="0.25">
      <c r="A575" s="523" t="s">
        <v>1273</v>
      </c>
      <c r="B575" s="613" t="s">
        <v>175</v>
      </c>
      <c r="C575" s="235" t="s">
        <v>193</v>
      </c>
      <c r="D575" s="442" t="s">
        <v>1978</v>
      </c>
      <c r="E575" s="238">
        <v>240</v>
      </c>
      <c r="F575" s="740">
        <f>'ведом. 2021-2023'!AD1040</f>
        <v>23828.6</v>
      </c>
      <c r="G575" s="481"/>
      <c r="H575" s="477">
        <f>'ведом. 2021-2023'!AE1040</f>
        <v>12115</v>
      </c>
      <c r="I575" s="481"/>
      <c r="J575" s="477">
        <f>'ведом. 2021-2023'!AF1040</f>
        <v>15480.7</v>
      </c>
      <c r="K575" s="481"/>
      <c r="L575" s="465"/>
      <c r="N575" s="465"/>
      <c r="O575" s="465"/>
    </row>
    <row r="576" spans="1:15" s="513" customFormat="1" ht="31.5" x14ac:dyDescent="0.25">
      <c r="A576" s="519" t="s">
        <v>1342</v>
      </c>
      <c r="B576" s="613" t="s">
        <v>175</v>
      </c>
      <c r="C576" s="235" t="s">
        <v>193</v>
      </c>
      <c r="D576" s="442" t="s">
        <v>1978</v>
      </c>
      <c r="E576" s="238">
        <v>600</v>
      </c>
      <c r="F576" s="740">
        <f>F577</f>
        <v>300</v>
      </c>
      <c r="G576" s="481"/>
      <c r="H576" s="477">
        <f>H577</f>
        <v>0</v>
      </c>
      <c r="I576" s="481"/>
      <c r="J576" s="477">
        <f>J577</f>
        <v>0</v>
      </c>
      <c r="K576" s="481"/>
      <c r="L576" s="465"/>
      <c r="N576" s="465"/>
      <c r="O576" s="465"/>
    </row>
    <row r="577" spans="1:15" s="513" customFormat="1" x14ac:dyDescent="0.25">
      <c r="A577" s="519" t="s">
        <v>1343</v>
      </c>
      <c r="B577" s="613" t="s">
        <v>175</v>
      </c>
      <c r="C577" s="235" t="s">
        <v>193</v>
      </c>
      <c r="D577" s="442" t="s">
        <v>1978</v>
      </c>
      <c r="E577" s="238">
        <v>610</v>
      </c>
      <c r="F577" s="740">
        <f>'ведом. 2021-2023'!AD346</f>
        <v>300</v>
      </c>
      <c r="G577" s="481"/>
      <c r="H577" s="477">
        <v>0</v>
      </c>
      <c r="I577" s="481"/>
      <c r="J577" s="477">
        <v>0</v>
      </c>
      <c r="K577" s="481"/>
      <c r="L577" s="465"/>
      <c r="N577" s="465"/>
      <c r="O577" s="465"/>
    </row>
    <row r="578" spans="1:15" s="513" customFormat="1" x14ac:dyDescent="0.25">
      <c r="A578" s="519" t="s">
        <v>923</v>
      </c>
      <c r="B578" s="613" t="s">
        <v>175</v>
      </c>
      <c r="C578" s="235" t="s">
        <v>193</v>
      </c>
      <c r="D578" s="442" t="s">
        <v>1978</v>
      </c>
      <c r="E578" s="238">
        <v>800</v>
      </c>
      <c r="F578" s="740">
        <f>F579</f>
        <v>22.099999999999994</v>
      </c>
      <c r="G578" s="740"/>
      <c r="H578" s="740">
        <f t="shared" ref="H578:J578" si="122">H579</f>
        <v>0</v>
      </c>
      <c r="I578" s="740"/>
      <c r="J578" s="740">
        <f t="shared" si="122"/>
        <v>0</v>
      </c>
      <c r="K578" s="481"/>
      <c r="L578" s="465"/>
      <c r="N578" s="465"/>
      <c r="O578" s="465"/>
    </row>
    <row r="579" spans="1:15" s="513" customFormat="1" x14ac:dyDescent="0.25">
      <c r="A579" s="519" t="s">
        <v>1810</v>
      </c>
      <c r="B579" s="613" t="s">
        <v>175</v>
      </c>
      <c r="C579" s="235" t="s">
        <v>193</v>
      </c>
      <c r="D579" s="442" t="s">
        <v>1978</v>
      </c>
      <c r="E579" s="238">
        <v>830</v>
      </c>
      <c r="F579" s="740">
        <f>'ведом. 2021-2023'!AD1042</f>
        <v>22.099999999999994</v>
      </c>
      <c r="G579" s="481"/>
      <c r="H579" s="477">
        <f>'ведом. 2021-2023'!AE1042</f>
        <v>0</v>
      </c>
      <c r="I579" s="481"/>
      <c r="J579" s="477">
        <f>'ведом. 2021-2023'!AF1042</f>
        <v>0</v>
      </c>
      <c r="K579" s="481"/>
      <c r="L579" s="465"/>
      <c r="N579" s="465"/>
      <c r="O579" s="465"/>
    </row>
    <row r="580" spans="1:15" s="441" customFormat="1" ht="31.5" x14ac:dyDescent="0.25">
      <c r="A580" s="521" t="s">
        <v>2141</v>
      </c>
      <c r="B580" s="613" t="s">
        <v>175</v>
      </c>
      <c r="C580" s="235" t="s">
        <v>193</v>
      </c>
      <c r="D580" s="442" t="s">
        <v>2142</v>
      </c>
      <c r="E580" s="238"/>
      <c r="F580" s="740">
        <f>F581</f>
        <v>6710.6999999999989</v>
      </c>
      <c r="G580" s="481"/>
      <c r="H580" s="477">
        <f>H581</f>
        <v>6710.7</v>
      </c>
      <c r="I580" s="481"/>
      <c r="J580" s="477">
        <f>J581</f>
        <v>6710.7</v>
      </c>
      <c r="K580" s="481"/>
      <c r="L580" s="465"/>
      <c r="N580" s="465"/>
      <c r="O580" s="465"/>
    </row>
    <row r="581" spans="1:15" s="441" customFormat="1" ht="31.5" x14ac:dyDescent="0.25">
      <c r="A581" s="523" t="s">
        <v>1342</v>
      </c>
      <c r="B581" s="613" t="s">
        <v>175</v>
      </c>
      <c r="C581" s="235" t="s">
        <v>193</v>
      </c>
      <c r="D581" s="442" t="s">
        <v>2142</v>
      </c>
      <c r="E581" s="576">
        <v>600</v>
      </c>
      <c r="F581" s="740">
        <f>F582</f>
        <v>6710.6999999999989</v>
      </c>
      <c r="G581" s="481"/>
      <c r="H581" s="477">
        <f>H582</f>
        <v>6710.7</v>
      </c>
      <c r="I581" s="481"/>
      <c r="J581" s="477">
        <f>J582</f>
        <v>6710.7</v>
      </c>
      <c r="K581" s="481"/>
      <c r="L581" s="465"/>
      <c r="N581" s="465"/>
      <c r="O581" s="465"/>
    </row>
    <row r="582" spans="1:15" s="441" customFormat="1" x14ac:dyDescent="0.25">
      <c r="A582" s="523" t="s">
        <v>1343</v>
      </c>
      <c r="B582" s="613" t="s">
        <v>175</v>
      </c>
      <c r="C582" s="235" t="s">
        <v>193</v>
      </c>
      <c r="D582" s="442" t="s">
        <v>2142</v>
      </c>
      <c r="E582" s="238">
        <v>610</v>
      </c>
      <c r="F582" s="740">
        <f>'ведом. 2021-2023'!AD349</f>
        <v>6710.6999999999989</v>
      </c>
      <c r="G582" s="481"/>
      <c r="H582" s="477">
        <f>'ведом. 2021-2023'!AE349</f>
        <v>6710.7</v>
      </c>
      <c r="I582" s="481"/>
      <c r="J582" s="477">
        <f>'ведом. 2021-2023'!AF349</f>
        <v>6710.7</v>
      </c>
      <c r="K582" s="481"/>
      <c r="L582" s="465"/>
      <c r="N582" s="465"/>
      <c r="O582" s="465"/>
    </row>
    <row r="583" spans="1:15" s="441" customFormat="1" x14ac:dyDescent="0.25">
      <c r="A583" s="523" t="s">
        <v>551</v>
      </c>
      <c r="B583" s="613" t="s">
        <v>175</v>
      </c>
      <c r="C583" s="235" t="s">
        <v>175</v>
      </c>
      <c r="D583" s="249"/>
      <c r="E583" s="576"/>
      <c r="F583" s="292">
        <f t="shared" ref="F583:K583" si="123">F590+F606+F612+F632+F598+F584</f>
        <v>23629.300000000003</v>
      </c>
      <c r="G583" s="475">
        <f t="shared" si="123"/>
        <v>3050</v>
      </c>
      <c r="H583" s="475">
        <f t="shared" si="123"/>
        <v>23697.800000000003</v>
      </c>
      <c r="I583" s="475">
        <f t="shared" si="123"/>
        <v>3050</v>
      </c>
      <c r="J583" s="475">
        <f t="shared" si="123"/>
        <v>23550.800000000003</v>
      </c>
      <c r="K583" s="475">
        <f t="shared" si="123"/>
        <v>3050</v>
      </c>
      <c r="L583" s="465"/>
      <c r="N583" s="465"/>
      <c r="O583" s="465"/>
    </row>
    <row r="584" spans="1:15" s="513" customFormat="1" x14ac:dyDescent="0.25">
      <c r="A584" s="520" t="s">
        <v>1998</v>
      </c>
      <c r="B584" s="613" t="s">
        <v>175</v>
      </c>
      <c r="C584" s="235" t="s">
        <v>175</v>
      </c>
      <c r="D584" s="442" t="s">
        <v>1774</v>
      </c>
      <c r="E584" s="576"/>
      <c r="F584" s="292">
        <f t="shared" ref="F584:H588" si="124">F585</f>
        <v>0</v>
      </c>
      <c r="G584" s="475"/>
      <c r="H584" s="475">
        <f t="shared" si="124"/>
        <v>147</v>
      </c>
      <c r="I584" s="475"/>
      <c r="J584" s="475">
        <f>J585</f>
        <v>0</v>
      </c>
      <c r="K584" s="475"/>
      <c r="L584" s="465"/>
      <c r="N584" s="465"/>
      <c r="O584" s="465"/>
    </row>
    <row r="585" spans="1:15" s="513" customFormat="1" x14ac:dyDescent="0.25">
      <c r="A585" s="517" t="s">
        <v>2337</v>
      </c>
      <c r="B585" s="613" t="s">
        <v>175</v>
      </c>
      <c r="C585" s="235" t="s">
        <v>175</v>
      </c>
      <c r="D585" s="442" t="s">
        <v>1801</v>
      </c>
      <c r="E585" s="576"/>
      <c r="F585" s="292">
        <f t="shared" si="124"/>
        <v>0</v>
      </c>
      <c r="G585" s="475"/>
      <c r="H585" s="475">
        <f t="shared" si="124"/>
        <v>147</v>
      </c>
      <c r="I585" s="475"/>
      <c r="J585" s="475">
        <f>J586</f>
        <v>0</v>
      </c>
      <c r="K585" s="475"/>
      <c r="L585" s="465"/>
      <c r="N585" s="465"/>
      <c r="O585" s="465"/>
    </row>
    <row r="586" spans="1:15" s="513" customFormat="1" ht="31.5" x14ac:dyDescent="0.25">
      <c r="A586" s="521" t="s">
        <v>2014</v>
      </c>
      <c r="B586" s="613" t="s">
        <v>175</v>
      </c>
      <c r="C586" s="235" t="s">
        <v>175</v>
      </c>
      <c r="D586" s="442" t="s">
        <v>1802</v>
      </c>
      <c r="E586" s="576"/>
      <c r="F586" s="292">
        <f t="shared" si="124"/>
        <v>0</v>
      </c>
      <c r="G586" s="475"/>
      <c r="H586" s="475">
        <f t="shared" si="124"/>
        <v>147</v>
      </c>
      <c r="I586" s="475"/>
      <c r="J586" s="475">
        <f>J587</f>
        <v>0</v>
      </c>
      <c r="K586" s="475"/>
      <c r="L586" s="465"/>
      <c r="N586" s="465"/>
      <c r="O586" s="465"/>
    </row>
    <row r="587" spans="1:15" s="513" customFormat="1" x14ac:dyDescent="0.25">
      <c r="A587" s="521" t="s">
        <v>2015</v>
      </c>
      <c r="B587" s="613" t="s">
        <v>175</v>
      </c>
      <c r="C587" s="235" t="s">
        <v>175</v>
      </c>
      <c r="D587" s="442" t="s">
        <v>2016</v>
      </c>
      <c r="E587" s="576"/>
      <c r="F587" s="292">
        <f t="shared" si="124"/>
        <v>0</v>
      </c>
      <c r="G587" s="475"/>
      <c r="H587" s="475">
        <f t="shared" si="124"/>
        <v>147</v>
      </c>
      <c r="I587" s="475"/>
      <c r="J587" s="475">
        <f>J588</f>
        <v>0</v>
      </c>
      <c r="K587" s="475"/>
      <c r="L587" s="465"/>
      <c r="N587" s="465"/>
      <c r="O587" s="465"/>
    </row>
    <row r="588" spans="1:15" s="513" customFormat="1" x14ac:dyDescent="0.25">
      <c r="A588" s="519" t="s">
        <v>1781</v>
      </c>
      <c r="B588" s="613" t="s">
        <v>175</v>
      </c>
      <c r="C588" s="235" t="s">
        <v>175</v>
      </c>
      <c r="D588" s="442" t="s">
        <v>2016</v>
      </c>
      <c r="E588" s="238">
        <v>200</v>
      </c>
      <c r="F588" s="292">
        <f t="shared" si="124"/>
        <v>0</v>
      </c>
      <c r="G588" s="475"/>
      <c r="H588" s="475">
        <f t="shared" si="124"/>
        <v>147</v>
      </c>
      <c r="I588" s="475"/>
      <c r="J588" s="475">
        <f>J589</f>
        <v>0</v>
      </c>
      <c r="K588" s="475"/>
      <c r="L588" s="465"/>
      <c r="N588" s="465"/>
      <c r="O588" s="465"/>
    </row>
    <row r="589" spans="1:15" s="513" customFormat="1" ht="31.5" x14ac:dyDescent="0.25">
      <c r="A589" s="519" t="s">
        <v>1273</v>
      </c>
      <c r="B589" s="613" t="s">
        <v>175</v>
      </c>
      <c r="C589" s="235" t="s">
        <v>175</v>
      </c>
      <c r="D589" s="442" t="s">
        <v>2016</v>
      </c>
      <c r="E589" s="238">
        <v>240</v>
      </c>
      <c r="F589" s="292">
        <f>'ведом. 2021-2023'!AD356</f>
        <v>0</v>
      </c>
      <c r="G589" s="475"/>
      <c r="H589" s="475">
        <f>'ведом. 2021-2023'!AE356</f>
        <v>147</v>
      </c>
      <c r="I589" s="475"/>
      <c r="J589" s="475">
        <f>'ведом. 2021-2023'!AF356</f>
        <v>0</v>
      </c>
      <c r="K589" s="475"/>
      <c r="L589" s="465"/>
      <c r="N589" s="465"/>
      <c r="O589" s="465"/>
    </row>
    <row r="590" spans="1:15" s="441" customFormat="1" x14ac:dyDescent="0.25">
      <c r="A590" s="520" t="s">
        <v>2074</v>
      </c>
      <c r="B590" s="613" t="s">
        <v>175</v>
      </c>
      <c r="C590" s="235" t="s">
        <v>175</v>
      </c>
      <c r="D590" s="442" t="s">
        <v>1768</v>
      </c>
      <c r="E590" s="238"/>
      <c r="F590" s="292">
        <f t="shared" ref="F590:K592" si="125">F591</f>
        <v>2149</v>
      </c>
      <c r="G590" s="475">
        <f t="shared" si="125"/>
        <v>2149</v>
      </c>
      <c r="H590" s="475">
        <f t="shared" si="125"/>
        <v>2149</v>
      </c>
      <c r="I590" s="475">
        <f t="shared" si="125"/>
        <v>2149</v>
      </c>
      <c r="J590" s="475">
        <f t="shared" si="125"/>
        <v>2149</v>
      </c>
      <c r="K590" s="475">
        <f t="shared" si="125"/>
        <v>2149</v>
      </c>
      <c r="L590" s="465"/>
      <c r="N590" s="465"/>
      <c r="O590" s="465"/>
    </row>
    <row r="591" spans="1:15" s="441" customFormat="1" x14ac:dyDescent="0.25">
      <c r="A591" s="520" t="s">
        <v>2075</v>
      </c>
      <c r="B591" s="613" t="s">
        <v>175</v>
      </c>
      <c r="C591" s="235" t="s">
        <v>175</v>
      </c>
      <c r="D591" s="442" t="s">
        <v>1779</v>
      </c>
      <c r="E591" s="238"/>
      <c r="F591" s="292">
        <f t="shared" si="125"/>
        <v>2149</v>
      </c>
      <c r="G591" s="475">
        <f t="shared" si="125"/>
        <v>2149</v>
      </c>
      <c r="H591" s="475">
        <f t="shared" si="125"/>
        <v>2149</v>
      </c>
      <c r="I591" s="475">
        <f t="shared" si="125"/>
        <v>2149</v>
      </c>
      <c r="J591" s="475">
        <f t="shared" si="125"/>
        <v>2149</v>
      </c>
      <c r="K591" s="475">
        <f t="shared" si="125"/>
        <v>2149</v>
      </c>
      <c r="L591" s="465"/>
      <c r="N591" s="465"/>
      <c r="O591" s="465"/>
    </row>
    <row r="592" spans="1:15" s="441" customFormat="1" ht="47.25" x14ac:dyDescent="0.25">
      <c r="A592" s="520" t="s">
        <v>2076</v>
      </c>
      <c r="B592" s="613" t="s">
        <v>175</v>
      </c>
      <c r="C592" s="235" t="s">
        <v>175</v>
      </c>
      <c r="D592" s="442" t="s">
        <v>2077</v>
      </c>
      <c r="E592" s="238"/>
      <c r="F592" s="292">
        <f t="shared" si="125"/>
        <v>2149</v>
      </c>
      <c r="G592" s="475">
        <f t="shared" si="125"/>
        <v>2149</v>
      </c>
      <c r="H592" s="475">
        <f t="shared" si="125"/>
        <v>2149</v>
      </c>
      <c r="I592" s="475">
        <f t="shared" si="125"/>
        <v>2149</v>
      </c>
      <c r="J592" s="475">
        <f t="shared" si="125"/>
        <v>2149</v>
      </c>
      <c r="K592" s="475">
        <f t="shared" si="125"/>
        <v>2149</v>
      </c>
      <c r="L592" s="465"/>
      <c r="N592" s="465"/>
      <c r="O592" s="465"/>
    </row>
    <row r="593" spans="1:15" s="441" customFormat="1" ht="31.5" x14ac:dyDescent="0.25">
      <c r="A593" s="528" t="s">
        <v>2079</v>
      </c>
      <c r="B593" s="613" t="s">
        <v>175</v>
      </c>
      <c r="C593" s="235" t="s">
        <v>175</v>
      </c>
      <c r="D593" s="442" t="s">
        <v>2080</v>
      </c>
      <c r="E593" s="238"/>
      <c r="F593" s="292">
        <f t="shared" ref="F593:K593" si="126">F594+F596</f>
        <v>2149</v>
      </c>
      <c r="G593" s="475">
        <f t="shared" si="126"/>
        <v>2149</v>
      </c>
      <c r="H593" s="475">
        <f t="shared" si="126"/>
        <v>2149</v>
      </c>
      <c r="I593" s="475">
        <f t="shared" si="126"/>
        <v>2149</v>
      </c>
      <c r="J593" s="475">
        <f t="shared" si="126"/>
        <v>2149</v>
      </c>
      <c r="K593" s="475">
        <f t="shared" si="126"/>
        <v>2149</v>
      </c>
      <c r="L593" s="465"/>
      <c r="N593" s="465"/>
      <c r="O593" s="465"/>
    </row>
    <row r="594" spans="1:15" s="441" customFormat="1" ht="47.25" x14ac:dyDescent="0.25">
      <c r="A594" s="523" t="s">
        <v>921</v>
      </c>
      <c r="B594" s="613" t="s">
        <v>175</v>
      </c>
      <c r="C594" s="235" t="s">
        <v>175</v>
      </c>
      <c r="D594" s="442" t="s">
        <v>2080</v>
      </c>
      <c r="E594" s="238">
        <v>100</v>
      </c>
      <c r="F594" s="292">
        <f>'ведом. 2021-2023'!AD1049</f>
        <v>1943.1</v>
      </c>
      <c r="G594" s="475">
        <f>F594</f>
        <v>1943.1</v>
      </c>
      <c r="H594" s="475">
        <f>'ведом. 2021-2023'!AE1049</f>
        <v>1943.1</v>
      </c>
      <c r="I594" s="475">
        <f>H594</f>
        <v>1943.1</v>
      </c>
      <c r="J594" s="475">
        <f>J595</f>
        <v>1943.1</v>
      </c>
      <c r="K594" s="475">
        <f>J594</f>
        <v>1943.1</v>
      </c>
      <c r="L594" s="465"/>
      <c r="N594" s="465"/>
      <c r="O594" s="465"/>
    </row>
    <row r="595" spans="1:15" s="441" customFormat="1" x14ac:dyDescent="0.25">
      <c r="A595" s="523" t="s">
        <v>1747</v>
      </c>
      <c r="B595" s="613" t="s">
        <v>175</v>
      </c>
      <c r="C595" s="235" t="s">
        <v>175</v>
      </c>
      <c r="D595" s="442" t="s">
        <v>2080</v>
      </c>
      <c r="E595" s="238">
        <v>120</v>
      </c>
      <c r="F595" s="292">
        <f>'ведом. 2021-2023'!AD1049</f>
        <v>1943.1</v>
      </c>
      <c r="G595" s="475">
        <f>F595</f>
        <v>1943.1</v>
      </c>
      <c r="H595" s="475">
        <f>'ведом. 2021-2023'!AE1049</f>
        <v>1943.1</v>
      </c>
      <c r="I595" s="475">
        <f>H595</f>
        <v>1943.1</v>
      </c>
      <c r="J595" s="475">
        <f>'ведом. 2021-2023'!AF1049</f>
        <v>1943.1</v>
      </c>
      <c r="K595" s="475">
        <f>J595</f>
        <v>1943.1</v>
      </c>
      <c r="L595" s="465"/>
      <c r="N595" s="465"/>
      <c r="O595" s="465"/>
    </row>
    <row r="596" spans="1:15" s="441" customFormat="1" x14ac:dyDescent="0.25">
      <c r="A596" s="523" t="s">
        <v>1781</v>
      </c>
      <c r="B596" s="613" t="s">
        <v>175</v>
      </c>
      <c r="C596" s="235" t="s">
        <v>175</v>
      </c>
      <c r="D596" s="442" t="s">
        <v>2080</v>
      </c>
      <c r="E596" s="238">
        <v>200</v>
      </c>
      <c r="F596" s="292">
        <f t="shared" ref="F596:K596" si="127">F597</f>
        <v>205.9</v>
      </c>
      <c r="G596" s="475">
        <f t="shared" si="127"/>
        <v>205.9</v>
      </c>
      <c r="H596" s="475">
        <f t="shared" si="127"/>
        <v>205.9</v>
      </c>
      <c r="I596" s="475">
        <f t="shared" si="127"/>
        <v>205.9</v>
      </c>
      <c r="J596" s="475">
        <f t="shared" si="127"/>
        <v>205.9</v>
      </c>
      <c r="K596" s="475">
        <f t="shared" si="127"/>
        <v>205.9</v>
      </c>
      <c r="L596" s="465"/>
      <c r="N596" s="465"/>
      <c r="O596" s="465"/>
    </row>
    <row r="597" spans="1:15" s="441" customFormat="1" ht="31.5" x14ac:dyDescent="0.25">
      <c r="A597" s="523" t="s">
        <v>1273</v>
      </c>
      <c r="B597" s="613" t="s">
        <v>175</v>
      </c>
      <c r="C597" s="235" t="s">
        <v>175</v>
      </c>
      <c r="D597" s="442" t="s">
        <v>2080</v>
      </c>
      <c r="E597" s="238">
        <v>240</v>
      </c>
      <c r="F597" s="292">
        <f>'ведом. 2021-2023'!AD1051</f>
        <v>205.9</v>
      </c>
      <c r="G597" s="475">
        <f>F597</f>
        <v>205.9</v>
      </c>
      <c r="H597" s="475">
        <f>'ведом. 2021-2023'!AE1051</f>
        <v>205.9</v>
      </c>
      <c r="I597" s="475">
        <f>H597</f>
        <v>205.9</v>
      </c>
      <c r="J597" s="475">
        <f>'ведом. 2021-2023'!AF1051</f>
        <v>205.9</v>
      </c>
      <c r="K597" s="475">
        <f>J597</f>
        <v>205.9</v>
      </c>
      <c r="L597" s="465"/>
      <c r="N597" s="465"/>
      <c r="O597" s="465"/>
    </row>
    <row r="598" spans="1:15" s="441" customFormat="1" x14ac:dyDescent="0.25">
      <c r="A598" s="520" t="s">
        <v>1948</v>
      </c>
      <c r="B598" s="613" t="s">
        <v>175</v>
      </c>
      <c r="C598" s="235" t="s">
        <v>175</v>
      </c>
      <c r="D598" s="442" t="s">
        <v>1770</v>
      </c>
      <c r="E598" s="238"/>
      <c r="F598" s="292">
        <f t="shared" ref="F598:K600" si="128">F599</f>
        <v>662</v>
      </c>
      <c r="G598" s="292">
        <f t="shared" si="128"/>
        <v>662</v>
      </c>
      <c r="H598" s="475">
        <f t="shared" si="128"/>
        <v>662</v>
      </c>
      <c r="I598" s="292">
        <f t="shared" si="128"/>
        <v>662</v>
      </c>
      <c r="J598" s="475">
        <f t="shared" si="128"/>
        <v>662</v>
      </c>
      <c r="K598" s="475">
        <f t="shared" si="128"/>
        <v>662</v>
      </c>
      <c r="L598" s="465"/>
      <c r="N598" s="465"/>
      <c r="O598" s="465"/>
    </row>
    <row r="599" spans="1:15" s="441" customFormat="1" x14ac:dyDescent="0.25">
      <c r="A599" s="523" t="s">
        <v>1160</v>
      </c>
      <c r="B599" s="613" t="s">
        <v>175</v>
      </c>
      <c r="C599" s="235" t="s">
        <v>175</v>
      </c>
      <c r="D599" s="442" t="s">
        <v>2168</v>
      </c>
      <c r="E599" s="238"/>
      <c r="F599" s="292">
        <f t="shared" si="128"/>
        <v>662</v>
      </c>
      <c r="G599" s="292">
        <f t="shared" si="128"/>
        <v>662</v>
      </c>
      <c r="H599" s="475">
        <f t="shared" si="128"/>
        <v>662</v>
      </c>
      <c r="I599" s="292">
        <f t="shared" si="128"/>
        <v>662</v>
      </c>
      <c r="J599" s="475">
        <f t="shared" si="128"/>
        <v>662</v>
      </c>
      <c r="K599" s="475">
        <f t="shared" si="128"/>
        <v>662</v>
      </c>
      <c r="L599" s="465"/>
      <c r="N599" s="465"/>
      <c r="O599" s="465"/>
    </row>
    <row r="600" spans="1:15" s="441" customFormat="1" ht="31.5" x14ac:dyDescent="0.25">
      <c r="A600" s="523" t="s">
        <v>2169</v>
      </c>
      <c r="B600" s="613" t="s">
        <v>175</v>
      </c>
      <c r="C600" s="235" t="s">
        <v>175</v>
      </c>
      <c r="D600" s="442" t="s">
        <v>2170</v>
      </c>
      <c r="E600" s="238"/>
      <c r="F600" s="292">
        <f t="shared" si="128"/>
        <v>662</v>
      </c>
      <c r="G600" s="292">
        <f t="shared" si="128"/>
        <v>662</v>
      </c>
      <c r="H600" s="475">
        <f t="shared" si="128"/>
        <v>662</v>
      </c>
      <c r="I600" s="292">
        <f t="shared" si="128"/>
        <v>662</v>
      </c>
      <c r="J600" s="475">
        <f t="shared" si="128"/>
        <v>662</v>
      </c>
      <c r="K600" s="475">
        <f t="shared" si="128"/>
        <v>662</v>
      </c>
      <c r="L600" s="465"/>
      <c r="N600" s="465"/>
      <c r="O600" s="465"/>
    </row>
    <row r="601" spans="1:15" s="441" customFormat="1" ht="31.5" x14ac:dyDescent="0.25">
      <c r="A601" s="523" t="s">
        <v>2171</v>
      </c>
      <c r="B601" s="613" t="s">
        <v>175</v>
      </c>
      <c r="C601" s="235" t="s">
        <v>175</v>
      </c>
      <c r="D601" s="442" t="s">
        <v>2172</v>
      </c>
      <c r="E601" s="238"/>
      <c r="F601" s="292">
        <f t="shared" ref="F601:K601" si="129">F602+F604</f>
        <v>662</v>
      </c>
      <c r="G601" s="292">
        <f t="shared" si="129"/>
        <v>662</v>
      </c>
      <c r="H601" s="475">
        <f t="shared" si="129"/>
        <v>662</v>
      </c>
      <c r="I601" s="292">
        <f t="shared" si="129"/>
        <v>662</v>
      </c>
      <c r="J601" s="475">
        <f t="shared" si="129"/>
        <v>662</v>
      </c>
      <c r="K601" s="475">
        <f t="shared" si="129"/>
        <v>662</v>
      </c>
      <c r="L601" s="465"/>
      <c r="N601" s="465"/>
      <c r="O601" s="465"/>
    </row>
    <row r="602" spans="1:15" s="441" customFormat="1" ht="47.25" x14ac:dyDescent="0.25">
      <c r="A602" s="523" t="s">
        <v>921</v>
      </c>
      <c r="B602" s="613" t="s">
        <v>175</v>
      </c>
      <c r="C602" s="235" t="s">
        <v>175</v>
      </c>
      <c r="D602" s="442" t="s">
        <v>2172</v>
      </c>
      <c r="E602" s="238">
        <v>100</v>
      </c>
      <c r="F602" s="292">
        <f t="shared" ref="F602:K602" si="130">F603</f>
        <v>609.1</v>
      </c>
      <c r="G602" s="292">
        <f t="shared" si="130"/>
        <v>609.1</v>
      </c>
      <c r="H602" s="475">
        <f t="shared" si="130"/>
        <v>609.1</v>
      </c>
      <c r="I602" s="292">
        <f t="shared" si="130"/>
        <v>609.1</v>
      </c>
      <c r="J602" s="475">
        <f t="shared" si="130"/>
        <v>609.1</v>
      </c>
      <c r="K602" s="475">
        <f t="shared" si="130"/>
        <v>609.1</v>
      </c>
      <c r="L602" s="465"/>
      <c r="N602" s="465"/>
      <c r="O602" s="465"/>
    </row>
    <row r="603" spans="1:15" s="441" customFormat="1" x14ac:dyDescent="0.25">
      <c r="A603" s="523" t="s">
        <v>1747</v>
      </c>
      <c r="B603" s="613" t="s">
        <v>175</v>
      </c>
      <c r="C603" s="235" t="s">
        <v>175</v>
      </c>
      <c r="D603" s="442" t="s">
        <v>2172</v>
      </c>
      <c r="E603" s="238">
        <v>120</v>
      </c>
      <c r="F603" s="292">
        <f>'ведом. 2021-2023'!AD1057</f>
        <v>609.1</v>
      </c>
      <c r="G603" s="475">
        <f>F603</f>
        <v>609.1</v>
      </c>
      <c r="H603" s="475">
        <f>'ведом. 2021-2023'!AE1057</f>
        <v>609.1</v>
      </c>
      <c r="I603" s="475">
        <f>H603</f>
        <v>609.1</v>
      </c>
      <c r="J603" s="475">
        <f>'ведом. 2021-2023'!AF1057</f>
        <v>609.1</v>
      </c>
      <c r="K603" s="475">
        <f>J603</f>
        <v>609.1</v>
      </c>
      <c r="L603" s="465"/>
      <c r="N603" s="465"/>
      <c r="O603" s="465"/>
    </row>
    <row r="604" spans="1:15" s="441" customFormat="1" x14ac:dyDescent="0.25">
      <c r="A604" s="523" t="s">
        <v>1781</v>
      </c>
      <c r="B604" s="613" t="s">
        <v>175</v>
      </c>
      <c r="C604" s="235" t="s">
        <v>175</v>
      </c>
      <c r="D604" s="442" t="s">
        <v>2172</v>
      </c>
      <c r="E604" s="238">
        <v>200</v>
      </c>
      <c r="F604" s="292">
        <f t="shared" ref="F604:K604" si="131">F605</f>
        <v>52.9</v>
      </c>
      <c r="G604" s="292">
        <f t="shared" si="131"/>
        <v>52.9</v>
      </c>
      <c r="H604" s="475">
        <f t="shared" si="131"/>
        <v>52.9</v>
      </c>
      <c r="I604" s="292">
        <f t="shared" si="131"/>
        <v>52.9</v>
      </c>
      <c r="J604" s="475">
        <f t="shared" si="131"/>
        <v>52.9</v>
      </c>
      <c r="K604" s="475">
        <f t="shared" si="131"/>
        <v>52.9</v>
      </c>
      <c r="L604" s="465"/>
      <c r="N604" s="465"/>
      <c r="O604" s="465"/>
    </row>
    <row r="605" spans="1:15" s="441" customFormat="1" ht="31.5" x14ac:dyDescent="0.25">
      <c r="A605" s="523" t="s">
        <v>1273</v>
      </c>
      <c r="B605" s="613" t="s">
        <v>175</v>
      </c>
      <c r="C605" s="235" t="s">
        <v>175</v>
      </c>
      <c r="D605" s="442" t="s">
        <v>2172</v>
      </c>
      <c r="E605" s="238">
        <v>240</v>
      </c>
      <c r="F605" s="292">
        <f>'ведом. 2021-2023'!AD1059</f>
        <v>52.9</v>
      </c>
      <c r="G605" s="475">
        <f>F605</f>
        <v>52.9</v>
      </c>
      <c r="H605" s="475">
        <f>'ведом. 2021-2023'!AE1059</f>
        <v>52.9</v>
      </c>
      <c r="I605" s="475">
        <f>H605</f>
        <v>52.9</v>
      </c>
      <c r="J605" s="475">
        <f>'ведом. 2021-2023'!AF1059</f>
        <v>52.9</v>
      </c>
      <c r="K605" s="475">
        <f>J605</f>
        <v>52.9</v>
      </c>
      <c r="L605" s="465"/>
      <c r="N605" s="465"/>
      <c r="O605" s="465"/>
    </row>
    <row r="606" spans="1:15" s="441" customFormat="1" ht="31.5" x14ac:dyDescent="0.25">
      <c r="A606" s="520" t="s">
        <v>2102</v>
      </c>
      <c r="B606" s="613" t="s">
        <v>175</v>
      </c>
      <c r="C606" s="235" t="s">
        <v>175</v>
      </c>
      <c r="D606" s="442" t="s">
        <v>1805</v>
      </c>
      <c r="E606" s="238"/>
      <c r="F606" s="292">
        <f>F607</f>
        <v>2.5</v>
      </c>
      <c r="G606" s="475"/>
      <c r="H606" s="475">
        <f>H607</f>
        <v>7</v>
      </c>
      <c r="I606" s="475"/>
      <c r="J606" s="475">
        <f>J607</f>
        <v>7</v>
      </c>
      <c r="K606" s="475"/>
      <c r="L606" s="465"/>
      <c r="N606" s="465"/>
      <c r="O606" s="465"/>
    </row>
    <row r="607" spans="1:15" s="441" customFormat="1" ht="47.25" x14ac:dyDescent="0.25">
      <c r="A607" s="520" t="s">
        <v>2103</v>
      </c>
      <c r="B607" s="613" t="s">
        <v>175</v>
      </c>
      <c r="C607" s="235" t="s">
        <v>175</v>
      </c>
      <c r="D607" s="442" t="s">
        <v>2104</v>
      </c>
      <c r="E607" s="238"/>
      <c r="F607" s="292">
        <f>F608</f>
        <v>2.5</v>
      </c>
      <c r="G607" s="475"/>
      <c r="H607" s="475">
        <f>H608</f>
        <v>7</v>
      </c>
      <c r="I607" s="475"/>
      <c r="J607" s="475">
        <f>J608</f>
        <v>7</v>
      </c>
      <c r="K607" s="475"/>
      <c r="L607" s="465"/>
      <c r="N607" s="465"/>
      <c r="O607" s="465"/>
    </row>
    <row r="608" spans="1:15" s="441" customFormat="1" ht="31.5" x14ac:dyDescent="0.25">
      <c r="A608" s="528" t="s">
        <v>2105</v>
      </c>
      <c r="B608" s="613" t="s">
        <v>175</v>
      </c>
      <c r="C608" s="235" t="s">
        <v>175</v>
      </c>
      <c r="D608" s="442" t="s">
        <v>2106</v>
      </c>
      <c r="E608" s="238"/>
      <c r="F608" s="292">
        <f>F609</f>
        <v>2.5</v>
      </c>
      <c r="G608" s="475"/>
      <c r="H608" s="475">
        <f>H609</f>
        <v>7</v>
      </c>
      <c r="I608" s="475"/>
      <c r="J608" s="475">
        <f>J609</f>
        <v>7</v>
      </c>
      <c r="K608" s="475"/>
      <c r="L608" s="465"/>
      <c r="N608" s="465"/>
      <c r="O608" s="465"/>
    </row>
    <row r="609" spans="1:15" s="441" customFormat="1" ht="94.5" x14ac:dyDescent="0.25">
      <c r="A609" s="528" t="s">
        <v>2242</v>
      </c>
      <c r="B609" s="613" t="s">
        <v>175</v>
      </c>
      <c r="C609" s="235" t="s">
        <v>175</v>
      </c>
      <c r="D609" s="471" t="s">
        <v>2107</v>
      </c>
      <c r="E609" s="238"/>
      <c r="F609" s="292">
        <f t="shared" ref="F609:J610" si="132">F610</f>
        <v>2.5</v>
      </c>
      <c r="G609" s="475"/>
      <c r="H609" s="475">
        <f t="shared" si="132"/>
        <v>7</v>
      </c>
      <c r="I609" s="475"/>
      <c r="J609" s="475">
        <f t="shared" si="132"/>
        <v>7</v>
      </c>
      <c r="K609" s="475"/>
      <c r="L609" s="465"/>
      <c r="N609" s="465"/>
      <c r="O609" s="465"/>
    </row>
    <row r="610" spans="1:15" s="441" customFormat="1" x14ac:dyDescent="0.25">
      <c r="A610" s="523" t="s">
        <v>1781</v>
      </c>
      <c r="B610" s="613" t="s">
        <v>175</v>
      </c>
      <c r="C610" s="235" t="s">
        <v>175</v>
      </c>
      <c r="D610" s="471" t="s">
        <v>2107</v>
      </c>
      <c r="E610" s="238">
        <v>200</v>
      </c>
      <c r="F610" s="292">
        <f t="shared" si="132"/>
        <v>2.5</v>
      </c>
      <c r="G610" s="475"/>
      <c r="H610" s="475">
        <f t="shared" si="132"/>
        <v>7</v>
      </c>
      <c r="I610" s="475"/>
      <c r="J610" s="475">
        <f t="shared" si="132"/>
        <v>7</v>
      </c>
      <c r="K610" s="475"/>
      <c r="L610" s="465"/>
      <c r="N610" s="465"/>
      <c r="O610" s="465"/>
    </row>
    <row r="611" spans="1:15" s="441" customFormat="1" ht="31.5" x14ac:dyDescent="0.25">
      <c r="A611" s="523" t="s">
        <v>1273</v>
      </c>
      <c r="B611" s="613" t="s">
        <v>175</v>
      </c>
      <c r="C611" s="235" t="s">
        <v>175</v>
      </c>
      <c r="D611" s="471" t="s">
        <v>2107</v>
      </c>
      <c r="E611" s="238">
        <v>240</v>
      </c>
      <c r="F611" s="292">
        <f>'ведом. 2021-2023'!AD362+'ведом. 2021-2023'!AD1065</f>
        <v>2.5</v>
      </c>
      <c r="G611" s="475"/>
      <c r="H611" s="475">
        <f>'ведом. 2021-2023'!AE362+'ведом. 2021-2023'!AE1065</f>
        <v>7</v>
      </c>
      <c r="I611" s="475"/>
      <c r="J611" s="475">
        <f>'ведом. 2021-2023'!AF362+'ведом. 2021-2023'!AF1065</f>
        <v>7</v>
      </c>
      <c r="K611" s="475"/>
      <c r="L611" s="465"/>
      <c r="N611" s="465"/>
      <c r="O611" s="465"/>
    </row>
    <row r="612" spans="1:15" s="441" customFormat="1" x14ac:dyDescent="0.25">
      <c r="A612" s="520" t="s">
        <v>1988</v>
      </c>
      <c r="B612" s="613" t="s">
        <v>175</v>
      </c>
      <c r="C612" s="235" t="s">
        <v>175</v>
      </c>
      <c r="D612" s="442" t="s">
        <v>1989</v>
      </c>
      <c r="E612" s="238"/>
      <c r="F612" s="292">
        <f>F618+F613</f>
        <v>9859.6</v>
      </c>
      <c r="G612" s="475">
        <f>G613</f>
        <v>239</v>
      </c>
      <c r="H612" s="475">
        <f>H618+H613</f>
        <v>9764.6</v>
      </c>
      <c r="I612" s="475">
        <f>I613</f>
        <v>239</v>
      </c>
      <c r="J612" s="475">
        <f>J618+J613</f>
        <v>9764.6</v>
      </c>
      <c r="K612" s="475">
        <f>K613</f>
        <v>239</v>
      </c>
      <c r="L612" s="465"/>
      <c r="N612" s="465"/>
      <c r="O612" s="465"/>
    </row>
    <row r="613" spans="1:15" s="441" customFormat="1" x14ac:dyDescent="0.25">
      <c r="A613" s="517" t="s">
        <v>2368</v>
      </c>
      <c r="B613" s="613" t="s">
        <v>175</v>
      </c>
      <c r="C613" s="235" t="s">
        <v>175</v>
      </c>
      <c r="D613" s="442" t="s">
        <v>1990</v>
      </c>
      <c r="E613" s="238"/>
      <c r="F613" s="292">
        <f>F614</f>
        <v>239</v>
      </c>
      <c r="G613" s="475">
        <f>G614</f>
        <v>239</v>
      </c>
      <c r="H613" s="475">
        <f>H614</f>
        <v>239</v>
      </c>
      <c r="I613" s="475">
        <f>I614</f>
        <v>239</v>
      </c>
      <c r="J613" s="475">
        <f>J614</f>
        <v>239</v>
      </c>
      <c r="K613" s="475">
        <f>K614</f>
        <v>239</v>
      </c>
      <c r="L613" s="465"/>
      <c r="N613" s="465"/>
      <c r="O613" s="465"/>
    </row>
    <row r="614" spans="1:15" s="441" customFormat="1" ht="53.45" customHeight="1" x14ac:dyDescent="0.25">
      <c r="A614" s="520" t="s">
        <v>2369</v>
      </c>
      <c r="B614" s="613" t="s">
        <v>175</v>
      </c>
      <c r="C614" s="235" t="s">
        <v>175</v>
      </c>
      <c r="D614" s="442" t="s">
        <v>2173</v>
      </c>
      <c r="E614" s="238"/>
      <c r="F614" s="292">
        <f>F615</f>
        <v>239</v>
      </c>
      <c r="G614" s="475">
        <f>G615</f>
        <v>239</v>
      </c>
      <c r="H614" s="475">
        <f>H615</f>
        <v>239</v>
      </c>
      <c r="I614" s="475">
        <f>I615</f>
        <v>239</v>
      </c>
      <c r="J614" s="475">
        <f>J615</f>
        <v>239</v>
      </c>
      <c r="K614" s="475">
        <f>K615</f>
        <v>239</v>
      </c>
      <c r="L614" s="465"/>
      <c r="N614" s="465"/>
      <c r="O614" s="465"/>
    </row>
    <row r="615" spans="1:15" s="441" customFormat="1" ht="110.25" x14ac:dyDescent="0.25">
      <c r="A615" s="520" t="s">
        <v>2175</v>
      </c>
      <c r="B615" s="613" t="s">
        <v>175</v>
      </c>
      <c r="C615" s="235" t="s">
        <v>175</v>
      </c>
      <c r="D615" s="442" t="s">
        <v>2174</v>
      </c>
      <c r="E615" s="238"/>
      <c r="F615" s="292">
        <f>F616</f>
        <v>239</v>
      </c>
      <c r="G615" s="475">
        <f>G616</f>
        <v>239</v>
      </c>
      <c r="H615" s="475">
        <f>H616</f>
        <v>239</v>
      </c>
      <c r="I615" s="475">
        <f>I616</f>
        <v>239</v>
      </c>
      <c r="J615" s="475">
        <f>J616</f>
        <v>239</v>
      </c>
      <c r="K615" s="475">
        <f>K616</f>
        <v>239</v>
      </c>
      <c r="L615" s="465"/>
      <c r="N615" s="465"/>
      <c r="O615" s="465"/>
    </row>
    <row r="616" spans="1:15" s="441" customFormat="1" ht="47.25" x14ac:dyDescent="0.25">
      <c r="A616" s="519" t="s">
        <v>921</v>
      </c>
      <c r="B616" s="613" t="s">
        <v>175</v>
      </c>
      <c r="C616" s="235" t="s">
        <v>175</v>
      </c>
      <c r="D616" s="442" t="s">
        <v>2174</v>
      </c>
      <c r="E616" s="238">
        <v>100</v>
      </c>
      <c r="F616" s="292">
        <f>F617</f>
        <v>239</v>
      </c>
      <c r="G616" s="475">
        <f>G617</f>
        <v>239</v>
      </c>
      <c r="H616" s="475">
        <f>H617</f>
        <v>239</v>
      </c>
      <c r="I616" s="475">
        <f>I617</f>
        <v>239</v>
      </c>
      <c r="J616" s="475">
        <f>J617</f>
        <v>239</v>
      </c>
      <c r="K616" s="475">
        <f>K617</f>
        <v>239</v>
      </c>
      <c r="L616" s="465"/>
      <c r="N616" s="465"/>
      <c r="O616" s="465"/>
    </row>
    <row r="617" spans="1:15" s="441" customFormat="1" x14ac:dyDescent="0.25">
      <c r="A617" s="519" t="s">
        <v>1747</v>
      </c>
      <c r="B617" s="613" t="s">
        <v>175</v>
      </c>
      <c r="C617" s="235" t="s">
        <v>175</v>
      </c>
      <c r="D617" s="442" t="s">
        <v>2174</v>
      </c>
      <c r="E617" s="238">
        <v>120</v>
      </c>
      <c r="F617" s="292">
        <f>'ведом. 2021-2023'!AD368</f>
        <v>239</v>
      </c>
      <c r="G617" s="475">
        <f>F617</f>
        <v>239</v>
      </c>
      <c r="H617" s="475">
        <f>'ведом. 2021-2023'!AE368</f>
        <v>239</v>
      </c>
      <c r="I617" s="475">
        <f>H617</f>
        <v>239</v>
      </c>
      <c r="J617" s="475">
        <f>'ведом. 2021-2023'!AF368</f>
        <v>239</v>
      </c>
      <c r="K617" s="475">
        <f>J617</f>
        <v>239</v>
      </c>
      <c r="L617" s="465"/>
      <c r="N617" s="465"/>
      <c r="O617" s="465"/>
    </row>
    <row r="618" spans="1:15" s="441" customFormat="1" x14ac:dyDescent="0.25">
      <c r="A618" s="520" t="s">
        <v>1160</v>
      </c>
      <c r="B618" s="613" t="s">
        <v>175</v>
      </c>
      <c r="C618" s="235" t="s">
        <v>175</v>
      </c>
      <c r="D618" s="442" t="s">
        <v>2200</v>
      </c>
      <c r="E618" s="238"/>
      <c r="F618" s="292">
        <f>F619</f>
        <v>9620.6</v>
      </c>
      <c r="G618" s="475"/>
      <c r="H618" s="475">
        <f>H619</f>
        <v>9525.6</v>
      </c>
      <c r="I618" s="475"/>
      <c r="J618" s="475">
        <f>J619</f>
        <v>9525.6</v>
      </c>
      <c r="K618" s="475"/>
      <c r="L618" s="465"/>
      <c r="N618" s="465"/>
      <c r="O618" s="465"/>
    </row>
    <row r="619" spans="1:15" s="441" customFormat="1" ht="31.5" x14ac:dyDescent="0.25">
      <c r="A619" s="520" t="s">
        <v>1909</v>
      </c>
      <c r="B619" s="613" t="s">
        <v>175</v>
      </c>
      <c r="C619" s="235" t="s">
        <v>175</v>
      </c>
      <c r="D619" s="442" t="s">
        <v>2199</v>
      </c>
      <c r="E619" s="238"/>
      <c r="F619" s="292">
        <f>F620</f>
        <v>9620.6</v>
      </c>
      <c r="G619" s="475"/>
      <c r="H619" s="475">
        <f>H620</f>
        <v>9525.6</v>
      </c>
      <c r="I619" s="475"/>
      <c r="J619" s="475">
        <f>J620</f>
        <v>9525.6</v>
      </c>
      <c r="K619" s="475"/>
      <c r="L619" s="465"/>
      <c r="N619" s="465"/>
      <c r="O619" s="465"/>
    </row>
    <row r="620" spans="1:15" s="441" customFormat="1" x14ac:dyDescent="0.25">
      <c r="A620" s="523" t="s">
        <v>1923</v>
      </c>
      <c r="B620" s="613" t="s">
        <v>175</v>
      </c>
      <c r="C620" s="235" t="s">
        <v>175</v>
      </c>
      <c r="D620" s="442" t="s">
        <v>2198</v>
      </c>
      <c r="E620" s="238"/>
      <c r="F620" s="292">
        <f>F621+F626+F629</f>
        <v>9620.6</v>
      </c>
      <c r="G620" s="475"/>
      <c r="H620" s="475">
        <f>H621+H626+H629</f>
        <v>9525.6</v>
      </c>
      <c r="I620" s="475"/>
      <c r="J620" s="475">
        <f>J621+J626+J629</f>
        <v>9525.6</v>
      </c>
      <c r="K620" s="475"/>
      <c r="L620" s="465"/>
      <c r="N620" s="465"/>
      <c r="O620" s="465"/>
    </row>
    <row r="621" spans="1:15" s="441" customFormat="1" ht="31.5" x14ac:dyDescent="0.25">
      <c r="A621" s="523" t="s">
        <v>1924</v>
      </c>
      <c r="B621" s="613" t="s">
        <v>175</v>
      </c>
      <c r="C621" s="235" t="s">
        <v>175</v>
      </c>
      <c r="D621" s="442" t="s">
        <v>2197</v>
      </c>
      <c r="E621" s="238"/>
      <c r="F621" s="292">
        <f>F622+F624</f>
        <v>1220.4000000000003</v>
      </c>
      <c r="G621" s="475"/>
      <c r="H621" s="475">
        <f>H622+H624</f>
        <v>1125.4000000000001</v>
      </c>
      <c r="I621" s="475"/>
      <c r="J621" s="475">
        <f>J622+J624</f>
        <v>1125.4000000000001</v>
      </c>
      <c r="K621" s="475"/>
      <c r="L621" s="465"/>
      <c r="N621" s="465"/>
      <c r="O621" s="465"/>
    </row>
    <row r="622" spans="1:15" s="441" customFormat="1" x14ac:dyDescent="0.25">
      <c r="A622" s="523" t="s">
        <v>1781</v>
      </c>
      <c r="B622" s="613" t="s">
        <v>175</v>
      </c>
      <c r="C622" s="235" t="s">
        <v>175</v>
      </c>
      <c r="D622" s="442" t="s">
        <v>2197</v>
      </c>
      <c r="E622" s="238">
        <v>200</v>
      </c>
      <c r="F622" s="292">
        <f>F623</f>
        <v>1195.7000000000003</v>
      </c>
      <c r="G622" s="475"/>
      <c r="H622" s="475">
        <f>H623</f>
        <v>1125.4000000000001</v>
      </c>
      <c r="I622" s="475"/>
      <c r="J622" s="475">
        <f>J623</f>
        <v>1125.4000000000001</v>
      </c>
      <c r="K622" s="475"/>
      <c r="L622" s="465"/>
      <c r="N622" s="465"/>
      <c r="O622" s="465"/>
    </row>
    <row r="623" spans="1:15" s="441" customFormat="1" ht="31.5" x14ac:dyDescent="0.25">
      <c r="A623" s="523" t="s">
        <v>1273</v>
      </c>
      <c r="B623" s="613" t="s">
        <v>175</v>
      </c>
      <c r="C623" s="235" t="s">
        <v>175</v>
      </c>
      <c r="D623" s="442" t="s">
        <v>2197</v>
      </c>
      <c r="E623" s="238">
        <v>240</v>
      </c>
      <c r="F623" s="292">
        <f>'ведом. 2021-2023'!AD374</f>
        <v>1195.7000000000003</v>
      </c>
      <c r="G623" s="475"/>
      <c r="H623" s="475">
        <f>'ведом. 2021-2023'!AE374</f>
        <v>1125.4000000000001</v>
      </c>
      <c r="I623" s="475"/>
      <c r="J623" s="475">
        <f>'ведом. 2021-2023'!AF374</f>
        <v>1125.4000000000001</v>
      </c>
      <c r="K623" s="475"/>
      <c r="L623" s="465"/>
      <c r="N623" s="465"/>
      <c r="O623" s="465"/>
    </row>
    <row r="624" spans="1:15" s="513" customFormat="1" x14ac:dyDescent="0.25">
      <c r="A624" s="519" t="s">
        <v>923</v>
      </c>
      <c r="B624" s="613" t="s">
        <v>175</v>
      </c>
      <c r="C624" s="235" t="s">
        <v>175</v>
      </c>
      <c r="D624" s="442" t="s">
        <v>2197</v>
      </c>
      <c r="E624" s="238">
        <v>800</v>
      </c>
      <c r="F624" s="292">
        <f>F625</f>
        <v>24.7</v>
      </c>
      <c r="G624" s="475"/>
      <c r="H624" s="475">
        <f>H625</f>
        <v>0</v>
      </c>
      <c r="I624" s="475"/>
      <c r="J624" s="475">
        <f>J625</f>
        <v>0</v>
      </c>
      <c r="K624" s="475"/>
      <c r="L624" s="465"/>
      <c r="N624" s="465"/>
      <c r="O624" s="465"/>
    </row>
    <row r="625" spans="1:15" s="513" customFormat="1" x14ac:dyDescent="0.25">
      <c r="A625" s="519" t="s">
        <v>1319</v>
      </c>
      <c r="B625" s="613" t="s">
        <v>175</v>
      </c>
      <c r="C625" s="235" t="s">
        <v>175</v>
      </c>
      <c r="D625" s="442" t="s">
        <v>2197</v>
      </c>
      <c r="E625" s="238">
        <v>850</v>
      </c>
      <c r="F625" s="292">
        <f>'ведом. 2021-2023'!AD376</f>
        <v>24.7</v>
      </c>
      <c r="G625" s="475"/>
      <c r="H625" s="475">
        <f>'ведом. 2021-2023'!AE376</f>
        <v>0</v>
      </c>
      <c r="I625" s="475"/>
      <c r="J625" s="475">
        <f>'ведом. 2021-2023'!AF376</f>
        <v>0</v>
      </c>
      <c r="K625" s="475"/>
      <c r="L625" s="465"/>
      <c r="N625" s="465"/>
      <c r="O625" s="465"/>
    </row>
    <row r="626" spans="1:15" s="441" customFormat="1" ht="31.5" x14ac:dyDescent="0.25">
      <c r="A626" s="523" t="s">
        <v>1925</v>
      </c>
      <c r="B626" s="613" t="s">
        <v>175</v>
      </c>
      <c r="C626" s="235" t="s">
        <v>175</v>
      </c>
      <c r="D626" s="442" t="s">
        <v>2196</v>
      </c>
      <c r="E626" s="238"/>
      <c r="F626" s="292">
        <f>F627</f>
        <v>4697.3</v>
      </c>
      <c r="G626" s="475"/>
      <c r="H626" s="475">
        <f>H627</f>
        <v>4697.3</v>
      </c>
      <c r="I626" s="475"/>
      <c r="J626" s="475">
        <f>J627</f>
        <v>4697.3</v>
      </c>
      <c r="K626" s="475"/>
      <c r="L626" s="465"/>
      <c r="N626" s="465"/>
      <c r="O626" s="465"/>
    </row>
    <row r="627" spans="1:15" s="441" customFormat="1" ht="47.25" x14ac:dyDescent="0.25">
      <c r="A627" s="523" t="s">
        <v>921</v>
      </c>
      <c r="B627" s="613" t="s">
        <v>175</v>
      </c>
      <c r="C627" s="235" t="s">
        <v>175</v>
      </c>
      <c r="D627" s="442" t="s">
        <v>2196</v>
      </c>
      <c r="E627" s="238">
        <v>100</v>
      </c>
      <c r="F627" s="292">
        <f>F628</f>
        <v>4697.3</v>
      </c>
      <c r="G627" s="475"/>
      <c r="H627" s="475">
        <f>H628</f>
        <v>4697.3</v>
      </c>
      <c r="I627" s="475"/>
      <c r="J627" s="475">
        <f>J628</f>
        <v>4697.3</v>
      </c>
      <c r="K627" s="475"/>
      <c r="L627" s="465"/>
      <c r="N627" s="465"/>
      <c r="O627" s="465"/>
    </row>
    <row r="628" spans="1:15" s="441" customFormat="1" x14ac:dyDescent="0.25">
      <c r="A628" s="523" t="s">
        <v>1747</v>
      </c>
      <c r="B628" s="613" t="s">
        <v>175</v>
      </c>
      <c r="C628" s="235" t="s">
        <v>175</v>
      </c>
      <c r="D628" s="442" t="s">
        <v>2196</v>
      </c>
      <c r="E628" s="238">
        <v>120</v>
      </c>
      <c r="F628" s="292">
        <f>'ведом. 2021-2023'!AD379</f>
        <v>4697.3</v>
      </c>
      <c r="G628" s="475"/>
      <c r="H628" s="475">
        <f>'ведом. 2021-2023'!AE379</f>
        <v>4697.3</v>
      </c>
      <c r="I628" s="475"/>
      <c r="J628" s="475">
        <f>'ведом. 2021-2023'!AF379</f>
        <v>4697.3</v>
      </c>
      <c r="K628" s="475"/>
      <c r="L628" s="465"/>
      <c r="N628" s="465"/>
      <c r="O628" s="465"/>
    </row>
    <row r="629" spans="1:15" s="441" customFormat="1" ht="31.5" x14ac:dyDescent="0.25">
      <c r="A629" s="523" t="s">
        <v>1926</v>
      </c>
      <c r="B629" s="613" t="s">
        <v>175</v>
      </c>
      <c r="C629" s="235" t="s">
        <v>175</v>
      </c>
      <c r="D629" s="442" t="s">
        <v>2195</v>
      </c>
      <c r="E629" s="238"/>
      <c r="F629" s="292">
        <f>F630</f>
        <v>3702.9</v>
      </c>
      <c r="G629" s="475"/>
      <c r="H629" s="475">
        <f>H630</f>
        <v>3702.9</v>
      </c>
      <c r="I629" s="475"/>
      <c r="J629" s="475">
        <f>J630</f>
        <v>3702.9</v>
      </c>
      <c r="K629" s="475"/>
      <c r="L629" s="465"/>
      <c r="N629" s="465"/>
      <c r="O629" s="465"/>
    </row>
    <row r="630" spans="1:15" s="441" customFormat="1" ht="47.25" x14ac:dyDescent="0.25">
      <c r="A630" s="523" t="s">
        <v>921</v>
      </c>
      <c r="B630" s="613" t="s">
        <v>175</v>
      </c>
      <c r="C630" s="235" t="s">
        <v>175</v>
      </c>
      <c r="D630" s="442" t="s">
        <v>2195</v>
      </c>
      <c r="E630" s="238">
        <v>100</v>
      </c>
      <c r="F630" s="292">
        <f>F631</f>
        <v>3702.9</v>
      </c>
      <c r="G630" s="475"/>
      <c r="H630" s="475">
        <f>H631</f>
        <v>3702.9</v>
      </c>
      <c r="I630" s="475"/>
      <c r="J630" s="475">
        <f>J631</f>
        <v>3702.9</v>
      </c>
      <c r="K630" s="475"/>
      <c r="L630" s="465"/>
      <c r="N630" s="465"/>
      <c r="O630" s="465"/>
    </row>
    <row r="631" spans="1:15" s="441" customFormat="1" x14ac:dyDescent="0.25">
      <c r="A631" s="523" t="s">
        <v>1747</v>
      </c>
      <c r="B631" s="613" t="s">
        <v>175</v>
      </c>
      <c r="C631" s="235" t="s">
        <v>175</v>
      </c>
      <c r="D631" s="442" t="s">
        <v>2195</v>
      </c>
      <c r="E631" s="238">
        <v>120</v>
      </c>
      <c r="F631" s="292">
        <f>'ведом. 2021-2023'!AD382</f>
        <v>3702.9</v>
      </c>
      <c r="G631" s="475"/>
      <c r="H631" s="475">
        <f>'ведом. 2021-2023'!AE382</f>
        <v>3702.9</v>
      </c>
      <c r="I631" s="475"/>
      <c r="J631" s="475">
        <f>'ведом. 2021-2023'!AF382</f>
        <v>3702.9</v>
      </c>
      <c r="K631" s="475"/>
      <c r="L631" s="465"/>
      <c r="N631" s="465"/>
      <c r="O631" s="465"/>
    </row>
    <row r="632" spans="1:15" s="441" customFormat="1" x14ac:dyDescent="0.25">
      <c r="A632" s="520" t="s">
        <v>1972</v>
      </c>
      <c r="B632" s="613" t="s">
        <v>175</v>
      </c>
      <c r="C632" s="235" t="s">
        <v>175</v>
      </c>
      <c r="D632" s="442" t="s">
        <v>1973</v>
      </c>
      <c r="E632" s="238"/>
      <c r="F632" s="292">
        <f>F633</f>
        <v>10956.2</v>
      </c>
      <c r="G632" s="475"/>
      <c r="H632" s="475">
        <f>H633</f>
        <v>10968.2</v>
      </c>
      <c r="I632" s="475"/>
      <c r="J632" s="475">
        <f>J633</f>
        <v>10968.2</v>
      </c>
      <c r="K632" s="475"/>
      <c r="L632" s="465"/>
      <c r="N632" s="465"/>
      <c r="O632" s="465"/>
    </row>
    <row r="633" spans="1:15" s="441" customFormat="1" x14ac:dyDescent="0.25">
      <c r="A633" s="520" t="s">
        <v>1907</v>
      </c>
      <c r="B633" s="613" t="s">
        <v>175</v>
      </c>
      <c r="C633" s="235" t="s">
        <v>175</v>
      </c>
      <c r="D633" s="442" t="s">
        <v>1979</v>
      </c>
      <c r="E633" s="238"/>
      <c r="F633" s="292">
        <f>F634</f>
        <v>10956.2</v>
      </c>
      <c r="G633" s="475"/>
      <c r="H633" s="475">
        <f>H634</f>
        <v>10968.2</v>
      </c>
      <c r="I633" s="475"/>
      <c r="J633" s="475">
        <f>J634</f>
        <v>10968.2</v>
      </c>
      <c r="K633" s="475"/>
      <c r="L633" s="465"/>
      <c r="N633" s="465"/>
      <c r="O633" s="465"/>
    </row>
    <row r="634" spans="1:15" s="441" customFormat="1" ht="31.5" x14ac:dyDescent="0.25">
      <c r="A634" s="520" t="s">
        <v>1909</v>
      </c>
      <c r="B634" s="613" t="s">
        <v>175</v>
      </c>
      <c r="C634" s="235" t="s">
        <v>175</v>
      </c>
      <c r="D634" s="442" t="s">
        <v>1980</v>
      </c>
      <c r="E634" s="238"/>
      <c r="F634" s="292">
        <f>F635</f>
        <v>10956.2</v>
      </c>
      <c r="G634" s="475"/>
      <c r="H634" s="475">
        <f>H635</f>
        <v>10968.2</v>
      </c>
      <c r="I634" s="475"/>
      <c r="J634" s="475">
        <f>J635</f>
        <v>10968.2</v>
      </c>
      <c r="K634" s="475"/>
      <c r="L634" s="465"/>
      <c r="N634" s="465"/>
      <c r="O634" s="465"/>
    </row>
    <row r="635" spans="1:15" s="441" customFormat="1" x14ac:dyDescent="0.25">
      <c r="A635" s="521" t="s">
        <v>1923</v>
      </c>
      <c r="B635" s="613" t="s">
        <v>175</v>
      </c>
      <c r="C635" s="235" t="s">
        <v>175</v>
      </c>
      <c r="D635" s="442" t="s">
        <v>1981</v>
      </c>
      <c r="E635" s="238"/>
      <c r="F635" s="292">
        <f>F636+F641+F644</f>
        <v>10956.2</v>
      </c>
      <c r="G635" s="475"/>
      <c r="H635" s="475">
        <f>H636+H641+H644</f>
        <v>10968.2</v>
      </c>
      <c r="I635" s="475"/>
      <c r="J635" s="475">
        <f>J636+J641+J644</f>
        <v>10968.2</v>
      </c>
      <c r="K635" s="475"/>
      <c r="L635" s="465"/>
      <c r="N635" s="465"/>
      <c r="O635" s="465"/>
    </row>
    <row r="636" spans="1:15" s="441" customFormat="1" ht="31.5" x14ac:dyDescent="0.25">
      <c r="A636" s="523" t="s">
        <v>1924</v>
      </c>
      <c r="B636" s="613" t="s">
        <v>175</v>
      </c>
      <c r="C636" s="235" t="s">
        <v>175</v>
      </c>
      <c r="D636" s="442" t="s">
        <v>1982</v>
      </c>
      <c r="E636" s="580"/>
      <c r="F636" s="292">
        <f>F637+F639</f>
        <v>1866</v>
      </c>
      <c r="G636" s="475"/>
      <c r="H636" s="475">
        <f>H637+H639</f>
        <v>1878</v>
      </c>
      <c r="I636" s="475"/>
      <c r="J636" s="475">
        <f>J637+J639</f>
        <v>1878</v>
      </c>
      <c r="K636" s="475"/>
      <c r="L636" s="465"/>
      <c r="N636" s="465"/>
      <c r="O636" s="465"/>
    </row>
    <row r="637" spans="1:15" s="441" customFormat="1" x14ac:dyDescent="0.25">
      <c r="A637" s="523" t="s">
        <v>1781</v>
      </c>
      <c r="B637" s="613" t="s">
        <v>175</v>
      </c>
      <c r="C637" s="235" t="s">
        <v>175</v>
      </c>
      <c r="D637" s="442" t="s">
        <v>1982</v>
      </c>
      <c r="E637" s="238">
        <v>200</v>
      </c>
      <c r="F637" s="292">
        <f>F638</f>
        <v>1857.9</v>
      </c>
      <c r="G637" s="475"/>
      <c r="H637" s="475">
        <f>H638</f>
        <v>1878</v>
      </c>
      <c r="I637" s="475"/>
      <c r="J637" s="475">
        <f>J638</f>
        <v>1878</v>
      </c>
      <c r="K637" s="475"/>
      <c r="L637" s="465"/>
      <c r="N637" s="465"/>
      <c r="O637" s="465"/>
    </row>
    <row r="638" spans="1:15" s="441" customFormat="1" ht="31.5" x14ac:dyDescent="0.25">
      <c r="A638" s="523" t="s">
        <v>1273</v>
      </c>
      <c r="B638" s="613" t="s">
        <v>175</v>
      </c>
      <c r="C638" s="235" t="s">
        <v>175</v>
      </c>
      <c r="D638" s="442" t="s">
        <v>1982</v>
      </c>
      <c r="E638" s="238">
        <v>240</v>
      </c>
      <c r="F638" s="292">
        <f>'ведом. 2021-2023'!AD1072</f>
        <v>1857.9</v>
      </c>
      <c r="G638" s="475"/>
      <c r="H638" s="475">
        <f>'ведом. 2021-2023'!AE1072</f>
        <v>1878</v>
      </c>
      <c r="I638" s="475"/>
      <c r="J638" s="475">
        <f>'ведом. 2021-2023'!AF1072</f>
        <v>1878</v>
      </c>
      <c r="K638" s="475"/>
      <c r="L638" s="465"/>
      <c r="N638" s="465"/>
      <c r="O638" s="465"/>
    </row>
    <row r="639" spans="1:15" s="513" customFormat="1" x14ac:dyDescent="0.25">
      <c r="A639" s="519" t="s">
        <v>923</v>
      </c>
      <c r="B639" s="613" t="s">
        <v>175</v>
      </c>
      <c r="C639" s="235" t="s">
        <v>175</v>
      </c>
      <c r="D639" s="442" t="s">
        <v>1982</v>
      </c>
      <c r="E639" s="238">
        <v>800</v>
      </c>
      <c r="F639" s="292">
        <f>F640</f>
        <v>8.1</v>
      </c>
      <c r="G639" s="475"/>
      <c r="H639" s="475">
        <f>H640</f>
        <v>0</v>
      </c>
      <c r="I639" s="475"/>
      <c r="J639" s="475">
        <f>J640</f>
        <v>0</v>
      </c>
      <c r="K639" s="475"/>
      <c r="L639" s="465"/>
      <c r="N639" s="465"/>
      <c r="O639" s="465"/>
    </row>
    <row r="640" spans="1:15" s="513" customFormat="1" x14ac:dyDescent="0.25">
      <c r="A640" s="519" t="s">
        <v>1319</v>
      </c>
      <c r="B640" s="613" t="s">
        <v>175</v>
      </c>
      <c r="C640" s="235" t="s">
        <v>175</v>
      </c>
      <c r="D640" s="442" t="s">
        <v>1982</v>
      </c>
      <c r="E640" s="238">
        <v>850</v>
      </c>
      <c r="F640" s="292">
        <f>'ведом. 2021-2023'!AD1074</f>
        <v>8.1</v>
      </c>
      <c r="G640" s="475"/>
      <c r="H640" s="475">
        <f>'ведом. 2021-2023'!AE1074</f>
        <v>0</v>
      </c>
      <c r="I640" s="475"/>
      <c r="J640" s="475">
        <f>'ведом. 2021-2023'!AF1074</f>
        <v>0</v>
      </c>
      <c r="K640" s="475"/>
      <c r="L640" s="465"/>
      <c r="N640" s="465"/>
      <c r="O640" s="465"/>
    </row>
    <row r="641" spans="1:24" s="441" customFormat="1" ht="31.5" x14ac:dyDescent="0.25">
      <c r="A641" s="523" t="s">
        <v>1925</v>
      </c>
      <c r="B641" s="613" t="s">
        <v>175</v>
      </c>
      <c r="C641" s="235" t="s">
        <v>175</v>
      </c>
      <c r="D641" s="442" t="s">
        <v>1983</v>
      </c>
      <c r="E641" s="580"/>
      <c r="F641" s="292">
        <f>F642</f>
        <v>4198.8999999999996</v>
      </c>
      <c r="G641" s="475"/>
      <c r="H641" s="475">
        <f>H642</f>
        <v>4198.8999999999996</v>
      </c>
      <c r="I641" s="475"/>
      <c r="J641" s="475">
        <f>J642</f>
        <v>4198.8999999999996</v>
      </c>
      <c r="K641" s="475"/>
      <c r="L641" s="465"/>
      <c r="N641" s="465"/>
      <c r="O641" s="465"/>
    </row>
    <row r="642" spans="1:24" s="441" customFormat="1" ht="47.25" x14ac:dyDescent="0.25">
      <c r="A642" s="523" t="s">
        <v>921</v>
      </c>
      <c r="B642" s="613" t="s">
        <v>175</v>
      </c>
      <c r="C642" s="235" t="s">
        <v>175</v>
      </c>
      <c r="D642" s="442" t="s">
        <v>1983</v>
      </c>
      <c r="E642" s="238">
        <v>100</v>
      </c>
      <c r="F642" s="292">
        <f>F643</f>
        <v>4198.8999999999996</v>
      </c>
      <c r="G642" s="475"/>
      <c r="H642" s="475">
        <f>H643</f>
        <v>4198.8999999999996</v>
      </c>
      <c r="I642" s="475"/>
      <c r="J642" s="475">
        <f>J643</f>
        <v>4198.8999999999996</v>
      </c>
      <c r="K642" s="475"/>
      <c r="L642" s="465"/>
      <c r="N642" s="465"/>
      <c r="O642" s="465"/>
    </row>
    <row r="643" spans="1:24" s="441" customFormat="1" x14ac:dyDescent="0.25">
      <c r="A643" s="523" t="s">
        <v>1747</v>
      </c>
      <c r="B643" s="613" t="s">
        <v>175</v>
      </c>
      <c r="C643" s="235" t="s">
        <v>175</v>
      </c>
      <c r="D643" s="442" t="s">
        <v>1983</v>
      </c>
      <c r="E643" s="238">
        <v>120</v>
      </c>
      <c r="F643" s="292">
        <f>'ведом. 2021-2023'!AD1077</f>
        <v>4198.8999999999996</v>
      </c>
      <c r="G643" s="475"/>
      <c r="H643" s="475">
        <f>'ведом. 2021-2023'!AE1077</f>
        <v>4198.8999999999996</v>
      </c>
      <c r="I643" s="475"/>
      <c r="J643" s="475">
        <f>'ведом. 2021-2023'!AF1077</f>
        <v>4198.8999999999996</v>
      </c>
      <c r="K643" s="475"/>
      <c r="L643" s="465"/>
      <c r="N643" s="465"/>
      <c r="O643" s="465"/>
    </row>
    <row r="644" spans="1:24" s="441" customFormat="1" ht="31.5" x14ac:dyDescent="0.25">
      <c r="A644" s="523" t="s">
        <v>1926</v>
      </c>
      <c r="B644" s="613" t="s">
        <v>175</v>
      </c>
      <c r="C644" s="235" t="s">
        <v>175</v>
      </c>
      <c r="D644" s="442" t="s">
        <v>1984</v>
      </c>
      <c r="E644" s="580"/>
      <c r="F644" s="292">
        <f>F645</f>
        <v>4891.3</v>
      </c>
      <c r="G644" s="475"/>
      <c r="H644" s="475">
        <f>H645</f>
        <v>4891.3</v>
      </c>
      <c r="I644" s="475"/>
      <c r="J644" s="475">
        <f>J645</f>
        <v>4891.3</v>
      </c>
      <c r="K644" s="475"/>
      <c r="L644" s="465"/>
      <c r="N644" s="465"/>
      <c r="O644" s="465"/>
    </row>
    <row r="645" spans="1:24" s="441" customFormat="1" ht="47.25" x14ac:dyDescent="0.25">
      <c r="A645" s="523" t="s">
        <v>921</v>
      </c>
      <c r="B645" s="613" t="s">
        <v>175</v>
      </c>
      <c r="C645" s="235" t="s">
        <v>175</v>
      </c>
      <c r="D645" s="442" t="s">
        <v>1984</v>
      </c>
      <c r="E645" s="238">
        <v>100</v>
      </c>
      <c r="F645" s="292">
        <f>F646</f>
        <v>4891.3</v>
      </c>
      <c r="G645" s="475"/>
      <c r="H645" s="475">
        <f>H646</f>
        <v>4891.3</v>
      </c>
      <c r="I645" s="475"/>
      <c r="J645" s="475">
        <f>J646</f>
        <v>4891.3</v>
      </c>
      <c r="K645" s="475"/>
      <c r="L645" s="465"/>
      <c r="N645" s="465"/>
      <c r="O645" s="465"/>
    </row>
    <row r="646" spans="1:24" s="466" customFormat="1" x14ac:dyDescent="0.25">
      <c r="A646" s="523" t="s">
        <v>1747</v>
      </c>
      <c r="B646" s="613" t="s">
        <v>175</v>
      </c>
      <c r="C646" s="235" t="s">
        <v>175</v>
      </c>
      <c r="D646" s="442" t="s">
        <v>1984</v>
      </c>
      <c r="E646" s="238">
        <v>120</v>
      </c>
      <c r="F646" s="292">
        <f>'ведом. 2021-2023'!AD1080</f>
        <v>4891.3</v>
      </c>
      <c r="G646" s="475"/>
      <c r="H646" s="475">
        <f>'ведом. 2021-2023'!AE1080</f>
        <v>4891.3</v>
      </c>
      <c r="I646" s="475"/>
      <c r="J646" s="475">
        <f>'ведом. 2021-2023'!AF1080</f>
        <v>4891.3</v>
      </c>
      <c r="K646" s="475"/>
      <c r="L646" s="465"/>
      <c r="N646" s="465"/>
      <c r="O646" s="465"/>
      <c r="R646" s="274"/>
      <c r="S646" s="644"/>
      <c r="T646" s="645"/>
      <c r="U646" s="645"/>
      <c r="V646" s="646"/>
      <c r="W646" s="646"/>
      <c r="X646" s="647"/>
    </row>
    <row r="647" spans="1:24" s="466" customFormat="1" x14ac:dyDescent="0.25">
      <c r="A647" s="558" t="s">
        <v>866</v>
      </c>
      <c r="B647" s="615" t="s">
        <v>1746</v>
      </c>
      <c r="C647" s="235"/>
      <c r="D647" s="249"/>
      <c r="E647" s="238"/>
      <c r="F647" s="292">
        <f t="shared" ref="F647:J658" si="133">F648</f>
        <v>1712885.9000000001</v>
      </c>
      <c r="G647" s="292">
        <f t="shared" si="133"/>
        <v>1695747.1</v>
      </c>
      <c r="H647" s="292">
        <f t="shared" si="133"/>
        <v>651397.6</v>
      </c>
      <c r="I647" s="292">
        <f t="shared" si="133"/>
        <v>644883.6</v>
      </c>
      <c r="J647" s="292">
        <f t="shared" si="133"/>
        <v>10</v>
      </c>
      <c r="K647" s="475"/>
      <c r="L647" s="465"/>
      <c r="N647" s="465"/>
      <c r="O647" s="465"/>
      <c r="R647" s="274"/>
      <c r="S647" s="644"/>
      <c r="T647" s="645"/>
      <c r="U647" s="645"/>
      <c r="V647" s="646"/>
      <c r="W647" s="646"/>
      <c r="X647" s="647"/>
    </row>
    <row r="648" spans="1:24" s="466" customFormat="1" x14ac:dyDescent="0.25">
      <c r="A648" s="519" t="s">
        <v>1701</v>
      </c>
      <c r="B648" s="246" t="s">
        <v>1746</v>
      </c>
      <c r="C648" s="235" t="s">
        <v>567</v>
      </c>
      <c r="D648" s="249"/>
      <c r="E648" s="238"/>
      <c r="F648" s="292">
        <f t="shared" si="133"/>
        <v>1712885.9000000001</v>
      </c>
      <c r="G648" s="292">
        <f t="shared" si="133"/>
        <v>1695747.1</v>
      </c>
      <c r="H648" s="292">
        <f t="shared" si="133"/>
        <v>651397.6</v>
      </c>
      <c r="I648" s="292">
        <f t="shared" si="133"/>
        <v>644883.6</v>
      </c>
      <c r="J648" s="292">
        <f t="shared" si="133"/>
        <v>10</v>
      </c>
      <c r="K648" s="475"/>
      <c r="L648" s="465"/>
      <c r="N648" s="465"/>
      <c r="O648" s="465"/>
      <c r="R648" s="274"/>
      <c r="S648" s="644"/>
      <c r="T648" s="645"/>
      <c r="U648" s="645"/>
      <c r="V648" s="646"/>
      <c r="W648" s="646"/>
      <c r="X648" s="647"/>
    </row>
    <row r="649" spans="1:24" s="466" customFormat="1" x14ac:dyDescent="0.25">
      <c r="A649" s="520" t="s">
        <v>1948</v>
      </c>
      <c r="B649" s="246" t="s">
        <v>1746</v>
      </c>
      <c r="C649" s="235" t="s">
        <v>567</v>
      </c>
      <c r="D649" s="442" t="s">
        <v>1770</v>
      </c>
      <c r="E649" s="238"/>
      <c r="F649" s="292">
        <f t="shared" si="133"/>
        <v>1712885.9000000001</v>
      </c>
      <c r="G649" s="292">
        <f t="shared" si="133"/>
        <v>1695747.1</v>
      </c>
      <c r="H649" s="292">
        <f t="shared" si="133"/>
        <v>651397.6</v>
      </c>
      <c r="I649" s="292">
        <f t="shared" si="133"/>
        <v>644883.6</v>
      </c>
      <c r="J649" s="292">
        <f t="shared" si="133"/>
        <v>10</v>
      </c>
      <c r="K649" s="475"/>
      <c r="L649" s="465"/>
      <c r="N649" s="465"/>
      <c r="O649" s="465"/>
      <c r="R649" s="274"/>
      <c r="S649" s="644"/>
      <c r="T649" s="645"/>
      <c r="U649" s="645"/>
      <c r="V649" s="646"/>
      <c r="W649" s="646"/>
      <c r="X649" s="647"/>
    </row>
    <row r="650" spans="1:24" s="466" customFormat="1" x14ac:dyDescent="0.25">
      <c r="A650" s="520" t="s">
        <v>2305</v>
      </c>
      <c r="B650" s="246" t="s">
        <v>1746</v>
      </c>
      <c r="C650" s="235" t="s">
        <v>567</v>
      </c>
      <c r="D650" s="442" t="s">
        <v>2306</v>
      </c>
      <c r="E650" s="238"/>
      <c r="F650" s="292">
        <f>F655+F651</f>
        <v>1712885.9000000001</v>
      </c>
      <c r="G650" s="292">
        <f t="shared" ref="G650:J650" si="134">G655+G651</f>
        <v>1695747.1</v>
      </c>
      <c r="H650" s="292">
        <f t="shared" si="134"/>
        <v>651397.6</v>
      </c>
      <c r="I650" s="292">
        <f t="shared" si="134"/>
        <v>644883.6</v>
      </c>
      <c r="J650" s="292">
        <f t="shared" si="134"/>
        <v>10</v>
      </c>
      <c r="K650" s="475"/>
      <c r="L650" s="465"/>
      <c r="N650" s="465"/>
      <c r="O650" s="465"/>
      <c r="R650" s="274"/>
      <c r="S650" s="644"/>
      <c r="T650" s="645"/>
      <c r="U650" s="645"/>
      <c r="V650" s="646"/>
      <c r="W650" s="646"/>
      <c r="X650" s="647"/>
    </row>
    <row r="651" spans="1:24" s="466" customFormat="1" ht="47.25" x14ac:dyDescent="0.25">
      <c r="A651" s="620" t="s">
        <v>2426</v>
      </c>
      <c r="B651" s="255" t="s">
        <v>1746</v>
      </c>
      <c r="C651" s="235" t="s">
        <v>567</v>
      </c>
      <c r="D651" s="442" t="s">
        <v>2428</v>
      </c>
      <c r="E651" s="238"/>
      <c r="F651" s="292">
        <f>F652</f>
        <v>10</v>
      </c>
      <c r="G651" s="292"/>
      <c r="H651" s="292">
        <f t="shared" ref="H651:J651" si="135">H652</f>
        <v>0</v>
      </c>
      <c r="I651" s="292"/>
      <c r="J651" s="292">
        <f t="shared" si="135"/>
        <v>10</v>
      </c>
      <c r="K651" s="475"/>
      <c r="L651" s="465"/>
      <c r="N651" s="465"/>
      <c r="O651" s="465"/>
      <c r="R651" s="274"/>
      <c r="S651" s="644"/>
      <c r="T651" s="645"/>
      <c r="U651" s="645"/>
      <c r="V651" s="646"/>
      <c r="W651" s="646"/>
      <c r="X651" s="647"/>
    </row>
    <row r="652" spans="1:24" s="466" customFormat="1" ht="31.5" x14ac:dyDescent="0.25">
      <c r="A652" s="620" t="s">
        <v>2427</v>
      </c>
      <c r="B652" s="255" t="s">
        <v>1746</v>
      </c>
      <c r="C652" s="235" t="s">
        <v>567</v>
      </c>
      <c r="D652" s="442" t="s">
        <v>2429</v>
      </c>
      <c r="E652" s="238"/>
      <c r="F652" s="292">
        <f>F653</f>
        <v>10</v>
      </c>
      <c r="G652" s="292"/>
      <c r="H652" s="292">
        <f t="shared" ref="H652:J652" si="136">H653</f>
        <v>0</v>
      </c>
      <c r="I652" s="292"/>
      <c r="J652" s="292">
        <f t="shared" si="136"/>
        <v>10</v>
      </c>
      <c r="K652" s="475"/>
      <c r="L652" s="465"/>
      <c r="N652" s="465"/>
      <c r="O652" s="465"/>
      <c r="R652" s="274"/>
      <c r="S652" s="644"/>
      <c r="T652" s="645"/>
      <c r="U652" s="645"/>
      <c r="V652" s="646"/>
      <c r="W652" s="646"/>
      <c r="X652" s="647"/>
    </row>
    <row r="653" spans="1:24" s="466" customFormat="1" x14ac:dyDescent="0.25">
      <c r="A653" s="519" t="s">
        <v>1781</v>
      </c>
      <c r="B653" s="255" t="s">
        <v>1746</v>
      </c>
      <c r="C653" s="235" t="s">
        <v>567</v>
      </c>
      <c r="D653" s="442" t="s">
        <v>2429</v>
      </c>
      <c r="E653" s="238">
        <v>200</v>
      </c>
      <c r="F653" s="292">
        <f>F654</f>
        <v>10</v>
      </c>
      <c r="G653" s="292"/>
      <c r="H653" s="292">
        <f t="shared" ref="H653:J653" si="137">H654</f>
        <v>0</v>
      </c>
      <c r="I653" s="292"/>
      <c r="J653" s="292">
        <f t="shared" si="137"/>
        <v>10</v>
      </c>
      <c r="K653" s="475"/>
      <c r="L653" s="465"/>
      <c r="N653" s="465"/>
      <c r="O653" s="465"/>
      <c r="R653" s="274"/>
      <c r="S653" s="644"/>
      <c r="T653" s="645"/>
      <c r="U653" s="645"/>
      <c r="V653" s="646"/>
      <c r="W653" s="646"/>
      <c r="X653" s="647"/>
    </row>
    <row r="654" spans="1:24" s="466" customFormat="1" ht="31.5" x14ac:dyDescent="0.25">
      <c r="A654" s="519" t="s">
        <v>1273</v>
      </c>
      <c r="B654" s="255" t="s">
        <v>1746</v>
      </c>
      <c r="C654" s="235" t="s">
        <v>567</v>
      </c>
      <c r="D654" s="442" t="s">
        <v>2429</v>
      </c>
      <c r="E654" s="238">
        <v>240</v>
      </c>
      <c r="F654" s="292">
        <f>'ведом. 2021-2023'!AD1088</f>
        <v>10</v>
      </c>
      <c r="G654" s="292"/>
      <c r="H654" s="292">
        <f>'ведом. 2021-2023'!AE1088</f>
        <v>0</v>
      </c>
      <c r="I654" s="292"/>
      <c r="J654" s="292">
        <f>'ведом. 2021-2023'!AF1088</f>
        <v>10</v>
      </c>
      <c r="K654" s="475"/>
      <c r="L654" s="465"/>
      <c r="N654" s="465"/>
      <c r="O654" s="465"/>
      <c r="R654" s="274"/>
      <c r="S654" s="644"/>
      <c r="T654" s="645"/>
      <c r="U654" s="645"/>
      <c r="V654" s="646"/>
      <c r="W654" s="646"/>
      <c r="X654" s="647"/>
    </row>
    <row r="655" spans="1:24" s="466" customFormat="1" x14ac:dyDescent="0.25">
      <c r="A655" s="521" t="s">
        <v>2307</v>
      </c>
      <c r="B655" s="246" t="s">
        <v>1746</v>
      </c>
      <c r="C655" s="235" t="s">
        <v>567</v>
      </c>
      <c r="D655" s="442" t="s">
        <v>2308</v>
      </c>
      <c r="E655" s="579"/>
      <c r="F655" s="292">
        <f t="shared" si="133"/>
        <v>1712875.9000000001</v>
      </c>
      <c r="G655" s="292">
        <f t="shared" si="133"/>
        <v>1695747.1</v>
      </c>
      <c r="H655" s="292">
        <f t="shared" si="133"/>
        <v>651397.6</v>
      </c>
      <c r="I655" s="292">
        <f t="shared" si="133"/>
        <v>644883.6</v>
      </c>
      <c r="J655" s="292">
        <f t="shared" si="133"/>
        <v>0</v>
      </c>
      <c r="K655" s="475"/>
      <c r="L655" s="465"/>
      <c r="N655" s="465"/>
      <c r="O655" s="465"/>
      <c r="R655" s="274"/>
      <c r="S655" s="644"/>
      <c r="T655" s="645"/>
      <c r="U655" s="645"/>
      <c r="V655" s="646"/>
      <c r="W655" s="646"/>
      <c r="X655" s="647"/>
    </row>
    <row r="656" spans="1:24" s="466" customFormat="1" x14ac:dyDescent="0.25">
      <c r="A656" s="521" t="s">
        <v>2309</v>
      </c>
      <c r="B656" s="246" t="s">
        <v>1746</v>
      </c>
      <c r="C656" s="235" t="s">
        <v>567</v>
      </c>
      <c r="D656" s="442" t="s">
        <v>2310</v>
      </c>
      <c r="E656" s="579"/>
      <c r="F656" s="292">
        <f t="shared" si="133"/>
        <v>1712875.9000000001</v>
      </c>
      <c r="G656" s="292">
        <f t="shared" si="133"/>
        <v>1695747.1</v>
      </c>
      <c r="H656" s="292">
        <f t="shared" si="133"/>
        <v>651397.6</v>
      </c>
      <c r="I656" s="292">
        <f t="shared" si="133"/>
        <v>644883.6</v>
      </c>
      <c r="J656" s="292">
        <f t="shared" si="133"/>
        <v>0</v>
      </c>
      <c r="K656" s="475"/>
      <c r="L656" s="465"/>
      <c r="N656" s="465"/>
      <c r="O656" s="465"/>
      <c r="R656" s="274"/>
      <c r="S656" s="644"/>
      <c r="T656" s="645"/>
      <c r="U656" s="645"/>
      <c r="V656" s="646"/>
      <c r="W656" s="646"/>
      <c r="X656" s="647"/>
    </row>
    <row r="657" spans="1:24" s="466" customFormat="1" ht="31.5" x14ac:dyDescent="0.25">
      <c r="A657" s="521" t="s">
        <v>2311</v>
      </c>
      <c r="B657" s="246" t="s">
        <v>1746</v>
      </c>
      <c r="C657" s="235" t="s">
        <v>567</v>
      </c>
      <c r="D657" s="442" t="s">
        <v>2312</v>
      </c>
      <c r="E657" s="579"/>
      <c r="F657" s="292">
        <f t="shared" si="133"/>
        <v>1712875.9000000001</v>
      </c>
      <c r="G657" s="292">
        <f t="shared" si="133"/>
        <v>1695747.1</v>
      </c>
      <c r="H657" s="292">
        <f t="shared" si="133"/>
        <v>651397.6</v>
      </c>
      <c r="I657" s="292">
        <f t="shared" si="133"/>
        <v>644883.6</v>
      </c>
      <c r="J657" s="292">
        <f t="shared" si="133"/>
        <v>0</v>
      </c>
      <c r="K657" s="475"/>
      <c r="L657" s="465"/>
      <c r="N657" s="465"/>
      <c r="O657" s="465"/>
      <c r="R657" s="274"/>
      <c r="S657" s="644"/>
      <c r="T657" s="645"/>
      <c r="U657" s="645"/>
      <c r="V657" s="646"/>
      <c r="W657" s="646"/>
      <c r="X657" s="647"/>
    </row>
    <row r="658" spans="1:24" s="466" customFormat="1" x14ac:dyDescent="0.25">
      <c r="A658" s="530" t="s">
        <v>1836</v>
      </c>
      <c r="B658" s="246" t="s">
        <v>1746</v>
      </c>
      <c r="C658" s="235" t="s">
        <v>567</v>
      </c>
      <c r="D658" s="442" t="s">
        <v>2312</v>
      </c>
      <c r="E658" s="579" t="s">
        <v>1837</v>
      </c>
      <c r="F658" s="292">
        <f t="shared" si="133"/>
        <v>1712875.9000000001</v>
      </c>
      <c r="G658" s="292">
        <f t="shared" si="133"/>
        <v>1695747.1</v>
      </c>
      <c r="H658" s="292">
        <f t="shared" si="133"/>
        <v>651397.6</v>
      </c>
      <c r="I658" s="292">
        <f t="shared" si="133"/>
        <v>644883.6</v>
      </c>
      <c r="J658" s="292">
        <f t="shared" si="133"/>
        <v>0</v>
      </c>
      <c r="K658" s="475"/>
      <c r="L658" s="465"/>
      <c r="N658" s="465"/>
      <c r="O658" s="465"/>
      <c r="R658" s="274"/>
      <c r="S658" s="644"/>
      <c r="T658" s="645"/>
      <c r="U658" s="645"/>
      <c r="V658" s="646"/>
      <c r="W658" s="646"/>
      <c r="X658" s="647"/>
    </row>
    <row r="659" spans="1:24" s="466" customFormat="1" x14ac:dyDescent="0.25">
      <c r="A659" s="519" t="s">
        <v>232</v>
      </c>
      <c r="B659" s="246" t="s">
        <v>1746</v>
      </c>
      <c r="C659" s="235" t="s">
        <v>567</v>
      </c>
      <c r="D659" s="442" t="s">
        <v>2312</v>
      </c>
      <c r="E659" s="579" t="s">
        <v>1838</v>
      </c>
      <c r="F659" s="292">
        <f>'ведом. 2021-2023'!AD1093</f>
        <v>1712875.9000000001</v>
      </c>
      <c r="G659" s="475">
        <v>1695747.1</v>
      </c>
      <c r="H659" s="292">
        <f>'ведом. 2021-2023'!AE1093</f>
        <v>651397.6</v>
      </c>
      <c r="I659" s="475">
        <v>644883.6</v>
      </c>
      <c r="J659" s="475">
        <f>'ведом. 2021-2023'!AF1093</f>
        <v>0</v>
      </c>
      <c r="K659" s="475"/>
      <c r="L659" s="465"/>
      <c r="N659" s="465"/>
      <c r="O659" s="465"/>
      <c r="R659" s="274"/>
      <c r="S659" s="644"/>
      <c r="T659" s="645"/>
      <c r="U659" s="645"/>
      <c r="V659" s="646"/>
      <c r="W659" s="646"/>
      <c r="X659" s="647"/>
    </row>
    <row r="660" spans="1:24" s="441" customFormat="1" x14ac:dyDescent="0.25">
      <c r="A660" s="607" t="s">
        <v>174</v>
      </c>
      <c r="B660" s="615" t="s">
        <v>205</v>
      </c>
      <c r="C660" s="248"/>
      <c r="D660" s="271"/>
      <c r="E660" s="575"/>
      <c r="F660" s="733">
        <f t="shared" ref="F660:K660" si="138">F661+F675+F731+F766+F785</f>
        <v>1115622.3999999999</v>
      </c>
      <c r="G660" s="478">
        <f t="shared" si="138"/>
        <v>725712.10000000009</v>
      </c>
      <c r="H660" s="478">
        <f t="shared" si="138"/>
        <v>1092826.3999999999</v>
      </c>
      <c r="I660" s="478">
        <f t="shared" si="138"/>
        <v>728627.79999999993</v>
      </c>
      <c r="J660" s="478">
        <f t="shared" si="138"/>
        <v>1081146.3999999999</v>
      </c>
      <c r="K660" s="478">
        <f t="shared" si="138"/>
        <v>717125.60000000009</v>
      </c>
      <c r="L660" s="465"/>
      <c r="N660" s="465"/>
      <c r="O660" s="465"/>
    </row>
    <row r="661" spans="1:24" s="441" customFormat="1" x14ac:dyDescent="0.25">
      <c r="A661" s="523" t="s">
        <v>389</v>
      </c>
      <c r="B661" s="613" t="s">
        <v>205</v>
      </c>
      <c r="C661" s="235" t="s">
        <v>566</v>
      </c>
      <c r="D661" s="442"/>
      <c r="E661" s="576"/>
      <c r="F661" s="292">
        <f t="shared" ref="F661:K661" si="139">F662</f>
        <v>438320.8</v>
      </c>
      <c r="G661" s="475">
        <f t="shared" si="139"/>
        <v>283550</v>
      </c>
      <c r="H661" s="475">
        <f t="shared" si="139"/>
        <v>425351.9</v>
      </c>
      <c r="I661" s="475">
        <f t="shared" si="139"/>
        <v>277827</v>
      </c>
      <c r="J661" s="475">
        <f t="shared" si="139"/>
        <v>425351.9</v>
      </c>
      <c r="K661" s="475">
        <f t="shared" si="139"/>
        <v>277827</v>
      </c>
      <c r="L661" s="465"/>
      <c r="N661" s="465"/>
      <c r="O661" s="465"/>
    </row>
    <row r="662" spans="1:24" s="441" customFormat="1" x14ac:dyDescent="0.25">
      <c r="A662" s="605" t="s">
        <v>2021</v>
      </c>
      <c r="B662" s="618" t="s">
        <v>205</v>
      </c>
      <c r="C662" s="235" t="s">
        <v>566</v>
      </c>
      <c r="D662" s="442" t="s">
        <v>1759</v>
      </c>
      <c r="E662" s="238"/>
      <c r="F662" s="292">
        <f t="shared" ref="F662:H663" si="140">F663</f>
        <v>438320.8</v>
      </c>
      <c r="G662" s="475">
        <f t="shared" ref="G662:I663" si="141">G663</f>
        <v>283550</v>
      </c>
      <c r="H662" s="475">
        <f t="shared" si="140"/>
        <v>425351.9</v>
      </c>
      <c r="I662" s="475">
        <f t="shared" si="141"/>
        <v>277827</v>
      </c>
      <c r="J662" s="475">
        <f>J663</f>
        <v>425351.9</v>
      </c>
      <c r="K662" s="475">
        <f>K663</f>
        <v>277827</v>
      </c>
      <c r="L662" s="465"/>
      <c r="N662" s="465"/>
      <c r="O662" s="465"/>
    </row>
    <row r="663" spans="1:24" s="441" customFormat="1" x14ac:dyDescent="0.25">
      <c r="A663" s="520" t="s">
        <v>2022</v>
      </c>
      <c r="B663" s="618" t="s">
        <v>205</v>
      </c>
      <c r="C663" s="235" t="s">
        <v>566</v>
      </c>
      <c r="D663" s="442" t="s">
        <v>1777</v>
      </c>
      <c r="E663" s="238"/>
      <c r="F663" s="292">
        <f>F664</f>
        <v>438320.8</v>
      </c>
      <c r="G663" s="475">
        <f t="shared" si="141"/>
        <v>283550</v>
      </c>
      <c r="H663" s="475">
        <f t="shared" si="140"/>
        <v>425351.9</v>
      </c>
      <c r="I663" s="475">
        <f t="shared" si="141"/>
        <v>277827</v>
      </c>
      <c r="J663" s="475">
        <f>J664</f>
        <v>425351.9</v>
      </c>
      <c r="K663" s="475">
        <f>K664</f>
        <v>277827</v>
      </c>
      <c r="L663" s="465"/>
      <c r="N663" s="465"/>
      <c r="O663" s="465"/>
    </row>
    <row r="664" spans="1:24" s="441" customFormat="1" ht="31.5" x14ac:dyDescent="0.25">
      <c r="A664" s="520" t="s">
        <v>2023</v>
      </c>
      <c r="B664" s="618" t="s">
        <v>205</v>
      </c>
      <c r="C664" s="235" t="s">
        <v>566</v>
      </c>
      <c r="D664" s="442" t="s">
        <v>1791</v>
      </c>
      <c r="E664" s="238"/>
      <c r="F664" s="292">
        <f t="shared" ref="F664:K664" si="142">F665+F672</f>
        <v>438320.8</v>
      </c>
      <c r="G664" s="475">
        <f t="shared" si="142"/>
        <v>283550</v>
      </c>
      <c r="H664" s="475">
        <f t="shared" si="142"/>
        <v>425351.9</v>
      </c>
      <c r="I664" s="475">
        <f t="shared" si="142"/>
        <v>277827</v>
      </c>
      <c r="J664" s="475">
        <f t="shared" si="142"/>
        <v>425351.9</v>
      </c>
      <c r="K664" s="475">
        <f t="shared" si="142"/>
        <v>277827</v>
      </c>
      <c r="L664" s="465"/>
      <c r="N664" s="465"/>
      <c r="O664" s="465"/>
    </row>
    <row r="665" spans="1:24" s="441" customFormat="1" ht="31.5" x14ac:dyDescent="0.25">
      <c r="A665" s="523" t="s">
        <v>2026</v>
      </c>
      <c r="B665" s="618" t="s">
        <v>205</v>
      </c>
      <c r="C665" s="235" t="s">
        <v>566</v>
      </c>
      <c r="D665" s="442" t="s">
        <v>2161</v>
      </c>
      <c r="E665" s="593"/>
      <c r="F665" s="292">
        <f>F666+F669</f>
        <v>154770.79999999999</v>
      </c>
      <c r="G665" s="475"/>
      <c r="H665" s="475">
        <f>H666+H669</f>
        <v>147524.9</v>
      </c>
      <c r="I665" s="475"/>
      <c r="J665" s="475">
        <f>J666+J669</f>
        <v>147524.9</v>
      </c>
      <c r="K665" s="475"/>
      <c r="L665" s="465"/>
      <c r="N665" s="465"/>
      <c r="O665" s="465"/>
    </row>
    <row r="666" spans="1:24" s="441" customFormat="1" ht="31.5" x14ac:dyDescent="0.25">
      <c r="A666" s="523" t="s">
        <v>2202</v>
      </c>
      <c r="B666" s="618" t="s">
        <v>205</v>
      </c>
      <c r="C666" s="235" t="s">
        <v>566</v>
      </c>
      <c r="D666" s="442" t="s">
        <v>2162</v>
      </c>
      <c r="E666" s="238"/>
      <c r="F666" s="292">
        <f>F667</f>
        <v>148701.5</v>
      </c>
      <c r="G666" s="475"/>
      <c r="H666" s="475">
        <f>H667</f>
        <v>145755.6</v>
      </c>
      <c r="I666" s="475"/>
      <c r="J666" s="475">
        <f>J667</f>
        <v>145755.6</v>
      </c>
      <c r="K666" s="475"/>
      <c r="L666" s="465"/>
      <c r="N666" s="465"/>
      <c r="O666" s="465"/>
    </row>
    <row r="667" spans="1:24" s="441" customFormat="1" ht="31.5" x14ac:dyDescent="0.25">
      <c r="A667" s="523" t="s">
        <v>1342</v>
      </c>
      <c r="B667" s="618" t="s">
        <v>205</v>
      </c>
      <c r="C667" s="235" t="s">
        <v>566</v>
      </c>
      <c r="D667" s="442" t="s">
        <v>2162</v>
      </c>
      <c r="E667" s="238">
        <v>600</v>
      </c>
      <c r="F667" s="292">
        <f>F668</f>
        <v>148701.5</v>
      </c>
      <c r="G667" s="475"/>
      <c r="H667" s="475">
        <f>H668</f>
        <v>145755.6</v>
      </c>
      <c r="I667" s="475"/>
      <c r="J667" s="475">
        <f>J668</f>
        <v>145755.6</v>
      </c>
      <c r="K667" s="475"/>
      <c r="L667" s="465"/>
      <c r="N667" s="465"/>
      <c r="O667" s="465"/>
    </row>
    <row r="668" spans="1:24" s="441" customFormat="1" x14ac:dyDescent="0.25">
      <c r="A668" s="523" t="s">
        <v>1343</v>
      </c>
      <c r="B668" s="613" t="s">
        <v>205</v>
      </c>
      <c r="C668" s="235" t="s">
        <v>566</v>
      </c>
      <c r="D668" s="442" t="s">
        <v>2162</v>
      </c>
      <c r="E668" s="238">
        <v>610</v>
      </c>
      <c r="F668" s="292">
        <f>'ведом. 2021-2023'!AD738</f>
        <v>148701.5</v>
      </c>
      <c r="G668" s="475"/>
      <c r="H668" s="475">
        <f>'ведом. 2021-2023'!AE738</f>
        <v>145755.6</v>
      </c>
      <c r="I668" s="475"/>
      <c r="J668" s="475">
        <f>'ведом. 2021-2023'!AF738</f>
        <v>145755.6</v>
      </c>
      <c r="K668" s="475"/>
      <c r="L668" s="465"/>
      <c r="N668" s="465"/>
      <c r="O668" s="465"/>
    </row>
    <row r="669" spans="1:24" s="441" customFormat="1" ht="31.5" x14ac:dyDescent="0.25">
      <c r="A669" s="523" t="s">
        <v>2027</v>
      </c>
      <c r="B669" s="613" t="s">
        <v>205</v>
      </c>
      <c r="C669" s="235" t="s">
        <v>566</v>
      </c>
      <c r="D669" s="442" t="s">
        <v>2163</v>
      </c>
      <c r="E669" s="238"/>
      <c r="F669" s="292">
        <f>F670</f>
        <v>6069.3</v>
      </c>
      <c r="G669" s="475"/>
      <c r="H669" s="475">
        <f>H670</f>
        <v>1769.3</v>
      </c>
      <c r="I669" s="475"/>
      <c r="J669" s="475">
        <f>J670</f>
        <v>1769.3</v>
      </c>
      <c r="K669" s="475"/>
      <c r="L669" s="465"/>
      <c r="N669" s="465"/>
      <c r="O669" s="465"/>
    </row>
    <row r="670" spans="1:24" s="441" customFormat="1" ht="31.5" x14ac:dyDescent="0.25">
      <c r="A670" s="523" t="s">
        <v>1342</v>
      </c>
      <c r="B670" s="613" t="s">
        <v>205</v>
      </c>
      <c r="C670" s="235" t="s">
        <v>566</v>
      </c>
      <c r="D670" s="442" t="s">
        <v>2163</v>
      </c>
      <c r="E670" s="238">
        <v>600</v>
      </c>
      <c r="F670" s="292">
        <f>F671</f>
        <v>6069.3</v>
      </c>
      <c r="G670" s="475"/>
      <c r="H670" s="475">
        <f>H671</f>
        <v>1769.3</v>
      </c>
      <c r="I670" s="475"/>
      <c r="J670" s="475">
        <f>J671</f>
        <v>1769.3</v>
      </c>
      <c r="K670" s="475"/>
      <c r="L670" s="465"/>
      <c r="N670" s="465"/>
      <c r="O670" s="465"/>
    </row>
    <row r="671" spans="1:24" s="441" customFormat="1" x14ac:dyDescent="0.25">
      <c r="A671" s="523" t="s">
        <v>1343</v>
      </c>
      <c r="B671" s="618" t="s">
        <v>205</v>
      </c>
      <c r="C671" s="235" t="s">
        <v>566</v>
      </c>
      <c r="D671" s="442" t="s">
        <v>2163</v>
      </c>
      <c r="E671" s="238">
        <v>610</v>
      </c>
      <c r="F671" s="292">
        <f>'ведом. 2021-2023'!AD741</f>
        <v>6069.3</v>
      </c>
      <c r="G671" s="475"/>
      <c r="H671" s="475">
        <f>'ведом. 2021-2023'!AE741</f>
        <v>1769.3</v>
      </c>
      <c r="I671" s="475"/>
      <c r="J671" s="475">
        <f>'ведом. 2021-2023'!AF741</f>
        <v>1769.3</v>
      </c>
      <c r="K671" s="475"/>
      <c r="L671" s="465"/>
      <c r="N671" s="465"/>
      <c r="O671" s="465"/>
    </row>
    <row r="672" spans="1:24" s="441" customFormat="1" ht="78.75" x14ac:dyDescent="0.25">
      <c r="A672" s="521" t="s">
        <v>2024</v>
      </c>
      <c r="B672" s="614" t="s">
        <v>205</v>
      </c>
      <c r="C672" s="242" t="s">
        <v>566</v>
      </c>
      <c r="D672" s="442" t="s">
        <v>2164</v>
      </c>
      <c r="E672" s="593"/>
      <c r="F672" s="292">
        <f t="shared" ref="F672:K673" si="143">F673</f>
        <v>283550</v>
      </c>
      <c r="G672" s="475">
        <f t="shared" si="143"/>
        <v>283550</v>
      </c>
      <c r="H672" s="475">
        <f t="shared" si="143"/>
        <v>277827</v>
      </c>
      <c r="I672" s="475">
        <f t="shared" si="143"/>
        <v>277827</v>
      </c>
      <c r="J672" s="475">
        <f t="shared" si="143"/>
        <v>277827</v>
      </c>
      <c r="K672" s="475">
        <f t="shared" si="143"/>
        <v>277827</v>
      </c>
      <c r="L672" s="465"/>
      <c r="N672" s="465"/>
      <c r="O672" s="465"/>
    </row>
    <row r="673" spans="1:15" s="441" customFormat="1" ht="31.5" x14ac:dyDescent="0.25">
      <c r="A673" s="523" t="s">
        <v>1342</v>
      </c>
      <c r="B673" s="614" t="s">
        <v>205</v>
      </c>
      <c r="C673" s="242" t="s">
        <v>566</v>
      </c>
      <c r="D673" s="442" t="s">
        <v>2164</v>
      </c>
      <c r="E673" s="576">
        <v>600</v>
      </c>
      <c r="F673" s="292">
        <f t="shared" si="143"/>
        <v>283550</v>
      </c>
      <c r="G673" s="475">
        <f t="shared" si="143"/>
        <v>283550</v>
      </c>
      <c r="H673" s="475">
        <f t="shared" si="143"/>
        <v>277827</v>
      </c>
      <c r="I673" s="475">
        <f t="shared" si="143"/>
        <v>277827</v>
      </c>
      <c r="J673" s="475">
        <f t="shared" si="143"/>
        <v>277827</v>
      </c>
      <c r="K673" s="475">
        <f t="shared" si="143"/>
        <v>277827</v>
      </c>
      <c r="L673" s="465"/>
      <c r="N673" s="465"/>
      <c r="O673" s="465"/>
    </row>
    <row r="674" spans="1:15" s="441" customFormat="1" x14ac:dyDescent="0.25">
      <c r="A674" s="523" t="s">
        <v>1343</v>
      </c>
      <c r="B674" s="618" t="s">
        <v>205</v>
      </c>
      <c r="C674" s="235" t="s">
        <v>566</v>
      </c>
      <c r="D674" s="442" t="s">
        <v>2164</v>
      </c>
      <c r="E674" s="576">
        <v>610</v>
      </c>
      <c r="F674" s="292">
        <f>'ведом. 2021-2023'!AD744</f>
        <v>283550</v>
      </c>
      <c r="G674" s="475">
        <f>F674</f>
        <v>283550</v>
      </c>
      <c r="H674" s="475">
        <f>'ведом. 2021-2023'!AE744</f>
        <v>277827</v>
      </c>
      <c r="I674" s="475">
        <f>H674</f>
        <v>277827</v>
      </c>
      <c r="J674" s="475">
        <f>'ведом. 2021-2023'!AF744</f>
        <v>277827</v>
      </c>
      <c r="K674" s="475">
        <f>J674</f>
        <v>277827</v>
      </c>
      <c r="L674" s="465"/>
      <c r="N674" s="465"/>
      <c r="O674" s="465"/>
    </row>
    <row r="675" spans="1:15" s="441" customFormat="1" x14ac:dyDescent="0.25">
      <c r="A675" s="519" t="s">
        <v>734</v>
      </c>
      <c r="B675" s="618" t="s">
        <v>205</v>
      </c>
      <c r="C675" s="235" t="s">
        <v>567</v>
      </c>
      <c r="D675" s="249"/>
      <c r="E675" s="576"/>
      <c r="F675" s="292">
        <f t="shared" ref="F675:K675" si="144">F676+F720+F706+F727+F713</f>
        <v>511231.3</v>
      </c>
      <c r="G675" s="292">
        <f t="shared" si="144"/>
        <v>428559.8</v>
      </c>
      <c r="H675" s="292">
        <f t="shared" si="144"/>
        <v>508739.39999999997</v>
      </c>
      <c r="I675" s="292">
        <f t="shared" si="144"/>
        <v>428522.6</v>
      </c>
      <c r="J675" s="292">
        <f t="shared" si="144"/>
        <v>516850.69999999995</v>
      </c>
      <c r="K675" s="292">
        <f t="shared" si="144"/>
        <v>435725.60000000003</v>
      </c>
      <c r="L675" s="465"/>
      <c r="N675" s="465"/>
      <c r="O675" s="465"/>
    </row>
    <row r="676" spans="1:15" s="441" customFormat="1" x14ac:dyDescent="0.25">
      <c r="A676" s="605" t="s">
        <v>2021</v>
      </c>
      <c r="B676" s="618" t="s">
        <v>205</v>
      </c>
      <c r="C676" s="235" t="s">
        <v>567</v>
      </c>
      <c r="D676" s="442" t="s">
        <v>1759</v>
      </c>
      <c r="E676" s="238"/>
      <c r="F676" s="740">
        <f t="shared" ref="F676:K676" si="145">F677</f>
        <v>509298.4</v>
      </c>
      <c r="G676" s="477">
        <f t="shared" si="145"/>
        <v>428559.8</v>
      </c>
      <c r="H676" s="477">
        <f t="shared" si="145"/>
        <v>507789.39999999997</v>
      </c>
      <c r="I676" s="477">
        <f t="shared" si="145"/>
        <v>428522.6</v>
      </c>
      <c r="J676" s="477">
        <f t="shared" si="145"/>
        <v>507795.39999999997</v>
      </c>
      <c r="K676" s="477">
        <f t="shared" si="145"/>
        <v>428026.2</v>
      </c>
      <c r="L676" s="465"/>
      <c r="N676" s="465"/>
      <c r="O676" s="465"/>
    </row>
    <row r="677" spans="1:15" s="441" customFormat="1" x14ac:dyDescent="0.25">
      <c r="A677" s="520" t="s">
        <v>2028</v>
      </c>
      <c r="B677" s="613" t="s">
        <v>205</v>
      </c>
      <c r="C677" s="235" t="s">
        <v>567</v>
      </c>
      <c r="D677" s="442" t="s">
        <v>1760</v>
      </c>
      <c r="E677" s="238"/>
      <c r="F677" s="740">
        <f>F678+F692+F702</f>
        <v>509298.4</v>
      </c>
      <c r="G677" s="477">
        <f>G678+G692</f>
        <v>428559.8</v>
      </c>
      <c r="H677" s="477">
        <f>H678+H692+H702</f>
        <v>507789.39999999997</v>
      </c>
      <c r="I677" s="477">
        <f>I678+I692</f>
        <v>428522.6</v>
      </c>
      <c r="J677" s="477">
        <f>J678+J692+J702</f>
        <v>507795.39999999997</v>
      </c>
      <c r="K677" s="477">
        <f>K678+K692</f>
        <v>428026.2</v>
      </c>
      <c r="L677" s="465"/>
      <c r="N677" s="465"/>
      <c r="O677" s="465"/>
    </row>
    <row r="678" spans="1:15" s="441" customFormat="1" ht="31.5" x14ac:dyDescent="0.25">
      <c r="A678" s="517" t="s">
        <v>2029</v>
      </c>
      <c r="B678" s="613" t="s">
        <v>205</v>
      </c>
      <c r="C678" s="235" t="s">
        <v>567</v>
      </c>
      <c r="D678" s="442" t="s">
        <v>1792</v>
      </c>
      <c r="E678" s="238"/>
      <c r="F678" s="740">
        <f t="shared" ref="F678:K678" si="146">F679+F689+F686</f>
        <v>460947.20000000001</v>
      </c>
      <c r="G678" s="477">
        <f t="shared" si="146"/>
        <v>386169</v>
      </c>
      <c r="H678" s="477">
        <f t="shared" si="146"/>
        <v>457404.1</v>
      </c>
      <c r="I678" s="477">
        <f t="shared" si="146"/>
        <v>385641</v>
      </c>
      <c r="J678" s="477">
        <f t="shared" si="146"/>
        <v>457404.1</v>
      </c>
      <c r="K678" s="477">
        <f t="shared" si="146"/>
        <v>385641</v>
      </c>
      <c r="L678" s="465"/>
      <c r="N678" s="465"/>
      <c r="O678" s="465"/>
    </row>
    <row r="679" spans="1:15" s="441" customFormat="1" ht="31.5" x14ac:dyDescent="0.25">
      <c r="A679" s="520" t="s">
        <v>2030</v>
      </c>
      <c r="B679" s="613" t="s">
        <v>205</v>
      </c>
      <c r="C679" s="235" t="s">
        <v>567</v>
      </c>
      <c r="D679" s="442" t="s">
        <v>2031</v>
      </c>
      <c r="E679" s="238"/>
      <c r="F679" s="292">
        <f>F680+F683</f>
        <v>74778.2</v>
      </c>
      <c r="G679" s="292"/>
      <c r="H679" s="292">
        <f t="shared" ref="H679:J679" si="147">H680+H683</f>
        <v>71763.100000000006</v>
      </c>
      <c r="I679" s="292"/>
      <c r="J679" s="292">
        <f t="shared" si="147"/>
        <v>71763.100000000006</v>
      </c>
      <c r="K679" s="475"/>
      <c r="L679" s="465"/>
      <c r="N679" s="465"/>
      <c r="O679" s="465"/>
    </row>
    <row r="680" spans="1:15" s="441" customFormat="1" ht="31.5" x14ac:dyDescent="0.25">
      <c r="A680" s="520" t="s">
        <v>2201</v>
      </c>
      <c r="B680" s="613" t="s">
        <v>205</v>
      </c>
      <c r="C680" s="235" t="s">
        <v>567</v>
      </c>
      <c r="D680" s="442" t="s">
        <v>2032</v>
      </c>
      <c r="E680" s="593"/>
      <c r="F680" s="292">
        <f>F681</f>
        <v>69129</v>
      </c>
      <c r="G680" s="475"/>
      <c r="H680" s="475">
        <f>H681</f>
        <v>69929</v>
      </c>
      <c r="I680" s="475"/>
      <c r="J680" s="475">
        <f>J681</f>
        <v>69929</v>
      </c>
      <c r="K680" s="475"/>
      <c r="L680" s="465"/>
      <c r="N680" s="465"/>
      <c r="O680" s="465"/>
    </row>
    <row r="681" spans="1:15" s="441" customFormat="1" ht="31.5" x14ac:dyDescent="0.25">
      <c r="A681" s="523" t="s">
        <v>1342</v>
      </c>
      <c r="B681" s="613" t="s">
        <v>205</v>
      </c>
      <c r="C681" s="235" t="s">
        <v>567</v>
      </c>
      <c r="D681" s="442" t="s">
        <v>2032</v>
      </c>
      <c r="E681" s="238">
        <v>600</v>
      </c>
      <c r="F681" s="292">
        <f>F682</f>
        <v>69129</v>
      </c>
      <c r="G681" s="475"/>
      <c r="H681" s="475">
        <f>H682</f>
        <v>69929</v>
      </c>
      <c r="I681" s="475"/>
      <c r="J681" s="475">
        <f>J682</f>
        <v>69929</v>
      </c>
      <c r="K681" s="475"/>
      <c r="L681" s="465"/>
      <c r="N681" s="465"/>
      <c r="O681" s="465"/>
    </row>
    <row r="682" spans="1:15" s="441" customFormat="1" x14ac:dyDescent="0.25">
      <c r="A682" s="523" t="s">
        <v>1343</v>
      </c>
      <c r="B682" s="613" t="s">
        <v>205</v>
      </c>
      <c r="C682" s="235" t="s">
        <v>567</v>
      </c>
      <c r="D682" s="442" t="s">
        <v>2032</v>
      </c>
      <c r="E682" s="238">
        <v>610</v>
      </c>
      <c r="F682" s="292">
        <f>'ведом. 2021-2023'!AD752</f>
        <v>69129</v>
      </c>
      <c r="G682" s="475"/>
      <c r="H682" s="475">
        <f>'ведом. 2021-2023'!AE752</f>
        <v>69929</v>
      </c>
      <c r="I682" s="475"/>
      <c r="J682" s="475">
        <f>'ведом. 2021-2023'!AF752</f>
        <v>69929</v>
      </c>
      <c r="K682" s="475"/>
      <c r="L682" s="465"/>
      <c r="N682" s="465"/>
      <c r="O682" s="465"/>
    </row>
    <row r="683" spans="1:15" s="513" customFormat="1" ht="43.15" customHeight="1" x14ac:dyDescent="0.25">
      <c r="A683" s="523" t="s">
        <v>2034</v>
      </c>
      <c r="B683" s="613" t="s">
        <v>205</v>
      </c>
      <c r="C683" s="235" t="s">
        <v>567</v>
      </c>
      <c r="D683" s="442" t="s">
        <v>2033</v>
      </c>
      <c r="E683" s="238"/>
      <c r="F683" s="292">
        <f>F684</f>
        <v>5649.2</v>
      </c>
      <c r="G683" s="292"/>
      <c r="H683" s="292">
        <f t="shared" ref="H683:J683" si="148">H684</f>
        <v>1834.1</v>
      </c>
      <c r="I683" s="292"/>
      <c r="J683" s="292">
        <f t="shared" si="148"/>
        <v>1834.1</v>
      </c>
      <c r="K683" s="475"/>
      <c r="L683" s="465"/>
      <c r="N683" s="465"/>
      <c r="O683" s="465"/>
    </row>
    <row r="684" spans="1:15" s="441" customFormat="1" ht="31.5" x14ac:dyDescent="0.25">
      <c r="A684" s="523" t="s">
        <v>1342</v>
      </c>
      <c r="B684" s="613" t="s">
        <v>205</v>
      </c>
      <c r="C684" s="235" t="s">
        <v>567</v>
      </c>
      <c r="D684" s="442" t="s">
        <v>2033</v>
      </c>
      <c r="E684" s="238">
        <v>600</v>
      </c>
      <c r="F684" s="292">
        <f>F685</f>
        <v>5649.2</v>
      </c>
      <c r="G684" s="475"/>
      <c r="H684" s="475">
        <f>H685</f>
        <v>1834.1</v>
      </c>
      <c r="I684" s="475"/>
      <c r="J684" s="475">
        <f>J685</f>
        <v>1834.1</v>
      </c>
      <c r="K684" s="475"/>
      <c r="L684" s="465"/>
      <c r="N684" s="465"/>
      <c r="O684" s="465"/>
    </row>
    <row r="685" spans="1:15" s="441" customFormat="1" x14ac:dyDescent="0.25">
      <c r="A685" s="523" t="s">
        <v>1343</v>
      </c>
      <c r="B685" s="613" t="s">
        <v>205</v>
      </c>
      <c r="C685" s="235" t="s">
        <v>567</v>
      </c>
      <c r="D685" s="442" t="s">
        <v>2033</v>
      </c>
      <c r="E685" s="238">
        <v>610</v>
      </c>
      <c r="F685" s="292">
        <f>'ведом. 2021-2023'!AD755</f>
        <v>5649.2</v>
      </c>
      <c r="G685" s="475"/>
      <c r="H685" s="475">
        <f>'ведом. 2021-2023'!AE755</f>
        <v>1834.1</v>
      </c>
      <c r="I685" s="475"/>
      <c r="J685" s="475">
        <f>'ведом. 2021-2023'!AF755</f>
        <v>1834.1</v>
      </c>
      <c r="K685" s="475"/>
      <c r="L685" s="465"/>
      <c r="N685" s="465"/>
      <c r="O685" s="465"/>
    </row>
    <row r="686" spans="1:15" s="513" customFormat="1" ht="141.75" x14ac:dyDescent="0.25">
      <c r="A686" s="514" t="s">
        <v>2287</v>
      </c>
      <c r="B686" s="613" t="s">
        <v>205</v>
      </c>
      <c r="C686" s="235" t="s">
        <v>567</v>
      </c>
      <c r="D686" s="249" t="s">
        <v>2288</v>
      </c>
      <c r="E686" s="238"/>
      <c r="F686" s="292">
        <f t="shared" ref="F686:K687" si="149">F687</f>
        <v>18358</v>
      </c>
      <c r="G686" s="475">
        <f t="shared" si="149"/>
        <v>18358</v>
      </c>
      <c r="H686" s="475">
        <f t="shared" si="149"/>
        <v>18358</v>
      </c>
      <c r="I686" s="475">
        <f t="shared" si="149"/>
        <v>18358</v>
      </c>
      <c r="J686" s="475">
        <f t="shared" si="149"/>
        <v>18358</v>
      </c>
      <c r="K686" s="475">
        <f t="shared" si="149"/>
        <v>18358</v>
      </c>
      <c r="L686" s="465"/>
      <c r="N686" s="465"/>
      <c r="O686" s="465"/>
    </row>
    <row r="687" spans="1:15" s="513" customFormat="1" ht="31.5" x14ac:dyDescent="0.25">
      <c r="A687" s="519" t="s">
        <v>1342</v>
      </c>
      <c r="B687" s="613" t="s">
        <v>205</v>
      </c>
      <c r="C687" s="235" t="s">
        <v>567</v>
      </c>
      <c r="D687" s="249" t="s">
        <v>2288</v>
      </c>
      <c r="E687" s="238">
        <v>600</v>
      </c>
      <c r="F687" s="292">
        <f t="shared" si="149"/>
        <v>18358</v>
      </c>
      <c r="G687" s="475">
        <f t="shared" si="149"/>
        <v>18358</v>
      </c>
      <c r="H687" s="475">
        <f t="shared" si="149"/>
        <v>18358</v>
      </c>
      <c r="I687" s="475">
        <f t="shared" si="149"/>
        <v>18358</v>
      </c>
      <c r="J687" s="475">
        <f t="shared" si="149"/>
        <v>18358</v>
      </c>
      <c r="K687" s="475">
        <f t="shared" si="149"/>
        <v>18358</v>
      </c>
      <c r="L687" s="465"/>
      <c r="N687" s="465"/>
      <c r="O687" s="465"/>
    </row>
    <row r="688" spans="1:15" s="513" customFormat="1" x14ac:dyDescent="0.25">
      <c r="A688" s="519" t="s">
        <v>1343</v>
      </c>
      <c r="B688" s="613" t="s">
        <v>205</v>
      </c>
      <c r="C688" s="235" t="s">
        <v>567</v>
      </c>
      <c r="D688" s="249" t="s">
        <v>2288</v>
      </c>
      <c r="E688" s="238">
        <v>610</v>
      </c>
      <c r="F688" s="292">
        <f>'ведом. 2021-2023'!AD758</f>
        <v>18358</v>
      </c>
      <c r="G688" s="475">
        <f>18358</f>
        <v>18358</v>
      </c>
      <c r="H688" s="475">
        <f>'ведом. 2021-2023'!AE758</f>
        <v>18358</v>
      </c>
      <c r="I688" s="475">
        <f>18358</f>
        <v>18358</v>
      </c>
      <c r="J688" s="475">
        <f>'ведом. 2021-2023'!AF758</f>
        <v>18358</v>
      </c>
      <c r="K688" s="475">
        <f>18358</f>
        <v>18358</v>
      </c>
      <c r="L688" s="465"/>
      <c r="N688" s="465"/>
      <c r="O688" s="465"/>
    </row>
    <row r="689" spans="1:15" s="441" customFormat="1" ht="110.25" x14ac:dyDescent="0.25">
      <c r="A689" s="521" t="s">
        <v>2035</v>
      </c>
      <c r="B689" s="613" t="s">
        <v>205</v>
      </c>
      <c r="C689" s="235" t="s">
        <v>567</v>
      </c>
      <c r="D689" s="249" t="s">
        <v>1793</v>
      </c>
      <c r="E689" s="576"/>
      <c r="F689" s="292">
        <f t="shared" ref="F689:K690" si="150">F690</f>
        <v>367811</v>
      </c>
      <c r="G689" s="475">
        <f t="shared" si="150"/>
        <v>367811</v>
      </c>
      <c r="H689" s="475">
        <f t="shared" si="150"/>
        <v>367283</v>
      </c>
      <c r="I689" s="475">
        <f t="shared" si="150"/>
        <v>367283</v>
      </c>
      <c r="J689" s="475">
        <f t="shared" si="150"/>
        <v>367283</v>
      </c>
      <c r="K689" s="475">
        <f t="shared" si="150"/>
        <v>367283</v>
      </c>
      <c r="L689" s="465"/>
      <c r="N689" s="465"/>
      <c r="O689" s="465"/>
    </row>
    <row r="690" spans="1:15" s="441" customFormat="1" ht="31.5" x14ac:dyDescent="0.25">
      <c r="A690" s="523" t="s">
        <v>1342</v>
      </c>
      <c r="B690" s="613" t="s">
        <v>205</v>
      </c>
      <c r="C690" s="235" t="s">
        <v>567</v>
      </c>
      <c r="D690" s="249" t="s">
        <v>1793</v>
      </c>
      <c r="E690" s="238">
        <v>600</v>
      </c>
      <c r="F690" s="292">
        <f t="shared" si="150"/>
        <v>367811</v>
      </c>
      <c r="G690" s="475">
        <f t="shared" si="150"/>
        <v>367811</v>
      </c>
      <c r="H690" s="475">
        <f t="shared" si="150"/>
        <v>367283</v>
      </c>
      <c r="I690" s="475">
        <f t="shared" si="150"/>
        <v>367283</v>
      </c>
      <c r="J690" s="475">
        <f t="shared" si="150"/>
        <v>367283</v>
      </c>
      <c r="K690" s="475">
        <f t="shared" si="150"/>
        <v>367283</v>
      </c>
      <c r="L690" s="465"/>
      <c r="N690" s="465"/>
      <c r="O690" s="465"/>
    </row>
    <row r="691" spans="1:15" s="441" customFormat="1" x14ac:dyDescent="0.25">
      <c r="A691" s="523" t="s">
        <v>1343</v>
      </c>
      <c r="B691" s="613" t="s">
        <v>205</v>
      </c>
      <c r="C691" s="235" t="s">
        <v>567</v>
      </c>
      <c r="D691" s="249" t="s">
        <v>1793</v>
      </c>
      <c r="E691" s="238">
        <v>610</v>
      </c>
      <c r="F691" s="292">
        <f>'ведом. 2021-2023'!AD761</f>
        <v>367811</v>
      </c>
      <c r="G691" s="475">
        <f>F691</f>
        <v>367811</v>
      </c>
      <c r="H691" s="475">
        <f>'ведом. 2021-2023'!AE761</f>
        <v>367283</v>
      </c>
      <c r="I691" s="475">
        <f>H691</f>
        <v>367283</v>
      </c>
      <c r="J691" s="475">
        <f>'ведом. 2021-2023'!AF761</f>
        <v>367283</v>
      </c>
      <c r="K691" s="475">
        <f>J691</f>
        <v>367283</v>
      </c>
      <c r="L691" s="465"/>
      <c r="N691" s="465"/>
      <c r="O691" s="465"/>
    </row>
    <row r="692" spans="1:15" s="441" customFormat="1" ht="47.25" x14ac:dyDescent="0.25">
      <c r="A692" s="520" t="s">
        <v>2036</v>
      </c>
      <c r="B692" s="613" t="s">
        <v>205</v>
      </c>
      <c r="C692" s="235" t="s">
        <v>567</v>
      </c>
      <c r="D692" s="442" t="s">
        <v>1794</v>
      </c>
      <c r="E692" s="238"/>
      <c r="F692" s="292">
        <f t="shared" ref="F692:K692" si="151">F699+F693+F696</f>
        <v>47332.4</v>
      </c>
      <c r="G692" s="475">
        <f t="shared" si="151"/>
        <v>42390.8</v>
      </c>
      <c r="H692" s="475">
        <f t="shared" si="151"/>
        <v>49359</v>
      </c>
      <c r="I692" s="475">
        <f t="shared" si="151"/>
        <v>42881.599999999999</v>
      </c>
      <c r="J692" s="475">
        <f t="shared" si="151"/>
        <v>49365</v>
      </c>
      <c r="K692" s="475">
        <f t="shared" si="151"/>
        <v>42385.2</v>
      </c>
      <c r="L692" s="465"/>
      <c r="N692" s="465"/>
      <c r="O692" s="465"/>
    </row>
    <row r="693" spans="1:15" s="441" customFormat="1" ht="47.25" x14ac:dyDescent="0.25">
      <c r="A693" s="523" t="s">
        <v>2037</v>
      </c>
      <c r="B693" s="613" t="s">
        <v>205</v>
      </c>
      <c r="C693" s="235" t="s">
        <v>567</v>
      </c>
      <c r="D693" s="442" t="s">
        <v>1795</v>
      </c>
      <c r="E693" s="238"/>
      <c r="F693" s="292">
        <f t="shared" ref="F693:K694" si="152">F694</f>
        <v>69</v>
      </c>
      <c r="G693" s="475">
        <f t="shared" si="152"/>
        <v>69</v>
      </c>
      <c r="H693" s="475">
        <f t="shared" si="152"/>
        <v>69</v>
      </c>
      <c r="I693" s="475">
        <f t="shared" si="152"/>
        <v>69</v>
      </c>
      <c r="J693" s="475">
        <f t="shared" si="152"/>
        <v>69</v>
      </c>
      <c r="K693" s="475">
        <f t="shared" si="152"/>
        <v>69</v>
      </c>
      <c r="L693" s="465"/>
      <c r="N693" s="465"/>
      <c r="O693" s="465"/>
    </row>
    <row r="694" spans="1:15" s="441" customFormat="1" ht="31.5" x14ac:dyDescent="0.25">
      <c r="A694" s="523" t="s">
        <v>1342</v>
      </c>
      <c r="B694" s="613" t="s">
        <v>205</v>
      </c>
      <c r="C694" s="235" t="s">
        <v>567</v>
      </c>
      <c r="D694" s="249" t="str">
        <f>D695</f>
        <v>03 2 03 62230</v>
      </c>
      <c r="E694" s="576">
        <v>600</v>
      </c>
      <c r="F694" s="292">
        <f t="shared" si="152"/>
        <v>69</v>
      </c>
      <c r="G694" s="475">
        <f t="shared" si="152"/>
        <v>69</v>
      </c>
      <c r="H694" s="475">
        <f t="shared" si="152"/>
        <v>69</v>
      </c>
      <c r="I694" s="475">
        <f t="shared" si="152"/>
        <v>69</v>
      </c>
      <c r="J694" s="475">
        <f t="shared" si="152"/>
        <v>69</v>
      </c>
      <c r="K694" s="475">
        <f t="shared" si="152"/>
        <v>69</v>
      </c>
      <c r="L694" s="465"/>
      <c r="N694" s="465"/>
      <c r="O694" s="465"/>
    </row>
    <row r="695" spans="1:15" s="441" customFormat="1" x14ac:dyDescent="0.25">
      <c r="A695" s="523" t="s">
        <v>1343</v>
      </c>
      <c r="B695" s="613" t="s">
        <v>205</v>
      </c>
      <c r="C695" s="235" t="s">
        <v>567</v>
      </c>
      <c r="D695" s="249" t="s">
        <v>1795</v>
      </c>
      <c r="E695" s="576">
        <v>610</v>
      </c>
      <c r="F695" s="292">
        <f>'ведом. 2021-2023'!AD765</f>
        <v>69</v>
      </c>
      <c r="G695" s="475">
        <f>F695</f>
        <v>69</v>
      </c>
      <c r="H695" s="475">
        <f>'ведом. 2021-2023'!AE765</f>
        <v>69</v>
      </c>
      <c r="I695" s="475">
        <f>H695</f>
        <v>69</v>
      </c>
      <c r="J695" s="475">
        <f>'ведом. 2021-2023'!AF765</f>
        <v>69</v>
      </c>
      <c r="K695" s="475">
        <f>J695</f>
        <v>69</v>
      </c>
      <c r="L695" s="465"/>
      <c r="N695" s="465"/>
      <c r="O695" s="465"/>
    </row>
    <row r="696" spans="1:15" s="513" customFormat="1" ht="31.5" x14ac:dyDescent="0.25">
      <c r="A696" s="519" t="s">
        <v>2283</v>
      </c>
      <c r="B696" s="613" t="s">
        <v>205</v>
      </c>
      <c r="C696" s="235" t="s">
        <v>567</v>
      </c>
      <c r="D696" s="249" t="s">
        <v>2284</v>
      </c>
      <c r="E696" s="238"/>
      <c r="F696" s="292">
        <f t="shared" ref="F696:K697" si="153">F697</f>
        <v>29567.4</v>
      </c>
      <c r="G696" s="475">
        <f t="shared" si="153"/>
        <v>26395.8</v>
      </c>
      <c r="H696" s="475">
        <f t="shared" si="153"/>
        <v>30942.999999999996</v>
      </c>
      <c r="I696" s="475">
        <f t="shared" si="153"/>
        <v>27650.6</v>
      </c>
      <c r="J696" s="475">
        <f t="shared" si="153"/>
        <v>30948.999999999996</v>
      </c>
      <c r="K696" s="475">
        <f t="shared" si="153"/>
        <v>27154.199999999997</v>
      </c>
      <c r="L696" s="465"/>
      <c r="N696" s="465"/>
      <c r="O696" s="465"/>
    </row>
    <row r="697" spans="1:15" s="513" customFormat="1" x14ac:dyDescent="0.25">
      <c r="A697" s="514" t="s">
        <v>1781</v>
      </c>
      <c r="B697" s="613" t="s">
        <v>205</v>
      </c>
      <c r="C697" s="235" t="s">
        <v>567</v>
      </c>
      <c r="D697" s="249" t="s">
        <v>2284</v>
      </c>
      <c r="E697" s="238">
        <v>200</v>
      </c>
      <c r="F697" s="292">
        <f t="shared" si="153"/>
        <v>29567.4</v>
      </c>
      <c r="G697" s="475">
        <f t="shared" si="153"/>
        <v>26395.8</v>
      </c>
      <c r="H697" s="475">
        <f t="shared" si="153"/>
        <v>30942.999999999996</v>
      </c>
      <c r="I697" s="475">
        <f t="shared" si="153"/>
        <v>27650.6</v>
      </c>
      <c r="J697" s="475">
        <f t="shared" si="153"/>
        <v>30948.999999999996</v>
      </c>
      <c r="K697" s="475">
        <f t="shared" si="153"/>
        <v>27154.199999999997</v>
      </c>
      <c r="L697" s="465"/>
      <c r="N697" s="465"/>
      <c r="O697" s="465"/>
    </row>
    <row r="698" spans="1:15" s="513" customFormat="1" ht="31.5" x14ac:dyDescent="0.25">
      <c r="A698" s="514" t="s">
        <v>1273</v>
      </c>
      <c r="B698" s="613" t="s">
        <v>205</v>
      </c>
      <c r="C698" s="235" t="s">
        <v>567</v>
      </c>
      <c r="D698" s="249" t="s">
        <v>2284</v>
      </c>
      <c r="E698" s="238">
        <v>240</v>
      </c>
      <c r="F698" s="292">
        <f>'ведом. 2021-2023'!AD768</f>
        <v>29567.4</v>
      </c>
      <c r="G698" s="475">
        <v>26395.8</v>
      </c>
      <c r="H698" s="475">
        <f>'ведом. 2021-2023'!AE768</f>
        <v>30942.999999999996</v>
      </c>
      <c r="I698" s="475">
        <f>28257.3-606.7</f>
        <v>27650.6</v>
      </c>
      <c r="J698" s="475">
        <f>'ведом. 2021-2023'!AF768</f>
        <v>30948.999999999996</v>
      </c>
      <c r="K698" s="475">
        <f>27794.1-639.9</f>
        <v>27154.199999999997</v>
      </c>
      <c r="L698" s="465"/>
      <c r="N698" s="465"/>
      <c r="O698" s="465"/>
    </row>
    <row r="699" spans="1:15" s="513" customFormat="1" ht="47.25" x14ac:dyDescent="0.25">
      <c r="A699" s="521" t="s">
        <v>2370</v>
      </c>
      <c r="B699" s="613" t="s">
        <v>205</v>
      </c>
      <c r="C699" s="235" t="s">
        <v>567</v>
      </c>
      <c r="D699" s="442" t="s">
        <v>2323</v>
      </c>
      <c r="E699" s="575"/>
      <c r="F699" s="292">
        <f t="shared" ref="F699:K700" si="154">F700</f>
        <v>17696</v>
      </c>
      <c r="G699" s="475">
        <f t="shared" si="154"/>
        <v>15926</v>
      </c>
      <c r="H699" s="475">
        <f t="shared" si="154"/>
        <v>18347</v>
      </c>
      <c r="I699" s="475">
        <f t="shared" si="154"/>
        <v>15162</v>
      </c>
      <c r="J699" s="475">
        <f t="shared" si="154"/>
        <v>18347</v>
      </c>
      <c r="K699" s="475">
        <f t="shared" si="154"/>
        <v>15162</v>
      </c>
      <c r="L699" s="465"/>
      <c r="N699" s="465"/>
      <c r="O699" s="465"/>
    </row>
    <row r="700" spans="1:15" s="513" customFormat="1" x14ac:dyDescent="0.25">
      <c r="A700" s="514" t="s">
        <v>1781</v>
      </c>
      <c r="B700" s="613" t="s">
        <v>205</v>
      </c>
      <c r="C700" s="235" t="s">
        <v>567</v>
      </c>
      <c r="D700" s="442" t="s">
        <v>2323</v>
      </c>
      <c r="E700" s="238">
        <v>200</v>
      </c>
      <c r="F700" s="292">
        <f t="shared" si="154"/>
        <v>17696</v>
      </c>
      <c r="G700" s="475">
        <f t="shared" si="154"/>
        <v>15926</v>
      </c>
      <c r="H700" s="475">
        <f t="shared" si="154"/>
        <v>18347</v>
      </c>
      <c r="I700" s="475">
        <f t="shared" si="154"/>
        <v>15162</v>
      </c>
      <c r="J700" s="475">
        <f t="shared" si="154"/>
        <v>18347</v>
      </c>
      <c r="K700" s="475">
        <f t="shared" si="154"/>
        <v>15162</v>
      </c>
      <c r="L700" s="465"/>
      <c r="N700" s="465"/>
      <c r="O700" s="465"/>
    </row>
    <row r="701" spans="1:15" s="513" customFormat="1" ht="31.5" x14ac:dyDescent="0.25">
      <c r="A701" s="514" t="s">
        <v>1273</v>
      </c>
      <c r="B701" s="613" t="s">
        <v>205</v>
      </c>
      <c r="C701" s="235" t="s">
        <v>567</v>
      </c>
      <c r="D701" s="442" t="s">
        <v>2323</v>
      </c>
      <c r="E701" s="238">
        <v>240</v>
      </c>
      <c r="F701" s="292">
        <f>'ведом. 2021-2023'!AD771</f>
        <v>17696</v>
      </c>
      <c r="G701" s="475">
        <v>15926</v>
      </c>
      <c r="H701" s="475">
        <f>'ведом. 2021-2023'!AE771</f>
        <v>18347</v>
      </c>
      <c r="I701" s="475">
        <f>14511+651</f>
        <v>15162</v>
      </c>
      <c r="J701" s="475">
        <f>'ведом. 2021-2023'!AF771</f>
        <v>18347</v>
      </c>
      <c r="K701" s="475">
        <f>14511+651</f>
        <v>15162</v>
      </c>
      <c r="L701" s="465"/>
      <c r="N701" s="465"/>
      <c r="O701" s="465"/>
    </row>
    <row r="702" spans="1:15" s="441" customFormat="1" ht="47.25" x14ac:dyDescent="0.25">
      <c r="A702" s="520" t="s">
        <v>2127</v>
      </c>
      <c r="B702" s="613" t="s">
        <v>205</v>
      </c>
      <c r="C702" s="235" t="s">
        <v>567</v>
      </c>
      <c r="D702" s="442" t="s">
        <v>2166</v>
      </c>
      <c r="E702" s="576"/>
      <c r="F702" s="292">
        <f>F703</f>
        <v>1018.8</v>
      </c>
      <c r="G702" s="475"/>
      <c r="H702" s="475">
        <f>H703</f>
        <v>1026.3</v>
      </c>
      <c r="I702" s="475"/>
      <c r="J702" s="475">
        <f>J703</f>
        <v>1026.3</v>
      </c>
      <c r="K702" s="475"/>
      <c r="L702" s="465"/>
      <c r="N702" s="465"/>
      <c r="O702" s="465"/>
    </row>
    <row r="703" spans="1:15" s="441" customFormat="1" ht="31.5" x14ac:dyDescent="0.25">
      <c r="A703" s="520" t="s">
        <v>2030</v>
      </c>
      <c r="B703" s="613" t="s">
        <v>205</v>
      </c>
      <c r="C703" s="235" t="s">
        <v>567</v>
      </c>
      <c r="D703" s="442" t="s">
        <v>2167</v>
      </c>
      <c r="E703" s="576"/>
      <c r="F703" s="292">
        <f>F704</f>
        <v>1018.8</v>
      </c>
      <c r="G703" s="292"/>
      <c r="H703" s="292">
        <f>H704</f>
        <v>1026.3</v>
      </c>
      <c r="I703" s="292"/>
      <c r="J703" s="292">
        <f>J704</f>
        <v>1026.3</v>
      </c>
      <c r="K703" s="475"/>
      <c r="L703" s="465"/>
      <c r="N703" s="465"/>
      <c r="O703" s="465"/>
    </row>
    <row r="704" spans="1:15" s="441" customFormat="1" ht="31.5" x14ac:dyDescent="0.25">
      <c r="A704" s="523" t="s">
        <v>1342</v>
      </c>
      <c r="B704" s="613" t="s">
        <v>205</v>
      </c>
      <c r="C704" s="235" t="s">
        <v>567</v>
      </c>
      <c r="D704" s="442" t="s">
        <v>2167</v>
      </c>
      <c r="E704" s="576">
        <v>600</v>
      </c>
      <c r="F704" s="292">
        <f>F705</f>
        <v>1018.8</v>
      </c>
      <c r="G704" s="475"/>
      <c r="H704" s="475">
        <f>H705</f>
        <v>1026.3</v>
      </c>
      <c r="I704" s="475"/>
      <c r="J704" s="475">
        <f>J705</f>
        <v>1026.3</v>
      </c>
      <c r="K704" s="475"/>
      <c r="L704" s="465"/>
      <c r="N704" s="465"/>
      <c r="O704" s="465"/>
    </row>
    <row r="705" spans="1:15" s="441" customFormat="1" x14ac:dyDescent="0.25">
      <c r="A705" s="523" t="s">
        <v>1343</v>
      </c>
      <c r="B705" s="613" t="s">
        <v>205</v>
      </c>
      <c r="C705" s="235" t="s">
        <v>567</v>
      </c>
      <c r="D705" s="442" t="s">
        <v>2167</v>
      </c>
      <c r="E705" s="576">
        <v>610</v>
      </c>
      <c r="F705" s="292">
        <f>'ведом. 2021-2023'!AD775</f>
        <v>1018.8</v>
      </c>
      <c r="G705" s="475"/>
      <c r="H705" s="475">
        <f>'ведом. 2021-2023'!AE775</f>
        <v>1026.3</v>
      </c>
      <c r="I705" s="475"/>
      <c r="J705" s="475">
        <f>'ведом. 2021-2023'!AF775</f>
        <v>1026.3</v>
      </c>
      <c r="K705" s="475"/>
      <c r="L705" s="465"/>
      <c r="N705" s="465"/>
      <c r="O705" s="465"/>
    </row>
    <row r="706" spans="1:15" s="441" customFormat="1" x14ac:dyDescent="0.25">
      <c r="A706" s="520" t="s">
        <v>2074</v>
      </c>
      <c r="B706" s="613" t="s">
        <v>205</v>
      </c>
      <c r="C706" s="235" t="s">
        <v>567</v>
      </c>
      <c r="D706" s="463" t="s">
        <v>1768</v>
      </c>
      <c r="E706" s="576"/>
      <c r="F706" s="292">
        <f>F707</f>
        <v>950</v>
      </c>
      <c r="G706" s="292"/>
      <c r="H706" s="292">
        <f>H707</f>
        <v>950</v>
      </c>
      <c r="I706" s="292"/>
      <c r="J706" s="292">
        <f>J707</f>
        <v>950</v>
      </c>
      <c r="K706" s="475"/>
      <c r="L706" s="465"/>
      <c r="N706" s="465"/>
      <c r="O706" s="465"/>
    </row>
    <row r="707" spans="1:15" s="441" customFormat="1" x14ac:dyDescent="0.25">
      <c r="A707" s="520" t="s">
        <v>2085</v>
      </c>
      <c r="B707" s="613" t="s">
        <v>205</v>
      </c>
      <c r="C707" s="235" t="s">
        <v>567</v>
      </c>
      <c r="D707" s="442" t="s">
        <v>1769</v>
      </c>
      <c r="E707" s="238"/>
      <c r="F707" s="292">
        <f t="shared" ref="F707:J708" si="155">F708</f>
        <v>950</v>
      </c>
      <c r="G707" s="475"/>
      <c r="H707" s="475">
        <f t="shared" si="155"/>
        <v>950</v>
      </c>
      <c r="I707" s="475"/>
      <c r="J707" s="475">
        <f t="shared" si="155"/>
        <v>950</v>
      </c>
      <c r="K707" s="475"/>
      <c r="L707" s="465"/>
      <c r="N707" s="465"/>
      <c r="O707" s="465"/>
    </row>
    <row r="708" spans="1:15" s="441" customFormat="1" ht="31.5" x14ac:dyDescent="0.25">
      <c r="A708" s="525" t="s">
        <v>2259</v>
      </c>
      <c r="B708" s="613" t="s">
        <v>205</v>
      </c>
      <c r="C708" s="235" t="s">
        <v>567</v>
      </c>
      <c r="D708" s="442" t="s">
        <v>2101</v>
      </c>
      <c r="E708" s="684"/>
      <c r="F708" s="292">
        <f>F709</f>
        <v>950</v>
      </c>
      <c r="G708" s="475"/>
      <c r="H708" s="475">
        <f t="shared" si="155"/>
        <v>950</v>
      </c>
      <c r="I708" s="475"/>
      <c r="J708" s="475">
        <f t="shared" si="155"/>
        <v>950</v>
      </c>
      <c r="K708" s="475"/>
      <c r="L708" s="465"/>
      <c r="N708" s="465"/>
      <c r="O708" s="465"/>
    </row>
    <row r="709" spans="1:15" s="441" customFormat="1" ht="31.5" x14ac:dyDescent="0.25">
      <c r="A709" s="528" t="s">
        <v>2086</v>
      </c>
      <c r="B709" s="613" t="s">
        <v>205</v>
      </c>
      <c r="C709" s="235" t="s">
        <v>567</v>
      </c>
      <c r="D709" s="442" t="s">
        <v>2088</v>
      </c>
      <c r="E709" s="238"/>
      <c r="F709" s="292">
        <f>F710</f>
        <v>950</v>
      </c>
      <c r="G709" s="475"/>
      <c r="H709" s="475">
        <f>H710</f>
        <v>950</v>
      </c>
      <c r="I709" s="475"/>
      <c r="J709" s="475">
        <f>J710</f>
        <v>950</v>
      </c>
      <c r="K709" s="475"/>
      <c r="L709" s="465"/>
      <c r="N709" s="465"/>
      <c r="O709" s="465"/>
    </row>
    <row r="710" spans="1:15" s="441" customFormat="1" ht="31.5" x14ac:dyDescent="0.25">
      <c r="A710" s="609" t="s">
        <v>2087</v>
      </c>
      <c r="B710" s="613" t="s">
        <v>205</v>
      </c>
      <c r="C710" s="235" t="s">
        <v>567</v>
      </c>
      <c r="D710" s="442" t="s">
        <v>2088</v>
      </c>
      <c r="E710" s="238"/>
      <c r="F710" s="292">
        <f>F711</f>
        <v>950</v>
      </c>
      <c r="G710" s="475"/>
      <c r="H710" s="475">
        <f>H711</f>
        <v>950</v>
      </c>
      <c r="I710" s="475"/>
      <c r="J710" s="475">
        <f>J711</f>
        <v>950</v>
      </c>
      <c r="K710" s="475"/>
      <c r="L710" s="465"/>
      <c r="N710" s="465"/>
      <c r="O710" s="465"/>
    </row>
    <row r="711" spans="1:15" s="441" customFormat="1" ht="31.5" x14ac:dyDescent="0.25">
      <c r="A711" s="523" t="s">
        <v>1342</v>
      </c>
      <c r="B711" s="613" t="s">
        <v>205</v>
      </c>
      <c r="C711" s="235" t="s">
        <v>567</v>
      </c>
      <c r="D711" s="442" t="s">
        <v>2088</v>
      </c>
      <c r="E711" s="576">
        <v>600</v>
      </c>
      <c r="F711" s="292">
        <f>F712</f>
        <v>950</v>
      </c>
      <c r="G711" s="475"/>
      <c r="H711" s="475">
        <f>H712</f>
        <v>950</v>
      </c>
      <c r="I711" s="475"/>
      <c r="J711" s="475">
        <f>J712</f>
        <v>950</v>
      </c>
      <c r="K711" s="475"/>
      <c r="L711" s="465"/>
      <c r="N711" s="465"/>
      <c r="O711" s="465"/>
    </row>
    <row r="712" spans="1:15" s="441" customFormat="1" x14ac:dyDescent="0.25">
      <c r="A712" s="523" t="s">
        <v>1343</v>
      </c>
      <c r="B712" s="613" t="s">
        <v>205</v>
      </c>
      <c r="C712" s="235" t="s">
        <v>567</v>
      </c>
      <c r="D712" s="442" t="s">
        <v>2088</v>
      </c>
      <c r="E712" s="576">
        <v>610</v>
      </c>
      <c r="F712" s="292">
        <f>'ведом. 2021-2023'!AD781</f>
        <v>950</v>
      </c>
      <c r="G712" s="475"/>
      <c r="H712" s="475">
        <f>'ведом. 2021-2023'!AE781</f>
        <v>950</v>
      </c>
      <c r="I712" s="475"/>
      <c r="J712" s="475">
        <f>'ведом. 2021-2023'!AF781</f>
        <v>950</v>
      </c>
      <c r="K712" s="475"/>
      <c r="L712" s="465"/>
      <c r="N712" s="465"/>
      <c r="O712" s="465"/>
    </row>
    <row r="713" spans="1:15" s="513" customFormat="1" ht="31.5" x14ac:dyDescent="0.25">
      <c r="A713" s="548" t="s">
        <v>1853</v>
      </c>
      <c r="B713" s="235" t="s">
        <v>205</v>
      </c>
      <c r="C713" s="235" t="s">
        <v>567</v>
      </c>
      <c r="D713" s="249" t="s">
        <v>1761</v>
      </c>
      <c r="E713" s="579"/>
      <c r="F713" s="292">
        <f t="shared" ref="F713:F718" si="156">F714</f>
        <v>883.8</v>
      </c>
      <c r="G713" s="292"/>
      <c r="H713" s="292">
        <f t="shared" ref="H713:J713" si="157">H714</f>
        <v>0</v>
      </c>
      <c r="I713" s="292"/>
      <c r="J713" s="292">
        <f t="shared" si="157"/>
        <v>0</v>
      </c>
      <c r="K713" s="475"/>
      <c r="L713" s="465"/>
      <c r="N713" s="465"/>
      <c r="O713" s="465"/>
    </row>
    <row r="714" spans="1:15" s="513" customFormat="1" x14ac:dyDescent="0.25">
      <c r="A714" s="548" t="s">
        <v>1854</v>
      </c>
      <c r="B714" s="235" t="s">
        <v>205</v>
      </c>
      <c r="C714" s="235" t="s">
        <v>567</v>
      </c>
      <c r="D714" s="249" t="s">
        <v>1765</v>
      </c>
      <c r="E714" s="579"/>
      <c r="F714" s="292">
        <f t="shared" si="156"/>
        <v>883.8</v>
      </c>
      <c r="G714" s="292"/>
      <c r="H714" s="292">
        <f t="shared" ref="H714:J714" si="158">H715</f>
        <v>0</v>
      </c>
      <c r="I714" s="292"/>
      <c r="J714" s="292">
        <f t="shared" si="158"/>
        <v>0</v>
      </c>
      <c r="K714" s="475"/>
      <c r="L714" s="465"/>
      <c r="N714" s="465"/>
      <c r="O714" s="465"/>
    </row>
    <row r="715" spans="1:15" s="513" customFormat="1" ht="47.25" x14ac:dyDescent="0.25">
      <c r="A715" s="514" t="s">
        <v>2253</v>
      </c>
      <c r="B715" s="235" t="s">
        <v>205</v>
      </c>
      <c r="C715" s="235" t="s">
        <v>567</v>
      </c>
      <c r="D715" s="442" t="s">
        <v>1785</v>
      </c>
      <c r="E715" s="579"/>
      <c r="F715" s="292">
        <f t="shared" si="156"/>
        <v>883.8</v>
      </c>
      <c r="G715" s="292"/>
      <c r="H715" s="292">
        <f t="shared" ref="H715:J715" si="159">H716</f>
        <v>0</v>
      </c>
      <c r="I715" s="292"/>
      <c r="J715" s="292">
        <f t="shared" si="159"/>
        <v>0</v>
      </c>
      <c r="K715" s="475"/>
      <c r="L715" s="465"/>
      <c r="N715" s="465"/>
      <c r="O715" s="465"/>
    </row>
    <row r="716" spans="1:15" s="513" customFormat="1" ht="47.25" x14ac:dyDescent="0.25">
      <c r="A716" s="548" t="s">
        <v>1855</v>
      </c>
      <c r="B716" s="235" t="s">
        <v>205</v>
      </c>
      <c r="C716" s="235" t="s">
        <v>567</v>
      </c>
      <c r="D716" s="442" t="s">
        <v>1856</v>
      </c>
      <c r="E716" s="579"/>
      <c r="F716" s="292">
        <f t="shared" si="156"/>
        <v>883.8</v>
      </c>
      <c r="G716" s="292"/>
      <c r="H716" s="292">
        <f t="shared" ref="H716:J716" si="160">H717</f>
        <v>0</v>
      </c>
      <c r="I716" s="292"/>
      <c r="J716" s="292">
        <f t="shared" si="160"/>
        <v>0</v>
      </c>
      <c r="K716" s="475"/>
      <c r="L716" s="465"/>
      <c r="N716" s="465"/>
      <c r="O716" s="465"/>
    </row>
    <row r="717" spans="1:15" s="513" customFormat="1" ht="63" x14ac:dyDescent="0.25">
      <c r="A717" s="524" t="s">
        <v>2248</v>
      </c>
      <c r="B717" s="235" t="s">
        <v>205</v>
      </c>
      <c r="C717" s="235" t="s">
        <v>567</v>
      </c>
      <c r="D717" s="442" t="s">
        <v>1857</v>
      </c>
      <c r="E717" s="579"/>
      <c r="F717" s="292">
        <f t="shared" si="156"/>
        <v>883.8</v>
      </c>
      <c r="G717" s="292"/>
      <c r="H717" s="292">
        <f t="shared" ref="H717:J717" si="161">H718</f>
        <v>0</v>
      </c>
      <c r="I717" s="292"/>
      <c r="J717" s="292">
        <f t="shared" si="161"/>
        <v>0</v>
      </c>
      <c r="K717" s="475"/>
      <c r="L717" s="465"/>
      <c r="N717" s="465"/>
      <c r="O717" s="465"/>
    </row>
    <row r="718" spans="1:15" s="513" customFormat="1" ht="31.5" x14ac:dyDescent="0.25">
      <c r="A718" s="523" t="s">
        <v>1342</v>
      </c>
      <c r="B718" s="235" t="s">
        <v>205</v>
      </c>
      <c r="C718" s="235" t="s">
        <v>567</v>
      </c>
      <c r="D718" s="442" t="s">
        <v>1857</v>
      </c>
      <c r="E718" s="576">
        <v>600</v>
      </c>
      <c r="F718" s="292">
        <f t="shared" si="156"/>
        <v>883.8</v>
      </c>
      <c r="G718" s="292"/>
      <c r="H718" s="292">
        <f t="shared" ref="H718:J718" si="162">H719</f>
        <v>0</v>
      </c>
      <c r="I718" s="292"/>
      <c r="J718" s="292">
        <f t="shared" si="162"/>
        <v>0</v>
      </c>
      <c r="K718" s="475"/>
      <c r="L718" s="465"/>
      <c r="N718" s="465"/>
      <c r="O718" s="465"/>
    </row>
    <row r="719" spans="1:15" s="513" customFormat="1" x14ac:dyDescent="0.25">
      <c r="A719" s="523" t="s">
        <v>1343</v>
      </c>
      <c r="B719" s="235" t="s">
        <v>205</v>
      </c>
      <c r="C719" s="235" t="s">
        <v>567</v>
      </c>
      <c r="D719" s="442" t="s">
        <v>1857</v>
      </c>
      <c r="E719" s="576">
        <v>610</v>
      </c>
      <c r="F719" s="292">
        <f>'ведом. 2021-2023'!AD788</f>
        <v>883.8</v>
      </c>
      <c r="G719" s="475"/>
      <c r="H719" s="475">
        <f>'ведом. 2021-2023'!AE788</f>
        <v>0</v>
      </c>
      <c r="I719" s="475"/>
      <c r="J719" s="475">
        <f>'ведом. 2021-2023'!AF788</f>
        <v>0</v>
      </c>
      <c r="K719" s="475"/>
      <c r="L719" s="465"/>
      <c r="N719" s="465"/>
      <c r="O719" s="465"/>
    </row>
    <row r="720" spans="1:15" s="441" customFormat="1" x14ac:dyDescent="0.25">
      <c r="A720" s="520" t="s">
        <v>1991</v>
      </c>
      <c r="B720" s="613" t="s">
        <v>205</v>
      </c>
      <c r="C720" s="235" t="s">
        <v>567</v>
      </c>
      <c r="D720" s="442" t="s">
        <v>1992</v>
      </c>
      <c r="E720" s="238"/>
      <c r="F720" s="292">
        <f t="shared" ref="F720:K720" si="163">F721</f>
        <v>0</v>
      </c>
      <c r="G720" s="475"/>
      <c r="H720" s="475">
        <f t="shared" si="163"/>
        <v>0</v>
      </c>
      <c r="I720" s="475"/>
      <c r="J720" s="475">
        <f t="shared" si="163"/>
        <v>8105.2999999999993</v>
      </c>
      <c r="K720" s="475">
        <f t="shared" si="163"/>
        <v>7699.4</v>
      </c>
      <c r="L720" s="465"/>
      <c r="N720" s="465"/>
      <c r="O720" s="465"/>
    </row>
    <row r="721" spans="1:15" s="441" customFormat="1" x14ac:dyDescent="0.25">
      <c r="A721" s="604" t="s">
        <v>2231</v>
      </c>
      <c r="B721" s="613" t="s">
        <v>205</v>
      </c>
      <c r="C721" s="235" t="s">
        <v>567</v>
      </c>
      <c r="D721" s="442" t="s">
        <v>2232</v>
      </c>
      <c r="E721" s="238"/>
      <c r="F721" s="292">
        <f t="shared" ref="F721:K722" si="164">F722</f>
        <v>0</v>
      </c>
      <c r="G721" s="475"/>
      <c r="H721" s="475">
        <f t="shared" si="164"/>
        <v>0</v>
      </c>
      <c r="I721" s="475"/>
      <c r="J721" s="475">
        <f t="shared" si="164"/>
        <v>8105.2999999999993</v>
      </c>
      <c r="K721" s="475">
        <f t="shared" si="164"/>
        <v>7699.4</v>
      </c>
      <c r="L721" s="465"/>
      <c r="N721" s="465"/>
      <c r="O721" s="465"/>
    </row>
    <row r="722" spans="1:15" s="441" customFormat="1" x14ac:dyDescent="0.25">
      <c r="A722" s="528" t="s">
        <v>1993</v>
      </c>
      <c r="B722" s="613" t="s">
        <v>205</v>
      </c>
      <c r="C722" s="235" t="s">
        <v>567</v>
      </c>
      <c r="D722" s="442" t="s">
        <v>1994</v>
      </c>
      <c r="E722" s="238"/>
      <c r="F722" s="292">
        <f>F723</f>
        <v>0</v>
      </c>
      <c r="G722" s="475"/>
      <c r="H722" s="475">
        <f t="shared" si="164"/>
        <v>0</v>
      </c>
      <c r="I722" s="475"/>
      <c r="J722" s="475">
        <f t="shared" si="164"/>
        <v>8105.2999999999993</v>
      </c>
      <c r="K722" s="475">
        <f t="shared" si="164"/>
        <v>7699.4</v>
      </c>
      <c r="L722" s="465"/>
      <c r="N722" s="465"/>
      <c r="O722" s="465"/>
    </row>
    <row r="723" spans="1:15" s="441" customFormat="1" ht="31.5" x14ac:dyDescent="0.25">
      <c r="A723" s="528" t="s">
        <v>1995</v>
      </c>
      <c r="B723" s="613" t="s">
        <v>205</v>
      </c>
      <c r="C723" s="235" t="s">
        <v>567</v>
      </c>
      <c r="D723" s="442" t="s">
        <v>1996</v>
      </c>
      <c r="E723" s="238"/>
      <c r="F723" s="292">
        <f t="shared" ref="F723:K725" si="165">F724</f>
        <v>0</v>
      </c>
      <c r="G723" s="475"/>
      <c r="H723" s="475">
        <f t="shared" si="165"/>
        <v>0</v>
      </c>
      <c r="I723" s="475"/>
      <c r="J723" s="475">
        <f t="shared" si="165"/>
        <v>8105.2999999999993</v>
      </c>
      <c r="K723" s="475">
        <f t="shared" si="165"/>
        <v>7699.4</v>
      </c>
      <c r="L723" s="465"/>
      <c r="N723" s="465"/>
      <c r="O723" s="465"/>
    </row>
    <row r="724" spans="1:15" s="441" customFormat="1" ht="47.25" x14ac:dyDescent="0.25">
      <c r="A724" s="532" t="s">
        <v>2416</v>
      </c>
      <c r="B724" s="246" t="s">
        <v>205</v>
      </c>
      <c r="C724" s="255" t="s">
        <v>567</v>
      </c>
      <c r="D724" s="442" t="s">
        <v>1997</v>
      </c>
      <c r="E724" s="238"/>
      <c r="F724" s="292">
        <f t="shared" si="165"/>
        <v>0</v>
      </c>
      <c r="G724" s="475"/>
      <c r="H724" s="475">
        <f t="shared" si="165"/>
        <v>0</v>
      </c>
      <c r="I724" s="475"/>
      <c r="J724" s="475">
        <f t="shared" si="165"/>
        <v>8105.2999999999993</v>
      </c>
      <c r="K724" s="475">
        <f t="shared" si="165"/>
        <v>7699.4</v>
      </c>
      <c r="L724" s="465"/>
      <c r="N724" s="465"/>
      <c r="O724" s="465"/>
    </row>
    <row r="725" spans="1:15" s="441" customFormat="1" x14ac:dyDescent="0.25">
      <c r="A725" s="611" t="s">
        <v>1836</v>
      </c>
      <c r="B725" s="246" t="s">
        <v>205</v>
      </c>
      <c r="C725" s="255" t="s">
        <v>567</v>
      </c>
      <c r="D725" s="272" t="s">
        <v>1997</v>
      </c>
      <c r="E725" s="589">
        <v>400</v>
      </c>
      <c r="F725" s="292">
        <f t="shared" si="165"/>
        <v>0</v>
      </c>
      <c r="G725" s="475"/>
      <c r="H725" s="475">
        <f t="shared" si="165"/>
        <v>0</v>
      </c>
      <c r="I725" s="475"/>
      <c r="J725" s="475">
        <f t="shared" si="165"/>
        <v>8105.2999999999993</v>
      </c>
      <c r="K725" s="475">
        <f t="shared" si="165"/>
        <v>7699.4</v>
      </c>
      <c r="L725" s="465"/>
      <c r="N725" s="465"/>
      <c r="O725" s="465"/>
    </row>
    <row r="726" spans="1:15" s="441" customFormat="1" x14ac:dyDescent="0.25">
      <c r="A726" s="523" t="s">
        <v>232</v>
      </c>
      <c r="B726" s="246" t="s">
        <v>205</v>
      </c>
      <c r="C726" s="255" t="s">
        <v>567</v>
      </c>
      <c r="D726" s="442" t="s">
        <v>1997</v>
      </c>
      <c r="E726" s="589">
        <v>410</v>
      </c>
      <c r="F726" s="292">
        <f>'ведом. 2021-2023'!AD1102</f>
        <v>0</v>
      </c>
      <c r="G726" s="475"/>
      <c r="H726" s="475">
        <f>'ведом. 2021-2023'!AE1102</f>
        <v>0</v>
      </c>
      <c r="I726" s="475"/>
      <c r="J726" s="475">
        <f>'ведом. 2021-2023'!AF1102</f>
        <v>8105.2999999999993</v>
      </c>
      <c r="K726" s="475">
        <v>7699.4</v>
      </c>
      <c r="L726" s="465"/>
      <c r="N726" s="465"/>
      <c r="O726" s="465"/>
    </row>
    <row r="727" spans="1:15" s="513" customFormat="1" x14ac:dyDescent="0.25">
      <c r="A727" s="546" t="s">
        <v>2257</v>
      </c>
      <c r="B727" s="613" t="s">
        <v>205</v>
      </c>
      <c r="C727" s="235" t="s">
        <v>567</v>
      </c>
      <c r="D727" s="549" t="s">
        <v>2258</v>
      </c>
      <c r="E727" s="589"/>
      <c r="F727" s="292">
        <f>F728</f>
        <v>99.1</v>
      </c>
      <c r="G727" s="475"/>
      <c r="H727" s="475">
        <f>H728</f>
        <v>0</v>
      </c>
      <c r="I727" s="475"/>
      <c r="J727" s="475">
        <f>J728</f>
        <v>0</v>
      </c>
      <c r="K727" s="475">
        <f>K728</f>
        <v>0</v>
      </c>
      <c r="L727" s="465"/>
      <c r="N727" s="465"/>
      <c r="O727" s="465"/>
    </row>
    <row r="728" spans="1:15" s="513" customFormat="1" ht="126" x14ac:dyDescent="0.25">
      <c r="A728" s="519" t="s">
        <v>2410</v>
      </c>
      <c r="B728" s="613" t="s">
        <v>205</v>
      </c>
      <c r="C728" s="235" t="s">
        <v>567</v>
      </c>
      <c r="D728" s="549" t="s">
        <v>2409</v>
      </c>
      <c r="E728" s="579"/>
      <c r="F728" s="292">
        <f>F729</f>
        <v>99.1</v>
      </c>
      <c r="G728" s="475"/>
      <c r="H728" s="475">
        <f t="shared" ref="H728:J729" si="166">H729</f>
        <v>0</v>
      </c>
      <c r="I728" s="475"/>
      <c r="J728" s="475">
        <f t="shared" si="166"/>
        <v>0</v>
      </c>
      <c r="K728" s="475"/>
      <c r="L728" s="465"/>
      <c r="N728" s="465"/>
      <c r="O728" s="465"/>
    </row>
    <row r="729" spans="1:15" s="513" customFormat="1" x14ac:dyDescent="0.25">
      <c r="A729" s="519" t="s">
        <v>923</v>
      </c>
      <c r="B729" s="613" t="s">
        <v>205</v>
      </c>
      <c r="C729" s="235" t="s">
        <v>567</v>
      </c>
      <c r="D729" s="549" t="s">
        <v>2409</v>
      </c>
      <c r="E729" s="579" t="s">
        <v>2240</v>
      </c>
      <c r="F729" s="292">
        <f>F730</f>
        <v>99.1</v>
      </c>
      <c r="G729" s="475"/>
      <c r="H729" s="475">
        <f t="shared" si="166"/>
        <v>0</v>
      </c>
      <c r="I729" s="475"/>
      <c r="J729" s="475">
        <f t="shared" si="166"/>
        <v>0</v>
      </c>
      <c r="K729" s="475"/>
      <c r="L729" s="465"/>
      <c r="N729" s="465"/>
      <c r="O729" s="465"/>
    </row>
    <row r="730" spans="1:15" s="513" customFormat="1" x14ac:dyDescent="0.25">
      <c r="A730" s="519" t="s">
        <v>1319</v>
      </c>
      <c r="B730" s="613" t="s">
        <v>205</v>
      </c>
      <c r="C730" s="235" t="s">
        <v>567</v>
      </c>
      <c r="D730" s="549" t="s">
        <v>2409</v>
      </c>
      <c r="E730" s="579" t="s">
        <v>2391</v>
      </c>
      <c r="F730" s="292">
        <f>'ведом. 2021-2023'!AD793</f>
        <v>99.1</v>
      </c>
      <c r="G730" s="475"/>
      <c r="H730" s="475">
        <f>'ведом. 2021-2023'!AE793</f>
        <v>0</v>
      </c>
      <c r="I730" s="475"/>
      <c r="J730" s="475">
        <f>'ведом. 2021-2023'!AF793</f>
        <v>0</v>
      </c>
      <c r="K730" s="475"/>
      <c r="L730" s="465"/>
      <c r="N730" s="465"/>
      <c r="O730" s="465"/>
    </row>
    <row r="731" spans="1:15" s="441" customFormat="1" x14ac:dyDescent="0.25">
      <c r="A731" s="523" t="s">
        <v>1812</v>
      </c>
      <c r="B731" s="618" t="s">
        <v>205</v>
      </c>
      <c r="C731" s="235" t="s">
        <v>193</v>
      </c>
      <c r="D731" s="249"/>
      <c r="E731" s="238"/>
      <c r="F731" s="292">
        <f>F742+F732+F760</f>
        <v>139150.39999999999</v>
      </c>
      <c r="G731" s="292">
        <f t="shared" ref="G731:J731" si="167">G742+G732+G760</f>
        <v>7125</v>
      </c>
      <c r="H731" s="292">
        <f t="shared" si="167"/>
        <v>115630.39999999999</v>
      </c>
      <c r="I731" s="292">
        <f t="shared" si="167"/>
        <v>0</v>
      </c>
      <c r="J731" s="292">
        <f t="shared" si="167"/>
        <v>115630.39999999999</v>
      </c>
      <c r="K731" s="475"/>
      <c r="L731" s="465"/>
      <c r="N731" s="465"/>
      <c r="O731" s="465"/>
    </row>
    <row r="732" spans="1:15" s="513" customFormat="1" x14ac:dyDescent="0.25">
      <c r="A732" s="520" t="s">
        <v>1998</v>
      </c>
      <c r="B732" s="618" t="s">
        <v>205</v>
      </c>
      <c r="C732" s="235" t="s">
        <v>193</v>
      </c>
      <c r="D732" s="442" t="s">
        <v>1774</v>
      </c>
      <c r="E732" s="575"/>
      <c r="F732" s="292">
        <f>F733+F737</f>
        <v>62695.5</v>
      </c>
      <c r="G732" s="475">
        <f>G733+G737</f>
        <v>7125</v>
      </c>
      <c r="H732" s="475">
        <f>H733+H737</f>
        <v>43445.5</v>
      </c>
      <c r="I732" s="475"/>
      <c r="J732" s="475">
        <f>J733+J737</f>
        <v>43445.5</v>
      </c>
      <c r="K732" s="475"/>
      <c r="L732" s="465"/>
      <c r="N732" s="465"/>
      <c r="O732" s="465"/>
    </row>
    <row r="733" spans="1:15" s="513" customFormat="1" ht="40.9" customHeight="1" x14ac:dyDescent="0.25">
      <c r="A733" s="552" t="s">
        <v>2415</v>
      </c>
      <c r="B733" s="618" t="s">
        <v>205</v>
      </c>
      <c r="C733" s="235" t="s">
        <v>193</v>
      </c>
      <c r="D733" s="442" t="s">
        <v>2267</v>
      </c>
      <c r="E733" s="238"/>
      <c r="F733" s="292">
        <f t="shared" ref="F733:H735" si="168">F734</f>
        <v>14250</v>
      </c>
      <c r="G733" s="475">
        <f t="shared" si="168"/>
        <v>7125</v>
      </c>
      <c r="H733" s="475">
        <f t="shared" si="168"/>
        <v>0</v>
      </c>
      <c r="I733" s="475"/>
      <c r="J733" s="475">
        <f>J734</f>
        <v>0</v>
      </c>
      <c r="K733" s="475"/>
      <c r="L733" s="465"/>
      <c r="N733" s="465"/>
      <c r="O733" s="465"/>
    </row>
    <row r="734" spans="1:15" s="513" customFormat="1" ht="47.25" x14ac:dyDescent="0.25">
      <c r="A734" s="523" t="s">
        <v>2219</v>
      </c>
      <c r="B734" s="613" t="s">
        <v>205</v>
      </c>
      <c r="C734" s="235" t="s">
        <v>193</v>
      </c>
      <c r="D734" s="442" t="s">
        <v>2322</v>
      </c>
      <c r="E734" s="576"/>
      <c r="F734" s="292">
        <f t="shared" si="168"/>
        <v>14250</v>
      </c>
      <c r="G734" s="475">
        <f t="shared" si="168"/>
        <v>7125</v>
      </c>
      <c r="H734" s="475">
        <f t="shared" si="168"/>
        <v>0</v>
      </c>
      <c r="I734" s="475"/>
      <c r="J734" s="475">
        <f>J735</f>
        <v>0</v>
      </c>
      <c r="K734" s="475"/>
      <c r="L734" s="465"/>
      <c r="N734" s="465"/>
      <c r="O734" s="465"/>
    </row>
    <row r="735" spans="1:15" s="513" customFormat="1" ht="31.5" x14ac:dyDescent="0.25">
      <c r="A735" s="519" t="s">
        <v>1342</v>
      </c>
      <c r="B735" s="613" t="s">
        <v>205</v>
      </c>
      <c r="C735" s="235" t="s">
        <v>193</v>
      </c>
      <c r="D735" s="442" t="s">
        <v>2322</v>
      </c>
      <c r="E735" s="576">
        <v>600</v>
      </c>
      <c r="F735" s="292">
        <f t="shared" si="168"/>
        <v>14250</v>
      </c>
      <c r="G735" s="475">
        <f t="shared" si="168"/>
        <v>7125</v>
      </c>
      <c r="H735" s="475">
        <f t="shared" si="168"/>
        <v>0</v>
      </c>
      <c r="I735" s="475"/>
      <c r="J735" s="475">
        <f>J736</f>
        <v>0</v>
      </c>
      <c r="K735" s="475"/>
      <c r="L735" s="465"/>
      <c r="N735" s="465"/>
      <c r="O735" s="465"/>
    </row>
    <row r="736" spans="1:15" s="513" customFormat="1" x14ac:dyDescent="0.25">
      <c r="A736" s="519" t="s">
        <v>1343</v>
      </c>
      <c r="B736" s="613" t="s">
        <v>205</v>
      </c>
      <c r="C736" s="235" t="s">
        <v>193</v>
      </c>
      <c r="D736" s="442" t="s">
        <v>2322</v>
      </c>
      <c r="E736" s="576">
        <v>610</v>
      </c>
      <c r="F736" s="292">
        <f>'ведом. 2021-2023'!AD389</f>
        <v>14250</v>
      </c>
      <c r="G736" s="475">
        <v>7125</v>
      </c>
      <c r="H736" s="475">
        <f>'ведом. 2021-2023'!AE389</f>
        <v>0</v>
      </c>
      <c r="I736" s="475"/>
      <c r="J736" s="475">
        <f>'ведом. 2021-2023'!AF389</f>
        <v>0</v>
      </c>
      <c r="K736" s="475"/>
      <c r="L736" s="465"/>
      <c r="N736" s="465"/>
      <c r="O736" s="465"/>
    </row>
    <row r="737" spans="1:15" s="513" customFormat="1" x14ac:dyDescent="0.25">
      <c r="A737" s="551" t="s">
        <v>2364</v>
      </c>
      <c r="B737" s="618" t="s">
        <v>205</v>
      </c>
      <c r="C737" s="235" t="s">
        <v>193</v>
      </c>
      <c r="D737" s="442" t="s">
        <v>2365</v>
      </c>
      <c r="E737" s="576"/>
      <c r="F737" s="292">
        <f>F738</f>
        <v>48445.5</v>
      </c>
      <c r="G737" s="475"/>
      <c r="H737" s="475">
        <f>H738</f>
        <v>43445.5</v>
      </c>
      <c r="I737" s="475"/>
      <c r="J737" s="475">
        <f>J738</f>
        <v>43445.5</v>
      </c>
      <c r="K737" s="475"/>
      <c r="L737" s="465"/>
      <c r="N737" s="465"/>
      <c r="O737" s="465"/>
    </row>
    <row r="738" spans="1:15" s="513" customFormat="1" ht="31.5" x14ac:dyDescent="0.25">
      <c r="A738" s="551" t="s">
        <v>2362</v>
      </c>
      <c r="B738" s="613" t="s">
        <v>205</v>
      </c>
      <c r="C738" s="235" t="s">
        <v>193</v>
      </c>
      <c r="D738" s="442" t="s">
        <v>2366</v>
      </c>
      <c r="E738" s="576"/>
      <c r="F738" s="292">
        <f>F739</f>
        <v>48445.5</v>
      </c>
      <c r="G738" s="475"/>
      <c r="H738" s="475">
        <f>H739</f>
        <v>43445.5</v>
      </c>
      <c r="I738" s="475"/>
      <c r="J738" s="475">
        <f>J739</f>
        <v>43445.5</v>
      </c>
      <c r="K738" s="475"/>
      <c r="L738" s="465"/>
      <c r="N738" s="465"/>
      <c r="O738" s="465"/>
    </row>
    <row r="739" spans="1:15" s="513" customFormat="1" ht="31.5" x14ac:dyDescent="0.25">
      <c r="A739" s="826" t="s">
        <v>2363</v>
      </c>
      <c r="B739" s="613" t="s">
        <v>205</v>
      </c>
      <c r="C739" s="235" t="s">
        <v>193</v>
      </c>
      <c r="D739" s="442" t="s">
        <v>2367</v>
      </c>
      <c r="E739" s="576"/>
      <c r="F739" s="292">
        <f>F740</f>
        <v>48445.5</v>
      </c>
      <c r="G739" s="475"/>
      <c r="H739" s="475">
        <f>H740</f>
        <v>43445.5</v>
      </c>
      <c r="I739" s="475"/>
      <c r="J739" s="475">
        <f>J740</f>
        <v>43445.5</v>
      </c>
      <c r="K739" s="475"/>
      <c r="L739" s="465"/>
      <c r="N739" s="465"/>
      <c r="O739" s="465"/>
    </row>
    <row r="740" spans="1:15" s="513" customFormat="1" ht="31.5" x14ac:dyDescent="0.25">
      <c r="A740" s="551" t="s">
        <v>1342</v>
      </c>
      <c r="B740" s="613" t="s">
        <v>205</v>
      </c>
      <c r="C740" s="235" t="s">
        <v>193</v>
      </c>
      <c r="D740" s="442" t="s">
        <v>2367</v>
      </c>
      <c r="E740" s="576">
        <v>600</v>
      </c>
      <c r="F740" s="292">
        <f>F741</f>
        <v>48445.5</v>
      </c>
      <c r="G740" s="475"/>
      <c r="H740" s="475">
        <f>H741</f>
        <v>43445.5</v>
      </c>
      <c r="I740" s="475"/>
      <c r="J740" s="475">
        <f>J741</f>
        <v>43445.5</v>
      </c>
      <c r="K740" s="475"/>
      <c r="L740" s="465"/>
      <c r="N740" s="465"/>
      <c r="O740" s="465"/>
    </row>
    <row r="741" spans="1:15" s="513" customFormat="1" x14ac:dyDescent="0.25">
      <c r="A741" s="551" t="s">
        <v>1343</v>
      </c>
      <c r="B741" s="613" t="s">
        <v>205</v>
      </c>
      <c r="C741" s="235" t="s">
        <v>193</v>
      </c>
      <c r="D741" s="442" t="s">
        <v>2367</v>
      </c>
      <c r="E741" s="576">
        <v>610</v>
      </c>
      <c r="F741" s="292">
        <f>'ведом. 2021-2023'!AD394</f>
        <v>48445.5</v>
      </c>
      <c r="G741" s="475"/>
      <c r="H741" s="475">
        <f>'ведом. 2021-2023'!AE394</f>
        <v>43445.5</v>
      </c>
      <c r="I741" s="475"/>
      <c r="J741" s="475">
        <f>'ведом. 2021-2023'!AF394</f>
        <v>43445.5</v>
      </c>
      <c r="K741" s="475"/>
      <c r="L741" s="465"/>
      <c r="N741" s="465"/>
      <c r="O741" s="465"/>
    </row>
    <row r="742" spans="1:15" s="441" customFormat="1" x14ac:dyDescent="0.25">
      <c r="A742" s="605" t="s">
        <v>2021</v>
      </c>
      <c r="B742" s="618" t="s">
        <v>205</v>
      </c>
      <c r="C742" s="235" t="s">
        <v>193</v>
      </c>
      <c r="D742" s="249" t="s">
        <v>1759</v>
      </c>
      <c r="E742" s="238"/>
      <c r="F742" s="292">
        <f>F743</f>
        <v>76114.899999999994</v>
      </c>
      <c r="G742" s="475"/>
      <c r="H742" s="475">
        <f>H743</f>
        <v>72184.899999999994</v>
      </c>
      <c r="I742" s="475"/>
      <c r="J742" s="475">
        <f>J743</f>
        <v>72184.899999999994</v>
      </c>
      <c r="K742" s="475"/>
      <c r="L742" s="465"/>
      <c r="N742" s="465"/>
      <c r="O742" s="465"/>
    </row>
    <row r="743" spans="1:15" s="441" customFormat="1" ht="31.5" x14ac:dyDescent="0.25">
      <c r="A743" s="520" t="s">
        <v>2038</v>
      </c>
      <c r="B743" s="618" t="s">
        <v>205</v>
      </c>
      <c r="C743" s="235" t="s">
        <v>193</v>
      </c>
      <c r="D743" s="442" t="s">
        <v>1778</v>
      </c>
      <c r="E743" s="580"/>
      <c r="F743" s="292">
        <f>F744+F752</f>
        <v>76114.899999999994</v>
      </c>
      <c r="G743" s="475"/>
      <c r="H743" s="475">
        <f>H744+H752</f>
        <v>72184.899999999994</v>
      </c>
      <c r="I743" s="475"/>
      <c r="J743" s="475">
        <f>J744+J752</f>
        <v>72184.899999999994</v>
      </c>
      <c r="K743" s="475"/>
      <c r="L743" s="465"/>
      <c r="N743" s="465"/>
      <c r="O743" s="465"/>
    </row>
    <row r="744" spans="1:15" s="441" customFormat="1" ht="31.5" x14ac:dyDescent="0.25">
      <c r="A744" s="520" t="s">
        <v>2039</v>
      </c>
      <c r="B744" s="618" t="s">
        <v>205</v>
      </c>
      <c r="C744" s="235" t="s">
        <v>193</v>
      </c>
      <c r="D744" s="442" t="s">
        <v>2183</v>
      </c>
      <c r="E744" s="580"/>
      <c r="F744" s="292">
        <f>F745</f>
        <v>63922.5</v>
      </c>
      <c r="G744" s="475"/>
      <c r="H744" s="475">
        <f>H745</f>
        <v>37407.800000000003</v>
      </c>
      <c r="I744" s="475"/>
      <c r="J744" s="475">
        <f>J745</f>
        <v>37407.800000000003</v>
      </c>
      <c r="K744" s="475"/>
      <c r="L744" s="465"/>
      <c r="N744" s="465"/>
      <c r="O744" s="465"/>
    </row>
    <row r="745" spans="1:15" s="441" customFormat="1" ht="31.5" x14ac:dyDescent="0.25">
      <c r="A745" s="520" t="s">
        <v>2040</v>
      </c>
      <c r="B745" s="618" t="s">
        <v>205</v>
      </c>
      <c r="C745" s="235" t="s">
        <v>193</v>
      </c>
      <c r="D745" s="442" t="s">
        <v>2184</v>
      </c>
      <c r="E745" s="596"/>
      <c r="F745" s="292">
        <f>F749+F746</f>
        <v>63922.5</v>
      </c>
      <c r="G745" s="475"/>
      <c r="H745" s="475">
        <f>H749+H746</f>
        <v>37407.800000000003</v>
      </c>
      <c r="I745" s="475"/>
      <c r="J745" s="475">
        <f>J749+J746</f>
        <v>37407.800000000003</v>
      </c>
      <c r="K745" s="475"/>
      <c r="L745" s="465"/>
      <c r="N745" s="465"/>
      <c r="O745" s="465"/>
    </row>
    <row r="746" spans="1:15" s="513" customFormat="1" ht="31.5" x14ac:dyDescent="0.25">
      <c r="A746" s="523" t="s">
        <v>2185</v>
      </c>
      <c r="B746" s="618" t="s">
        <v>205</v>
      </c>
      <c r="C746" s="235" t="s">
        <v>193</v>
      </c>
      <c r="D746" s="442" t="s">
        <v>2187</v>
      </c>
      <c r="E746" s="597"/>
      <c r="F746" s="292">
        <f>F748</f>
        <v>59737.5</v>
      </c>
      <c r="G746" s="475"/>
      <c r="H746" s="475">
        <f>H748</f>
        <v>37152.800000000003</v>
      </c>
      <c r="I746" s="475"/>
      <c r="J746" s="475">
        <f>J748</f>
        <v>37152.800000000003</v>
      </c>
      <c r="K746" s="475"/>
      <c r="L746" s="465"/>
      <c r="N746" s="465"/>
      <c r="O746" s="465"/>
    </row>
    <row r="747" spans="1:15" s="513" customFormat="1" ht="31.5" x14ac:dyDescent="0.25">
      <c r="A747" s="523" t="s">
        <v>1342</v>
      </c>
      <c r="B747" s="618" t="s">
        <v>205</v>
      </c>
      <c r="C747" s="235" t="s">
        <v>193</v>
      </c>
      <c r="D747" s="442" t="s">
        <v>2187</v>
      </c>
      <c r="E747" s="238">
        <v>600</v>
      </c>
      <c r="F747" s="292">
        <f>F748</f>
        <v>59737.5</v>
      </c>
      <c r="G747" s="475"/>
      <c r="H747" s="475">
        <f>H748</f>
        <v>37152.800000000003</v>
      </c>
      <c r="I747" s="475"/>
      <c r="J747" s="475">
        <f>J748</f>
        <v>37152.800000000003</v>
      </c>
      <c r="K747" s="475"/>
      <c r="L747" s="465"/>
      <c r="N747" s="465"/>
      <c r="O747" s="465"/>
    </row>
    <row r="748" spans="1:15" s="513" customFormat="1" x14ac:dyDescent="0.25">
      <c r="A748" s="523" t="s">
        <v>1343</v>
      </c>
      <c r="B748" s="618" t="s">
        <v>205</v>
      </c>
      <c r="C748" s="235" t="s">
        <v>193</v>
      </c>
      <c r="D748" s="442" t="s">
        <v>2187</v>
      </c>
      <c r="E748" s="238">
        <v>610</v>
      </c>
      <c r="F748" s="292">
        <f>'ведом. 2021-2023'!AD801</f>
        <v>59737.5</v>
      </c>
      <c r="G748" s="475"/>
      <c r="H748" s="475">
        <f>'ведом. 2021-2023'!AE801</f>
        <v>37152.800000000003</v>
      </c>
      <c r="I748" s="475"/>
      <c r="J748" s="475">
        <f>'ведом. 2021-2023'!AF801</f>
        <v>37152.800000000003</v>
      </c>
      <c r="K748" s="475"/>
      <c r="L748" s="465"/>
      <c r="N748" s="465"/>
      <c r="O748" s="465"/>
    </row>
    <row r="749" spans="1:15" s="441" customFormat="1" ht="31.5" x14ac:dyDescent="0.25">
      <c r="A749" s="523" t="s">
        <v>2186</v>
      </c>
      <c r="B749" s="618" t="s">
        <v>205</v>
      </c>
      <c r="C749" s="235" t="s">
        <v>193</v>
      </c>
      <c r="D749" s="442" t="s">
        <v>2188</v>
      </c>
      <c r="E749" s="580"/>
      <c r="F749" s="292">
        <f>F750</f>
        <v>4185</v>
      </c>
      <c r="G749" s="475"/>
      <c r="H749" s="475">
        <f>H750</f>
        <v>255</v>
      </c>
      <c r="I749" s="475"/>
      <c r="J749" s="475">
        <f>J750</f>
        <v>255</v>
      </c>
      <c r="K749" s="475"/>
      <c r="L749" s="465"/>
      <c r="N749" s="465"/>
      <c r="O749" s="465"/>
    </row>
    <row r="750" spans="1:15" s="441" customFormat="1" ht="31.5" x14ac:dyDescent="0.25">
      <c r="A750" s="523" t="s">
        <v>1342</v>
      </c>
      <c r="B750" s="618" t="s">
        <v>205</v>
      </c>
      <c r="C750" s="235" t="s">
        <v>193</v>
      </c>
      <c r="D750" s="442" t="s">
        <v>2188</v>
      </c>
      <c r="E750" s="238">
        <v>600</v>
      </c>
      <c r="F750" s="292">
        <f>F751</f>
        <v>4185</v>
      </c>
      <c r="G750" s="475"/>
      <c r="H750" s="475">
        <f>H751</f>
        <v>255</v>
      </c>
      <c r="I750" s="475"/>
      <c r="J750" s="475">
        <f>J751</f>
        <v>255</v>
      </c>
      <c r="K750" s="475"/>
      <c r="L750" s="465"/>
      <c r="N750" s="465"/>
      <c r="O750" s="465"/>
    </row>
    <row r="751" spans="1:15" s="441" customFormat="1" x14ac:dyDescent="0.25">
      <c r="A751" s="523" t="s">
        <v>1343</v>
      </c>
      <c r="B751" s="618" t="s">
        <v>205</v>
      </c>
      <c r="C751" s="235" t="s">
        <v>193</v>
      </c>
      <c r="D751" s="442" t="s">
        <v>2188</v>
      </c>
      <c r="E751" s="238">
        <v>610</v>
      </c>
      <c r="F751" s="292">
        <f>'ведом. 2021-2023'!AD804+'ведом. 2021-2023'!AD401</f>
        <v>4185</v>
      </c>
      <c r="G751" s="475"/>
      <c r="H751" s="475">
        <f>'ведом. 2021-2023'!AE804+'ведом. 2021-2023'!AE401</f>
        <v>255</v>
      </c>
      <c r="I751" s="475"/>
      <c r="J751" s="475">
        <f>'ведом. 2021-2023'!AF804+'ведом. 2021-2023'!AF401</f>
        <v>255</v>
      </c>
      <c r="K751" s="475"/>
      <c r="L751" s="465"/>
      <c r="N751" s="465"/>
      <c r="O751" s="465"/>
    </row>
    <row r="752" spans="1:15" s="441" customFormat="1" ht="31.5" x14ac:dyDescent="0.25">
      <c r="A752" s="520" t="s">
        <v>2041</v>
      </c>
      <c r="B752" s="618" t="s">
        <v>205</v>
      </c>
      <c r="C752" s="235" t="s">
        <v>193</v>
      </c>
      <c r="D752" s="442" t="s">
        <v>2285</v>
      </c>
      <c r="E752" s="238"/>
      <c r="F752" s="292">
        <f>F753</f>
        <v>12192.399999999998</v>
      </c>
      <c r="G752" s="475"/>
      <c r="H752" s="475">
        <f>H753</f>
        <v>34777.1</v>
      </c>
      <c r="I752" s="475"/>
      <c r="J752" s="475">
        <f>J753</f>
        <v>34777.1</v>
      </c>
      <c r="K752" s="475"/>
      <c r="L752" s="465"/>
      <c r="N752" s="465"/>
      <c r="O752" s="465"/>
    </row>
    <row r="753" spans="1:15" s="441" customFormat="1" ht="31.5" x14ac:dyDescent="0.25">
      <c r="A753" s="521" t="s">
        <v>1839</v>
      </c>
      <c r="B753" s="618" t="s">
        <v>205</v>
      </c>
      <c r="C753" s="235" t="s">
        <v>193</v>
      </c>
      <c r="D753" s="442" t="s">
        <v>2286</v>
      </c>
      <c r="E753" s="238"/>
      <c r="F753" s="292">
        <f>F754+F758</f>
        <v>12192.399999999998</v>
      </c>
      <c r="G753" s="475"/>
      <c r="H753" s="475">
        <f>H754+H758</f>
        <v>34777.1</v>
      </c>
      <c r="I753" s="475"/>
      <c r="J753" s="475">
        <f>J754+J758</f>
        <v>34777.1</v>
      </c>
      <c r="K753" s="475"/>
      <c r="L753" s="465"/>
      <c r="N753" s="465"/>
      <c r="O753" s="465"/>
    </row>
    <row r="754" spans="1:15" s="441" customFormat="1" ht="31.5" x14ac:dyDescent="0.25">
      <c r="A754" s="523" t="s">
        <v>1342</v>
      </c>
      <c r="B754" s="618" t="s">
        <v>205</v>
      </c>
      <c r="C754" s="235" t="s">
        <v>193</v>
      </c>
      <c r="D754" s="442" t="s">
        <v>2286</v>
      </c>
      <c r="E754" s="238">
        <v>600</v>
      </c>
      <c r="F754" s="292">
        <f>F755+F756+F757</f>
        <v>11792.399999999998</v>
      </c>
      <c r="G754" s="475"/>
      <c r="H754" s="475">
        <f>H755+H756+H757</f>
        <v>34377.1</v>
      </c>
      <c r="I754" s="475"/>
      <c r="J754" s="475">
        <f>J755+J756+J757</f>
        <v>34377.1</v>
      </c>
      <c r="K754" s="475"/>
      <c r="L754" s="465"/>
      <c r="N754" s="465"/>
      <c r="O754" s="465"/>
    </row>
    <row r="755" spans="1:15" s="441" customFormat="1" x14ac:dyDescent="0.25">
      <c r="A755" s="523" t="s">
        <v>1343</v>
      </c>
      <c r="B755" s="618" t="s">
        <v>205</v>
      </c>
      <c r="C755" s="235" t="s">
        <v>193</v>
      </c>
      <c r="D755" s="442" t="s">
        <v>2286</v>
      </c>
      <c r="E755" s="238">
        <v>610</v>
      </c>
      <c r="F755" s="292">
        <f>'ведом. 2021-2023'!AD808</f>
        <v>11292.399999999998</v>
      </c>
      <c r="G755" s="475"/>
      <c r="H755" s="475">
        <f>'ведом. 2021-2023'!AE808</f>
        <v>33877.1</v>
      </c>
      <c r="I755" s="475"/>
      <c r="J755" s="475">
        <f>'ведом. 2021-2023'!AF808</f>
        <v>33877.1</v>
      </c>
      <c r="K755" s="475"/>
      <c r="L755" s="465"/>
      <c r="N755" s="465"/>
      <c r="O755" s="465"/>
    </row>
    <row r="756" spans="1:15" s="513" customFormat="1" x14ac:dyDescent="0.25">
      <c r="A756" s="519" t="s">
        <v>1800</v>
      </c>
      <c r="B756" s="618" t="s">
        <v>205</v>
      </c>
      <c r="C756" s="235" t="s">
        <v>193</v>
      </c>
      <c r="D756" s="442" t="s">
        <v>2286</v>
      </c>
      <c r="E756" s="238">
        <v>620</v>
      </c>
      <c r="F756" s="292">
        <f>'ведом. 2021-2023'!AD809</f>
        <v>250</v>
      </c>
      <c r="G756" s="475"/>
      <c r="H756" s="475">
        <f>'ведом. 2021-2023'!AE809</f>
        <v>250</v>
      </c>
      <c r="I756" s="475"/>
      <c r="J756" s="475">
        <f>'ведом. 2021-2023'!AF809</f>
        <v>250</v>
      </c>
      <c r="K756" s="475"/>
      <c r="L756" s="465"/>
      <c r="N756" s="465"/>
      <c r="O756" s="465"/>
    </row>
    <row r="757" spans="1:15" s="513" customFormat="1" ht="47.25" x14ac:dyDescent="0.25">
      <c r="A757" s="551" t="s">
        <v>2299</v>
      </c>
      <c r="B757" s="618" t="s">
        <v>205</v>
      </c>
      <c r="C757" s="235" t="s">
        <v>193</v>
      </c>
      <c r="D757" s="442" t="s">
        <v>2286</v>
      </c>
      <c r="E757" s="238">
        <v>630</v>
      </c>
      <c r="F757" s="292">
        <f>'ведом. 2021-2023'!AD810</f>
        <v>250</v>
      </c>
      <c r="G757" s="475"/>
      <c r="H757" s="475">
        <f>'ведом. 2021-2023'!AE810</f>
        <v>250</v>
      </c>
      <c r="I757" s="475"/>
      <c r="J757" s="475">
        <f>'ведом. 2021-2023'!AF810</f>
        <v>250</v>
      </c>
      <c r="K757" s="475"/>
      <c r="L757" s="465"/>
      <c r="N757" s="465"/>
      <c r="O757" s="465"/>
    </row>
    <row r="758" spans="1:15" s="513" customFormat="1" x14ac:dyDescent="0.25">
      <c r="A758" s="519" t="s">
        <v>923</v>
      </c>
      <c r="B758" s="618" t="s">
        <v>205</v>
      </c>
      <c r="C758" s="235" t="s">
        <v>193</v>
      </c>
      <c r="D758" s="442" t="s">
        <v>2286</v>
      </c>
      <c r="E758" s="238">
        <v>800</v>
      </c>
      <c r="F758" s="292">
        <f>F759</f>
        <v>400</v>
      </c>
      <c r="G758" s="475"/>
      <c r="H758" s="475">
        <f>H759</f>
        <v>400</v>
      </c>
      <c r="I758" s="475"/>
      <c r="J758" s="475">
        <f>J759</f>
        <v>400</v>
      </c>
      <c r="K758" s="475"/>
      <c r="L758" s="465"/>
      <c r="N758" s="465"/>
      <c r="O758" s="465"/>
    </row>
    <row r="759" spans="1:15" s="513" customFormat="1" ht="31.5" x14ac:dyDescent="0.25">
      <c r="A759" s="551" t="s">
        <v>1782</v>
      </c>
      <c r="B759" s="618" t="s">
        <v>205</v>
      </c>
      <c r="C759" s="235" t="s">
        <v>193</v>
      </c>
      <c r="D759" s="442" t="s">
        <v>2286</v>
      </c>
      <c r="E759" s="238">
        <v>810</v>
      </c>
      <c r="F759" s="292">
        <f>'ведом. 2021-2023'!AD812</f>
        <v>400</v>
      </c>
      <c r="G759" s="475"/>
      <c r="H759" s="475">
        <f>'ведом. 2021-2023'!AE812</f>
        <v>400</v>
      </c>
      <c r="I759" s="475"/>
      <c r="J759" s="475">
        <f>'ведом. 2021-2023'!AF812</f>
        <v>400</v>
      </c>
      <c r="K759" s="475"/>
      <c r="L759" s="465"/>
      <c r="N759" s="465"/>
      <c r="O759" s="465"/>
    </row>
    <row r="760" spans="1:15" s="513" customFormat="1" ht="31.5" x14ac:dyDescent="0.25">
      <c r="A760" s="548" t="s">
        <v>1853</v>
      </c>
      <c r="B760" s="235" t="s">
        <v>205</v>
      </c>
      <c r="C760" s="235" t="s">
        <v>193</v>
      </c>
      <c r="D760" s="249" t="s">
        <v>1761</v>
      </c>
      <c r="E760" s="576"/>
      <c r="F760" s="292">
        <f>F761</f>
        <v>340</v>
      </c>
      <c r="G760" s="292"/>
      <c r="H760" s="292">
        <f t="shared" ref="H760:J760" si="169">H761</f>
        <v>0</v>
      </c>
      <c r="I760" s="292"/>
      <c r="J760" s="292">
        <f t="shared" si="169"/>
        <v>0</v>
      </c>
      <c r="K760" s="475"/>
      <c r="L760" s="465"/>
      <c r="N760" s="465"/>
      <c r="O760" s="465"/>
    </row>
    <row r="761" spans="1:15" s="513" customFormat="1" ht="31.5" x14ac:dyDescent="0.25">
      <c r="A761" s="548" t="s">
        <v>2275</v>
      </c>
      <c r="B761" s="235" t="s">
        <v>205</v>
      </c>
      <c r="C761" s="235" t="s">
        <v>193</v>
      </c>
      <c r="D761" s="442" t="s">
        <v>1763</v>
      </c>
      <c r="E761" s="238"/>
      <c r="F761" s="292">
        <f>F762</f>
        <v>340</v>
      </c>
      <c r="G761" s="292"/>
      <c r="H761" s="292">
        <f t="shared" ref="H761:J761" si="170">H762</f>
        <v>0</v>
      </c>
      <c r="I761" s="292"/>
      <c r="J761" s="292">
        <f t="shared" si="170"/>
        <v>0</v>
      </c>
      <c r="K761" s="475"/>
      <c r="L761" s="465"/>
      <c r="N761" s="465"/>
      <c r="O761" s="465"/>
    </row>
    <row r="762" spans="1:15" s="513" customFormat="1" x14ac:dyDescent="0.25">
      <c r="A762" s="529" t="s">
        <v>1880</v>
      </c>
      <c r="B762" s="235" t="s">
        <v>205</v>
      </c>
      <c r="C762" s="235" t="s">
        <v>193</v>
      </c>
      <c r="D762" s="442" t="s">
        <v>1789</v>
      </c>
      <c r="E762" s="579"/>
      <c r="F762" s="292">
        <f>F763</f>
        <v>340</v>
      </c>
      <c r="G762" s="292"/>
      <c r="H762" s="292">
        <f t="shared" ref="H762:J762" si="171">H763</f>
        <v>0</v>
      </c>
      <c r="I762" s="292"/>
      <c r="J762" s="292">
        <f t="shared" si="171"/>
        <v>0</v>
      </c>
      <c r="K762" s="475"/>
      <c r="L762" s="465"/>
      <c r="N762" s="465"/>
      <c r="O762" s="465"/>
    </row>
    <row r="763" spans="1:15" s="513" customFormat="1" x14ac:dyDescent="0.25">
      <c r="A763" s="519" t="s">
        <v>1876</v>
      </c>
      <c r="B763" s="235" t="s">
        <v>205</v>
      </c>
      <c r="C763" s="235" t="s">
        <v>193</v>
      </c>
      <c r="D763" s="442" t="s">
        <v>1877</v>
      </c>
      <c r="E763" s="238"/>
      <c r="F763" s="292">
        <f>F764</f>
        <v>340</v>
      </c>
      <c r="G763" s="292"/>
      <c r="H763" s="292">
        <f t="shared" ref="H763:J763" si="172">H764</f>
        <v>0</v>
      </c>
      <c r="I763" s="292"/>
      <c r="J763" s="292">
        <f t="shared" si="172"/>
        <v>0</v>
      </c>
      <c r="K763" s="475"/>
      <c r="L763" s="465"/>
      <c r="N763" s="465"/>
      <c r="O763" s="465"/>
    </row>
    <row r="764" spans="1:15" s="513" customFormat="1" ht="31.5" x14ac:dyDescent="0.25">
      <c r="A764" s="519" t="s">
        <v>1342</v>
      </c>
      <c r="B764" s="235" t="s">
        <v>205</v>
      </c>
      <c r="C764" s="235" t="s">
        <v>193</v>
      </c>
      <c r="D764" s="442" t="s">
        <v>1877</v>
      </c>
      <c r="E764" s="576">
        <v>600</v>
      </c>
      <c r="F764" s="292">
        <f>F765</f>
        <v>340</v>
      </c>
      <c r="G764" s="292"/>
      <c r="H764" s="292">
        <f t="shared" ref="H764:J764" si="173">H765</f>
        <v>0</v>
      </c>
      <c r="I764" s="292"/>
      <c r="J764" s="292">
        <f t="shared" si="173"/>
        <v>0</v>
      </c>
      <c r="K764" s="475"/>
      <c r="L764" s="465"/>
      <c r="N764" s="465"/>
      <c r="O764" s="465"/>
    </row>
    <row r="765" spans="1:15" s="513" customFormat="1" x14ac:dyDescent="0.25">
      <c r="A765" s="519" t="s">
        <v>1343</v>
      </c>
      <c r="B765" s="235" t="s">
        <v>205</v>
      </c>
      <c r="C765" s="235" t="s">
        <v>193</v>
      </c>
      <c r="D765" s="442" t="s">
        <v>1877</v>
      </c>
      <c r="E765" s="576">
        <v>610</v>
      </c>
      <c r="F765" s="292">
        <f>'ведом. 2021-2023'!AD407</f>
        <v>340</v>
      </c>
      <c r="G765" s="475"/>
      <c r="H765" s="475">
        <f>'ведом. 2021-2023'!AE407</f>
        <v>0</v>
      </c>
      <c r="I765" s="475"/>
      <c r="J765" s="475">
        <f>'ведом. 2021-2023'!AF407</f>
        <v>0</v>
      </c>
      <c r="K765" s="475"/>
      <c r="L765" s="465"/>
      <c r="N765" s="465"/>
      <c r="O765" s="465"/>
    </row>
    <row r="766" spans="1:15" s="441" customFormat="1" x14ac:dyDescent="0.25">
      <c r="A766" s="523" t="s">
        <v>1813</v>
      </c>
      <c r="B766" s="613" t="s">
        <v>205</v>
      </c>
      <c r="C766" s="235" t="s">
        <v>205</v>
      </c>
      <c r="D766" s="249"/>
      <c r="E766" s="576"/>
      <c r="F766" s="292">
        <f>F767+F777</f>
        <v>1734.8999999999999</v>
      </c>
      <c r="G766" s="475"/>
      <c r="H766" s="475">
        <f>H767+H777</f>
        <v>1620.5</v>
      </c>
      <c r="I766" s="475"/>
      <c r="J766" s="475">
        <f>J767+J777</f>
        <v>1620.5</v>
      </c>
      <c r="K766" s="475"/>
      <c r="L766" s="465"/>
      <c r="N766" s="465"/>
      <c r="O766" s="465"/>
    </row>
    <row r="767" spans="1:15" s="441" customFormat="1" ht="31.5" x14ac:dyDescent="0.25">
      <c r="A767" s="520" t="s">
        <v>1853</v>
      </c>
      <c r="B767" s="613" t="s">
        <v>205</v>
      </c>
      <c r="C767" s="235" t="s">
        <v>205</v>
      </c>
      <c r="D767" s="249" t="s">
        <v>1761</v>
      </c>
      <c r="E767" s="576"/>
      <c r="F767" s="292">
        <f>F768</f>
        <v>296.3</v>
      </c>
      <c r="G767" s="475"/>
      <c r="H767" s="475">
        <f>H768</f>
        <v>355.5</v>
      </c>
      <c r="I767" s="475"/>
      <c r="J767" s="475">
        <f>J768</f>
        <v>355.5</v>
      </c>
      <c r="K767" s="475"/>
      <c r="L767" s="465"/>
      <c r="N767" s="465"/>
      <c r="O767" s="465"/>
    </row>
    <row r="768" spans="1:15" s="441" customFormat="1" x14ac:dyDescent="0.25">
      <c r="A768" s="520" t="s">
        <v>1854</v>
      </c>
      <c r="B768" s="613" t="s">
        <v>205</v>
      </c>
      <c r="C768" s="235" t="s">
        <v>205</v>
      </c>
      <c r="D768" s="249" t="s">
        <v>1765</v>
      </c>
      <c r="E768" s="576"/>
      <c r="F768" s="292">
        <f>F769+F773</f>
        <v>296.3</v>
      </c>
      <c r="G768" s="475"/>
      <c r="H768" s="475">
        <f>H769+H773</f>
        <v>355.5</v>
      </c>
      <c r="I768" s="475"/>
      <c r="J768" s="475">
        <f>J769+J773</f>
        <v>355.5</v>
      </c>
      <c r="K768" s="475"/>
      <c r="L768" s="465"/>
      <c r="N768" s="465"/>
      <c r="O768" s="465"/>
    </row>
    <row r="769" spans="1:15" s="441" customFormat="1" ht="47.25" x14ac:dyDescent="0.25">
      <c r="A769" s="529" t="s">
        <v>2254</v>
      </c>
      <c r="B769" s="613" t="s">
        <v>205</v>
      </c>
      <c r="C769" s="235" t="s">
        <v>205</v>
      </c>
      <c r="D769" s="442" t="s">
        <v>1861</v>
      </c>
      <c r="E769" s="576"/>
      <c r="F769" s="292">
        <f>F770</f>
        <v>272.2</v>
      </c>
      <c r="G769" s="475"/>
      <c r="H769" s="475">
        <f>H770</f>
        <v>292</v>
      </c>
      <c r="I769" s="475"/>
      <c r="J769" s="475">
        <f>J770</f>
        <v>292</v>
      </c>
      <c r="K769" s="475"/>
      <c r="L769" s="465"/>
      <c r="N769" s="465"/>
      <c r="O769" s="465"/>
    </row>
    <row r="770" spans="1:15" s="441" customFormat="1" ht="47.25" x14ac:dyDescent="0.25">
      <c r="A770" s="520" t="s">
        <v>1855</v>
      </c>
      <c r="B770" s="613" t="s">
        <v>205</v>
      </c>
      <c r="C770" s="235" t="s">
        <v>205</v>
      </c>
      <c r="D770" s="442" t="s">
        <v>1862</v>
      </c>
      <c r="E770" s="576"/>
      <c r="F770" s="292">
        <f>F771</f>
        <v>272.2</v>
      </c>
      <c r="G770" s="475"/>
      <c r="H770" s="475">
        <f>H771</f>
        <v>292</v>
      </c>
      <c r="I770" s="475"/>
      <c r="J770" s="475">
        <f>J771</f>
        <v>292</v>
      </c>
      <c r="K770" s="475"/>
      <c r="L770" s="465"/>
      <c r="N770" s="465"/>
      <c r="O770" s="465"/>
    </row>
    <row r="771" spans="1:15" s="441" customFormat="1" x14ac:dyDescent="0.25">
      <c r="A771" s="523" t="s">
        <v>1781</v>
      </c>
      <c r="B771" s="613" t="s">
        <v>205</v>
      </c>
      <c r="C771" s="235" t="s">
        <v>205</v>
      </c>
      <c r="D771" s="442" t="s">
        <v>1862</v>
      </c>
      <c r="E771" s="238">
        <v>200</v>
      </c>
      <c r="F771" s="292">
        <f>F772</f>
        <v>272.2</v>
      </c>
      <c r="G771" s="475"/>
      <c r="H771" s="475">
        <f>H772</f>
        <v>292</v>
      </c>
      <c r="I771" s="475"/>
      <c r="J771" s="475">
        <f>J772</f>
        <v>292</v>
      </c>
      <c r="K771" s="475"/>
      <c r="L771" s="465"/>
      <c r="N771" s="465"/>
      <c r="O771" s="465"/>
    </row>
    <row r="772" spans="1:15" s="441" customFormat="1" ht="31.5" x14ac:dyDescent="0.25">
      <c r="A772" s="523" t="s">
        <v>1273</v>
      </c>
      <c r="B772" s="613" t="s">
        <v>205</v>
      </c>
      <c r="C772" s="235" t="s">
        <v>205</v>
      </c>
      <c r="D772" s="442" t="s">
        <v>1862</v>
      </c>
      <c r="E772" s="238">
        <v>240</v>
      </c>
      <c r="F772" s="292">
        <f>'ведом. 2021-2023'!AD414</f>
        <v>272.2</v>
      </c>
      <c r="G772" s="475"/>
      <c r="H772" s="475">
        <f>'ведом. 2021-2023'!AE414</f>
        <v>292</v>
      </c>
      <c r="I772" s="475"/>
      <c r="J772" s="475">
        <f>'ведом. 2021-2023'!AF414</f>
        <v>292</v>
      </c>
      <c r="K772" s="475"/>
      <c r="L772" s="465"/>
      <c r="N772" s="465"/>
      <c r="O772" s="465"/>
    </row>
    <row r="773" spans="1:15" s="441" customFormat="1" ht="78.75" x14ac:dyDescent="0.25">
      <c r="A773" s="523" t="s">
        <v>1867</v>
      </c>
      <c r="B773" s="613" t="s">
        <v>205</v>
      </c>
      <c r="C773" s="235" t="s">
        <v>205</v>
      </c>
      <c r="D773" s="464" t="s">
        <v>1868</v>
      </c>
      <c r="E773" s="238"/>
      <c r="F773" s="292">
        <f>F774</f>
        <v>24.1</v>
      </c>
      <c r="G773" s="475"/>
      <c r="H773" s="475">
        <f>H774</f>
        <v>63.5</v>
      </c>
      <c r="I773" s="475"/>
      <c r="J773" s="475">
        <f>J774</f>
        <v>63.5</v>
      </c>
      <c r="K773" s="475"/>
      <c r="L773" s="465"/>
      <c r="N773" s="465"/>
      <c r="O773" s="465"/>
    </row>
    <row r="774" spans="1:15" s="441" customFormat="1" ht="63" x14ac:dyDescent="0.25">
      <c r="A774" s="528" t="s">
        <v>1869</v>
      </c>
      <c r="B774" s="613" t="s">
        <v>205</v>
      </c>
      <c r="C774" s="235" t="s">
        <v>205</v>
      </c>
      <c r="D774" s="442" t="s">
        <v>1870</v>
      </c>
      <c r="E774" s="238"/>
      <c r="F774" s="292">
        <f>F775</f>
        <v>24.1</v>
      </c>
      <c r="G774" s="475"/>
      <c r="H774" s="475">
        <f>H775</f>
        <v>63.5</v>
      </c>
      <c r="I774" s="475"/>
      <c r="J774" s="475">
        <f>J775</f>
        <v>63.5</v>
      </c>
      <c r="K774" s="475"/>
      <c r="L774" s="465"/>
      <c r="N774" s="465"/>
      <c r="O774" s="465"/>
    </row>
    <row r="775" spans="1:15" s="441" customFormat="1" x14ac:dyDescent="0.25">
      <c r="A775" s="523" t="s">
        <v>1781</v>
      </c>
      <c r="B775" s="246" t="s">
        <v>205</v>
      </c>
      <c r="C775" s="255" t="s">
        <v>205</v>
      </c>
      <c r="D775" s="442" t="s">
        <v>1870</v>
      </c>
      <c r="E775" s="238">
        <v>200</v>
      </c>
      <c r="F775" s="292">
        <f>F776</f>
        <v>24.1</v>
      </c>
      <c r="G775" s="475"/>
      <c r="H775" s="475">
        <f>H776</f>
        <v>63.5</v>
      </c>
      <c r="I775" s="475"/>
      <c r="J775" s="475">
        <f>J776</f>
        <v>63.5</v>
      </c>
      <c r="K775" s="475"/>
      <c r="L775" s="465"/>
      <c r="N775" s="465"/>
      <c r="O775" s="465"/>
    </row>
    <row r="776" spans="1:15" s="441" customFormat="1" ht="31.5" x14ac:dyDescent="0.25">
      <c r="A776" s="523" t="s">
        <v>1273</v>
      </c>
      <c r="B776" s="246" t="s">
        <v>205</v>
      </c>
      <c r="C776" s="255" t="s">
        <v>205</v>
      </c>
      <c r="D776" s="442" t="s">
        <v>1870</v>
      </c>
      <c r="E776" s="238">
        <v>240</v>
      </c>
      <c r="F776" s="292">
        <f>'ведом. 2021-2023'!AD418</f>
        <v>24.1</v>
      </c>
      <c r="G776" s="475"/>
      <c r="H776" s="475">
        <f>'ведом. 2021-2023'!AE418</f>
        <v>63.5</v>
      </c>
      <c r="I776" s="475"/>
      <c r="J776" s="475">
        <f>'ведом. 2021-2023'!AF418</f>
        <v>63.5</v>
      </c>
      <c r="K776" s="475"/>
      <c r="L776" s="465"/>
      <c r="N776" s="465"/>
      <c r="O776" s="465"/>
    </row>
    <row r="777" spans="1:15" s="441" customFormat="1" ht="31.5" x14ac:dyDescent="0.25">
      <c r="A777" s="520" t="s">
        <v>2102</v>
      </c>
      <c r="B777" s="613" t="s">
        <v>205</v>
      </c>
      <c r="C777" s="235" t="s">
        <v>205</v>
      </c>
      <c r="D777" s="442" t="s">
        <v>1805</v>
      </c>
      <c r="E777" s="238"/>
      <c r="F777" s="292">
        <f>F778</f>
        <v>1438.6</v>
      </c>
      <c r="G777" s="475"/>
      <c r="H777" s="475">
        <f>H778</f>
        <v>1265</v>
      </c>
      <c r="I777" s="475"/>
      <c r="J777" s="475">
        <f>J778</f>
        <v>1265</v>
      </c>
      <c r="K777" s="475"/>
      <c r="L777" s="465"/>
      <c r="N777" s="465"/>
      <c r="O777" s="465"/>
    </row>
    <row r="778" spans="1:15" s="441" customFormat="1" x14ac:dyDescent="0.25">
      <c r="A778" s="520" t="s">
        <v>2111</v>
      </c>
      <c r="B778" s="246" t="s">
        <v>205</v>
      </c>
      <c r="C778" s="255" t="s">
        <v>205</v>
      </c>
      <c r="D778" s="442" t="s">
        <v>2112</v>
      </c>
      <c r="E778" s="238"/>
      <c r="F778" s="292">
        <f>F779</f>
        <v>1438.6</v>
      </c>
      <c r="G778" s="475"/>
      <c r="H778" s="475">
        <f>H779</f>
        <v>1265</v>
      </c>
      <c r="I778" s="475"/>
      <c r="J778" s="475">
        <f>J779</f>
        <v>1265</v>
      </c>
      <c r="K778" s="475"/>
      <c r="L778" s="465"/>
      <c r="N778" s="465"/>
      <c r="O778" s="465"/>
    </row>
    <row r="779" spans="1:15" s="441" customFormat="1" ht="47.25" x14ac:dyDescent="0.25">
      <c r="A779" s="528" t="s">
        <v>2113</v>
      </c>
      <c r="B779" s="246" t="s">
        <v>205</v>
      </c>
      <c r="C779" s="255" t="s">
        <v>205</v>
      </c>
      <c r="D779" s="442" t="s">
        <v>2114</v>
      </c>
      <c r="E779" s="238"/>
      <c r="F779" s="292">
        <f>F780</f>
        <v>1438.6</v>
      </c>
      <c r="G779" s="475"/>
      <c r="H779" s="475">
        <f>H780</f>
        <v>1265</v>
      </c>
      <c r="I779" s="475"/>
      <c r="J779" s="475">
        <f>J780</f>
        <v>1265</v>
      </c>
      <c r="K779" s="475"/>
      <c r="L779" s="465"/>
      <c r="N779" s="465"/>
      <c r="O779" s="465"/>
    </row>
    <row r="780" spans="1:15" s="441" customFormat="1" ht="31.5" x14ac:dyDescent="0.25">
      <c r="A780" s="528" t="s">
        <v>2115</v>
      </c>
      <c r="B780" s="613" t="s">
        <v>205</v>
      </c>
      <c r="C780" s="235" t="s">
        <v>205</v>
      </c>
      <c r="D780" s="442" t="s">
        <v>2116</v>
      </c>
      <c r="E780" s="238"/>
      <c r="F780" s="292">
        <f>F781+F783</f>
        <v>1438.6</v>
      </c>
      <c r="G780" s="292"/>
      <c r="H780" s="292">
        <f>H781+H783</f>
        <v>1265</v>
      </c>
      <c r="I780" s="292"/>
      <c r="J780" s="292">
        <f>J781+J783</f>
        <v>1265</v>
      </c>
      <c r="K780" s="475"/>
      <c r="L780" s="465"/>
      <c r="N780" s="465"/>
      <c r="O780" s="465"/>
    </row>
    <row r="781" spans="1:15" s="441" customFormat="1" x14ac:dyDescent="0.25">
      <c r="A781" s="523" t="s">
        <v>1781</v>
      </c>
      <c r="B781" s="246" t="s">
        <v>205</v>
      </c>
      <c r="C781" s="255" t="s">
        <v>205</v>
      </c>
      <c r="D781" s="442" t="s">
        <v>2116</v>
      </c>
      <c r="E781" s="238">
        <v>200</v>
      </c>
      <c r="F781" s="292">
        <f>F782</f>
        <v>425.6</v>
      </c>
      <c r="G781" s="482"/>
      <c r="H781" s="475">
        <f>H782</f>
        <v>775</v>
      </c>
      <c r="I781" s="482"/>
      <c r="J781" s="475">
        <f>J782</f>
        <v>775</v>
      </c>
      <c r="K781" s="482"/>
      <c r="L781" s="465"/>
      <c r="N781" s="465"/>
      <c r="O781" s="465"/>
    </row>
    <row r="782" spans="1:15" s="441" customFormat="1" ht="31.5" x14ac:dyDescent="0.25">
      <c r="A782" s="523" t="s">
        <v>1273</v>
      </c>
      <c r="B782" s="246" t="s">
        <v>205</v>
      </c>
      <c r="C782" s="255" t="s">
        <v>205</v>
      </c>
      <c r="D782" s="442" t="s">
        <v>2116</v>
      </c>
      <c r="E782" s="238">
        <v>240</v>
      </c>
      <c r="F782" s="292">
        <f>'ведом. 2021-2023'!AD424</f>
        <v>425.6</v>
      </c>
      <c r="G782" s="475"/>
      <c r="H782" s="475">
        <f>'ведом. 2021-2023'!AE424</f>
        <v>775</v>
      </c>
      <c r="I782" s="475"/>
      <c r="J782" s="475">
        <f>'ведом. 2021-2023'!AF424</f>
        <v>775</v>
      </c>
      <c r="K782" s="475"/>
      <c r="L782" s="465"/>
      <c r="N782" s="465"/>
      <c r="O782" s="465"/>
    </row>
    <row r="783" spans="1:15" s="503" customFormat="1" ht="31.5" x14ac:dyDescent="0.25">
      <c r="A783" s="519" t="s">
        <v>1342</v>
      </c>
      <c r="B783" s="246" t="s">
        <v>205</v>
      </c>
      <c r="C783" s="255" t="s">
        <v>205</v>
      </c>
      <c r="D783" s="442" t="s">
        <v>2116</v>
      </c>
      <c r="E783" s="238">
        <v>600</v>
      </c>
      <c r="F783" s="292">
        <f>F784</f>
        <v>1013</v>
      </c>
      <c r="G783" s="292"/>
      <c r="H783" s="292">
        <f>H784</f>
        <v>490</v>
      </c>
      <c r="I783" s="292"/>
      <c r="J783" s="292">
        <f>J784</f>
        <v>490</v>
      </c>
      <c r="K783" s="475"/>
      <c r="L783" s="465"/>
      <c r="N783" s="465"/>
      <c r="O783" s="465"/>
    </row>
    <row r="784" spans="1:15" s="503" customFormat="1" x14ac:dyDescent="0.25">
      <c r="A784" s="519" t="s">
        <v>1343</v>
      </c>
      <c r="B784" s="246" t="s">
        <v>205</v>
      </c>
      <c r="C784" s="255" t="s">
        <v>205</v>
      </c>
      <c r="D784" s="442" t="s">
        <v>2116</v>
      </c>
      <c r="E784" s="238">
        <v>610</v>
      </c>
      <c r="F784" s="292">
        <f>'ведом. 2021-2023'!AD819+'ведом. 2021-2023'!AD426</f>
        <v>1013</v>
      </c>
      <c r="G784" s="475"/>
      <c r="H784" s="475">
        <f>'ведом. 2021-2023'!AE819</f>
        <v>490</v>
      </c>
      <c r="I784" s="475"/>
      <c r="J784" s="475">
        <f>'ведом. 2021-2023'!AF819</f>
        <v>490</v>
      </c>
      <c r="K784" s="475"/>
      <c r="L784" s="465"/>
      <c r="N784" s="465"/>
      <c r="O784" s="465"/>
    </row>
    <row r="785" spans="1:15" s="441" customFormat="1" x14ac:dyDescent="0.25">
      <c r="A785" s="523" t="s">
        <v>840</v>
      </c>
      <c r="B785" s="613" t="s">
        <v>205</v>
      </c>
      <c r="C785" s="235" t="s">
        <v>406</v>
      </c>
      <c r="D785" s="249"/>
      <c r="E785" s="238"/>
      <c r="F785" s="292">
        <f t="shared" ref="F785:K785" si="174">F786+F809+F826+F832</f>
        <v>25185</v>
      </c>
      <c r="G785" s="475">
        <f t="shared" si="174"/>
        <v>6477.2999999999993</v>
      </c>
      <c r="H785" s="475">
        <f t="shared" si="174"/>
        <v>41484.200000000004</v>
      </c>
      <c r="I785" s="475">
        <f t="shared" si="174"/>
        <v>22278.199999999997</v>
      </c>
      <c r="J785" s="475">
        <f t="shared" si="174"/>
        <v>21692.9</v>
      </c>
      <c r="K785" s="475">
        <f t="shared" si="174"/>
        <v>3573</v>
      </c>
      <c r="L785" s="465"/>
      <c r="N785" s="465"/>
      <c r="O785" s="465"/>
    </row>
    <row r="786" spans="1:15" s="441" customFormat="1" x14ac:dyDescent="0.25">
      <c r="A786" s="605" t="s">
        <v>2021</v>
      </c>
      <c r="B786" s="613" t="s">
        <v>205</v>
      </c>
      <c r="C786" s="235" t="s">
        <v>406</v>
      </c>
      <c r="D786" s="249" t="s">
        <v>1759</v>
      </c>
      <c r="E786" s="576"/>
      <c r="F786" s="292">
        <f t="shared" ref="F786:K786" si="175">F787+F792</f>
        <v>17301.5</v>
      </c>
      <c r="G786" s="475">
        <f t="shared" si="175"/>
        <v>857</v>
      </c>
      <c r="H786" s="475">
        <f t="shared" si="175"/>
        <v>16889.400000000001</v>
      </c>
      <c r="I786" s="475">
        <f t="shared" si="175"/>
        <v>857</v>
      </c>
      <c r="J786" s="475">
        <f t="shared" si="175"/>
        <v>16889.400000000001</v>
      </c>
      <c r="K786" s="475">
        <f t="shared" si="175"/>
        <v>857</v>
      </c>
      <c r="L786" s="465"/>
      <c r="N786" s="465"/>
      <c r="O786" s="465"/>
    </row>
    <row r="787" spans="1:15" s="441" customFormat="1" x14ac:dyDescent="0.25">
      <c r="A787" s="520" t="s">
        <v>2022</v>
      </c>
      <c r="B787" s="613" t="s">
        <v>205</v>
      </c>
      <c r="C787" s="235" t="s">
        <v>406</v>
      </c>
      <c r="D787" s="249" t="s">
        <v>1777</v>
      </c>
      <c r="E787" s="576"/>
      <c r="F787" s="292">
        <f t="shared" ref="F787:K790" si="176">F788</f>
        <v>857</v>
      </c>
      <c r="G787" s="475">
        <f t="shared" si="176"/>
        <v>857</v>
      </c>
      <c r="H787" s="475">
        <f t="shared" si="176"/>
        <v>857</v>
      </c>
      <c r="I787" s="475">
        <f t="shared" si="176"/>
        <v>857</v>
      </c>
      <c r="J787" s="475">
        <f t="shared" si="176"/>
        <v>857</v>
      </c>
      <c r="K787" s="475">
        <f t="shared" si="176"/>
        <v>857</v>
      </c>
      <c r="L787" s="465"/>
      <c r="N787" s="465"/>
      <c r="O787" s="465"/>
    </row>
    <row r="788" spans="1:15" s="441" customFormat="1" ht="31.5" x14ac:dyDescent="0.25">
      <c r="A788" s="520" t="s">
        <v>2023</v>
      </c>
      <c r="B788" s="613" t="s">
        <v>205</v>
      </c>
      <c r="C788" s="235" t="s">
        <v>406</v>
      </c>
      <c r="D788" s="442" t="s">
        <v>1791</v>
      </c>
      <c r="E788" s="576"/>
      <c r="F788" s="292">
        <f t="shared" si="176"/>
        <v>857</v>
      </c>
      <c r="G788" s="475">
        <f t="shared" si="176"/>
        <v>857</v>
      </c>
      <c r="H788" s="475">
        <f t="shared" si="176"/>
        <v>857</v>
      </c>
      <c r="I788" s="475">
        <f t="shared" si="176"/>
        <v>857</v>
      </c>
      <c r="J788" s="475">
        <f t="shared" si="176"/>
        <v>857</v>
      </c>
      <c r="K788" s="475">
        <f t="shared" si="176"/>
        <v>857</v>
      </c>
      <c r="L788" s="465"/>
      <c r="N788" s="465"/>
      <c r="O788" s="465"/>
    </row>
    <row r="789" spans="1:15" s="441" customFormat="1" ht="47.25" x14ac:dyDescent="0.25">
      <c r="A789" s="523" t="s">
        <v>1784</v>
      </c>
      <c r="B789" s="613" t="s">
        <v>205</v>
      </c>
      <c r="C789" s="235" t="s">
        <v>406</v>
      </c>
      <c r="D789" s="442" t="s">
        <v>2165</v>
      </c>
      <c r="E789" s="238"/>
      <c r="F789" s="292">
        <f t="shared" ref="F789:K789" si="177">F790</f>
        <v>857</v>
      </c>
      <c r="G789" s="475">
        <f t="shared" si="177"/>
        <v>857</v>
      </c>
      <c r="H789" s="475">
        <f t="shared" si="177"/>
        <v>857</v>
      </c>
      <c r="I789" s="475">
        <f t="shared" si="177"/>
        <v>857</v>
      </c>
      <c r="J789" s="475">
        <f t="shared" si="177"/>
        <v>857</v>
      </c>
      <c r="K789" s="475">
        <f t="shared" si="177"/>
        <v>857</v>
      </c>
      <c r="L789" s="465"/>
      <c r="N789" s="465"/>
      <c r="O789" s="465"/>
    </row>
    <row r="790" spans="1:15" s="441" customFormat="1" ht="31.5" x14ac:dyDescent="0.25">
      <c r="A790" s="523" t="s">
        <v>1342</v>
      </c>
      <c r="B790" s="613" t="s">
        <v>205</v>
      </c>
      <c r="C790" s="235" t="s">
        <v>406</v>
      </c>
      <c r="D790" s="442" t="s">
        <v>2165</v>
      </c>
      <c r="E790" s="238">
        <v>600</v>
      </c>
      <c r="F790" s="292">
        <f t="shared" si="176"/>
        <v>857</v>
      </c>
      <c r="G790" s="475">
        <f t="shared" si="176"/>
        <v>857</v>
      </c>
      <c r="H790" s="475">
        <f t="shared" si="176"/>
        <v>857</v>
      </c>
      <c r="I790" s="475">
        <f t="shared" si="176"/>
        <v>857</v>
      </c>
      <c r="J790" s="475">
        <f t="shared" si="176"/>
        <v>857</v>
      </c>
      <c r="K790" s="475">
        <f t="shared" si="176"/>
        <v>857</v>
      </c>
      <c r="L790" s="465"/>
      <c r="N790" s="465"/>
      <c r="O790" s="465"/>
    </row>
    <row r="791" spans="1:15" s="441" customFormat="1" x14ac:dyDescent="0.25">
      <c r="A791" s="523" t="s">
        <v>1343</v>
      </c>
      <c r="B791" s="613" t="s">
        <v>205</v>
      </c>
      <c r="C791" s="235" t="s">
        <v>406</v>
      </c>
      <c r="D791" s="442" t="s">
        <v>2165</v>
      </c>
      <c r="E791" s="238">
        <v>610</v>
      </c>
      <c r="F791" s="292">
        <f>'ведом. 2021-2023'!AD826</f>
        <v>857</v>
      </c>
      <c r="G791" s="475">
        <f>F791</f>
        <v>857</v>
      </c>
      <c r="H791" s="475">
        <f>'ведом. 2021-2023'!AE826</f>
        <v>857</v>
      </c>
      <c r="I791" s="475">
        <f>H791</f>
        <v>857</v>
      </c>
      <c r="J791" s="475">
        <f>'ведом. 2021-2023'!AF826</f>
        <v>857</v>
      </c>
      <c r="K791" s="475">
        <f>J791</f>
        <v>857</v>
      </c>
      <c r="L791" s="465"/>
      <c r="N791" s="465"/>
      <c r="O791" s="465"/>
    </row>
    <row r="792" spans="1:15" s="441" customFormat="1" x14ac:dyDescent="0.25">
      <c r="A792" s="520" t="s">
        <v>2290</v>
      </c>
      <c r="B792" s="613" t="s">
        <v>205</v>
      </c>
      <c r="C792" s="235" t="s">
        <v>406</v>
      </c>
      <c r="D792" s="442" t="s">
        <v>2126</v>
      </c>
      <c r="E792" s="238"/>
      <c r="F792" s="292">
        <f>F793</f>
        <v>16444.5</v>
      </c>
      <c r="G792" s="475"/>
      <c r="H792" s="475">
        <f>H793</f>
        <v>16032.4</v>
      </c>
      <c r="I792" s="475"/>
      <c r="J792" s="475">
        <f>J793</f>
        <v>16032.4</v>
      </c>
      <c r="K792" s="475"/>
      <c r="L792" s="465"/>
      <c r="N792" s="465"/>
      <c r="O792" s="465"/>
    </row>
    <row r="793" spans="1:15" s="441" customFormat="1" ht="31.5" x14ac:dyDescent="0.25">
      <c r="A793" s="520" t="s">
        <v>2042</v>
      </c>
      <c r="B793" s="613" t="s">
        <v>205</v>
      </c>
      <c r="C793" s="235" t="s">
        <v>406</v>
      </c>
      <c r="D793" s="442" t="s">
        <v>2125</v>
      </c>
      <c r="E793" s="238"/>
      <c r="F793" s="292">
        <f>F794+F806</f>
        <v>16444.5</v>
      </c>
      <c r="G793" s="475"/>
      <c r="H793" s="475">
        <f>H794+H806</f>
        <v>16032.4</v>
      </c>
      <c r="I793" s="475"/>
      <c r="J793" s="475">
        <f>J794+J806</f>
        <v>16032.4</v>
      </c>
      <c r="K793" s="475"/>
      <c r="L793" s="465"/>
      <c r="N793" s="465"/>
      <c r="O793" s="465"/>
    </row>
    <row r="794" spans="1:15" s="441" customFormat="1" x14ac:dyDescent="0.25">
      <c r="A794" s="521" t="s">
        <v>1923</v>
      </c>
      <c r="B794" s="613" t="s">
        <v>205</v>
      </c>
      <c r="C794" s="235" t="s">
        <v>406</v>
      </c>
      <c r="D794" s="442" t="s">
        <v>2189</v>
      </c>
      <c r="E794" s="238"/>
      <c r="F794" s="292">
        <f>F795+F800+F803</f>
        <v>16444.5</v>
      </c>
      <c r="G794" s="475"/>
      <c r="H794" s="475">
        <f>H795+H800+H803</f>
        <v>15844.5</v>
      </c>
      <c r="I794" s="475"/>
      <c r="J794" s="475">
        <f>J795+J800+J803</f>
        <v>15844.5</v>
      </c>
      <c r="K794" s="475"/>
      <c r="L794" s="465"/>
      <c r="N794" s="465"/>
      <c r="O794" s="465"/>
    </row>
    <row r="795" spans="1:15" s="441" customFormat="1" ht="31.5" x14ac:dyDescent="0.25">
      <c r="A795" s="523" t="s">
        <v>1924</v>
      </c>
      <c r="B795" s="613" t="s">
        <v>205</v>
      </c>
      <c r="C795" s="235" t="s">
        <v>406</v>
      </c>
      <c r="D795" s="442" t="s">
        <v>2190</v>
      </c>
      <c r="E795" s="238"/>
      <c r="F795" s="292">
        <f>F796+F798</f>
        <v>1870.1</v>
      </c>
      <c r="G795" s="475"/>
      <c r="H795" s="475">
        <f>H796+H798</f>
        <v>1230.0999999999999</v>
      </c>
      <c r="I795" s="475"/>
      <c r="J795" s="475">
        <f>J796+J798</f>
        <v>1230.0999999999999</v>
      </c>
      <c r="K795" s="475"/>
      <c r="L795" s="465"/>
      <c r="N795" s="465"/>
      <c r="O795" s="465"/>
    </row>
    <row r="796" spans="1:15" s="441" customFormat="1" x14ac:dyDescent="0.25">
      <c r="A796" s="523" t="s">
        <v>1781</v>
      </c>
      <c r="B796" s="613" t="s">
        <v>205</v>
      </c>
      <c r="C796" s="235" t="s">
        <v>406</v>
      </c>
      <c r="D796" s="442" t="s">
        <v>2190</v>
      </c>
      <c r="E796" s="238">
        <v>200</v>
      </c>
      <c r="F796" s="292">
        <f>F797</f>
        <v>1858.1</v>
      </c>
      <c r="G796" s="475"/>
      <c r="H796" s="475">
        <f>H797</f>
        <v>1230.0999999999999</v>
      </c>
      <c r="I796" s="475"/>
      <c r="J796" s="475">
        <f>J797</f>
        <v>1230.0999999999999</v>
      </c>
      <c r="K796" s="475"/>
      <c r="L796" s="465"/>
      <c r="N796" s="465"/>
      <c r="O796" s="465"/>
    </row>
    <row r="797" spans="1:15" s="441" customFormat="1" ht="31.5" x14ac:dyDescent="0.25">
      <c r="A797" s="523" t="s">
        <v>1273</v>
      </c>
      <c r="B797" s="613" t="s">
        <v>205</v>
      </c>
      <c r="C797" s="235" t="s">
        <v>406</v>
      </c>
      <c r="D797" s="442" t="s">
        <v>2190</v>
      </c>
      <c r="E797" s="238">
        <v>240</v>
      </c>
      <c r="F797" s="292">
        <f>'ведом. 2021-2023'!AD832</f>
        <v>1858.1</v>
      </c>
      <c r="G797" s="475"/>
      <c r="H797" s="475">
        <f>'ведом. 2021-2023'!AE832</f>
        <v>1230.0999999999999</v>
      </c>
      <c r="I797" s="475"/>
      <c r="J797" s="475">
        <f>'ведом. 2021-2023'!AF832</f>
        <v>1230.0999999999999</v>
      </c>
      <c r="K797" s="475"/>
      <c r="L797" s="465"/>
      <c r="N797" s="465"/>
      <c r="O797" s="465"/>
    </row>
    <row r="798" spans="1:15" s="513" customFormat="1" x14ac:dyDescent="0.25">
      <c r="A798" s="519" t="s">
        <v>923</v>
      </c>
      <c r="B798" s="613" t="s">
        <v>205</v>
      </c>
      <c r="C798" s="235" t="s">
        <v>406</v>
      </c>
      <c r="D798" s="442" t="s">
        <v>2190</v>
      </c>
      <c r="E798" s="238">
        <v>800</v>
      </c>
      <c r="F798" s="292">
        <f>F799</f>
        <v>12</v>
      </c>
      <c r="G798" s="475"/>
      <c r="H798" s="475">
        <f>H799</f>
        <v>0</v>
      </c>
      <c r="I798" s="475"/>
      <c r="J798" s="475">
        <f>J799</f>
        <v>0</v>
      </c>
      <c r="K798" s="475"/>
      <c r="L798" s="465"/>
      <c r="N798" s="465"/>
      <c r="O798" s="465"/>
    </row>
    <row r="799" spans="1:15" s="513" customFormat="1" x14ac:dyDescent="0.25">
      <c r="A799" s="519" t="s">
        <v>1319</v>
      </c>
      <c r="B799" s="613" t="s">
        <v>205</v>
      </c>
      <c r="C799" s="235" t="s">
        <v>406</v>
      </c>
      <c r="D799" s="442" t="s">
        <v>2190</v>
      </c>
      <c r="E799" s="238">
        <v>850</v>
      </c>
      <c r="F799" s="292">
        <f>'ведом. 2021-2023'!AD834</f>
        <v>12</v>
      </c>
      <c r="G799" s="475"/>
      <c r="H799" s="475">
        <f>'ведом. 2021-2023'!AE834</f>
        <v>0</v>
      </c>
      <c r="I799" s="475"/>
      <c r="J799" s="475">
        <f>'ведом. 2021-2023'!AF834</f>
        <v>0</v>
      </c>
      <c r="K799" s="475"/>
      <c r="L799" s="465"/>
      <c r="N799" s="465"/>
      <c r="O799" s="465"/>
    </row>
    <row r="800" spans="1:15" s="441" customFormat="1" ht="31.5" x14ac:dyDescent="0.25">
      <c r="A800" s="514" t="s">
        <v>2245</v>
      </c>
      <c r="B800" s="613" t="s">
        <v>205</v>
      </c>
      <c r="C800" s="235" t="s">
        <v>406</v>
      </c>
      <c r="D800" s="442" t="s">
        <v>2191</v>
      </c>
      <c r="E800" s="238"/>
      <c r="F800" s="292">
        <f>F801</f>
        <v>5937.5</v>
      </c>
      <c r="G800" s="475"/>
      <c r="H800" s="475">
        <f>H801</f>
        <v>5977.5</v>
      </c>
      <c r="I800" s="475"/>
      <c r="J800" s="475">
        <f>J801</f>
        <v>5977.5</v>
      </c>
      <c r="K800" s="475"/>
      <c r="L800" s="465"/>
      <c r="N800" s="465"/>
      <c r="O800" s="465"/>
    </row>
    <row r="801" spans="1:15" s="441" customFormat="1" ht="47.25" x14ac:dyDescent="0.25">
      <c r="A801" s="523" t="s">
        <v>921</v>
      </c>
      <c r="B801" s="613" t="s">
        <v>205</v>
      </c>
      <c r="C801" s="235" t="s">
        <v>406</v>
      </c>
      <c r="D801" s="442" t="s">
        <v>2191</v>
      </c>
      <c r="E801" s="238">
        <v>100</v>
      </c>
      <c r="F801" s="292">
        <f>F802</f>
        <v>5937.5</v>
      </c>
      <c r="G801" s="475"/>
      <c r="H801" s="475">
        <f>H802</f>
        <v>5977.5</v>
      </c>
      <c r="I801" s="475"/>
      <c r="J801" s="475">
        <f>J802</f>
        <v>5977.5</v>
      </c>
      <c r="K801" s="475"/>
      <c r="L801" s="465"/>
      <c r="N801" s="465"/>
      <c r="O801" s="465"/>
    </row>
    <row r="802" spans="1:15" s="441" customFormat="1" x14ac:dyDescent="0.25">
      <c r="A802" s="523" t="s">
        <v>1747</v>
      </c>
      <c r="B802" s="613" t="s">
        <v>205</v>
      </c>
      <c r="C802" s="235" t="s">
        <v>406</v>
      </c>
      <c r="D802" s="442" t="s">
        <v>2191</v>
      </c>
      <c r="E802" s="238">
        <v>120</v>
      </c>
      <c r="F802" s="292">
        <f>'ведом. 2021-2023'!AD837</f>
        <v>5937.5</v>
      </c>
      <c r="G802" s="475"/>
      <c r="H802" s="475">
        <f>'ведом. 2021-2023'!AE837</f>
        <v>5977.5</v>
      </c>
      <c r="I802" s="475"/>
      <c r="J802" s="475">
        <f>'ведом. 2021-2023'!AF837</f>
        <v>5977.5</v>
      </c>
      <c r="K802" s="475"/>
      <c r="L802" s="465"/>
      <c r="N802" s="465"/>
      <c r="O802" s="465"/>
    </row>
    <row r="803" spans="1:15" s="441" customFormat="1" ht="31.5" x14ac:dyDescent="0.25">
      <c r="A803" s="523" t="s">
        <v>2043</v>
      </c>
      <c r="B803" s="613" t="s">
        <v>205</v>
      </c>
      <c r="C803" s="235" t="s">
        <v>406</v>
      </c>
      <c r="D803" s="442" t="s">
        <v>2192</v>
      </c>
      <c r="E803" s="238"/>
      <c r="F803" s="741">
        <f>F804</f>
        <v>8636.9</v>
      </c>
      <c r="G803" s="475"/>
      <c r="H803" s="496">
        <f>H804</f>
        <v>8636.9</v>
      </c>
      <c r="I803" s="475"/>
      <c r="J803" s="496">
        <f>J804</f>
        <v>8636.9</v>
      </c>
      <c r="K803" s="475"/>
      <c r="L803" s="465"/>
      <c r="N803" s="465"/>
      <c r="O803" s="465"/>
    </row>
    <row r="804" spans="1:15" s="441" customFormat="1" ht="47.25" x14ac:dyDescent="0.25">
      <c r="A804" s="523" t="s">
        <v>921</v>
      </c>
      <c r="B804" s="613" t="s">
        <v>205</v>
      </c>
      <c r="C804" s="235" t="s">
        <v>406</v>
      </c>
      <c r="D804" s="442" t="s">
        <v>2192</v>
      </c>
      <c r="E804" s="238">
        <v>100</v>
      </c>
      <c r="F804" s="292">
        <f>F805</f>
        <v>8636.9</v>
      </c>
      <c r="G804" s="475"/>
      <c r="H804" s="475">
        <f>H805</f>
        <v>8636.9</v>
      </c>
      <c r="I804" s="475"/>
      <c r="J804" s="475">
        <f>J805</f>
        <v>8636.9</v>
      </c>
      <c r="K804" s="475"/>
      <c r="L804" s="465"/>
      <c r="N804" s="465"/>
      <c r="O804" s="465"/>
    </row>
    <row r="805" spans="1:15" s="441" customFormat="1" x14ac:dyDescent="0.25">
      <c r="A805" s="523" t="s">
        <v>1747</v>
      </c>
      <c r="B805" s="613" t="s">
        <v>205</v>
      </c>
      <c r="C805" s="235" t="s">
        <v>406</v>
      </c>
      <c r="D805" s="442" t="s">
        <v>2192</v>
      </c>
      <c r="E805" s="238">
        <v>120</v>
      </c>
      <c r="F805" s="292">
        <f>'ведом. 2021-2023'!AD840</f>
        <v>8636.9</v>
      </c>
      <c r="G805" s="475"/>
      <c r="H805" s="475">
        <f>'ведом. 2021-2023'!AE840</f>
        <v>8636.9</v>
      </c>
      <c r="I805" s="475"/>
      <c r="J805" s="475">
        <f>'ведом. 2021-2023'!AF840</f>
        <v>8636.9</v>
      </c>
      <c r="K805" s="475"/>
      <c r="L805" s="465"/>
      <c r="N805" s="465"/>
      <c r="O805" s="465"/>
    </row>
    <row r="806" spans="1:15" s="441" customFormat="1" x14ac:dyDescent="0.25">
      <c r="A806" s="523" t="s">
        <v>2044</v>
      </c>
      <c r="B806" s="613" t="s">
        <v>205</v>
      </c>
      <c r="C806" s="235" t="s">
        <v>406</v>
      </c>
      <c r="D806" s="442" t="s">
        <v>2193</v>
      </c>
      <c r="E806" s="238"/>
      <c r="F806" s="292">
        <f>F807</f>
        <v>0</v>
      </c>
      <c r="G806" s="475"/>
      <c r="H806" s="475">
        <f>H807</f>
        <v>187.9</v>
      </c>
      <c r="I806" s="475"/>
      <c r="J806" s="475">
        <f>J807</f>
        <v>187.9</v>
      </c>
      <c r="K806" s="475"/>
      <c r="L806" s="465"/>
      <c r="N806" s="465"/>
      <c r="O806" s="465"/>
    </row>
    <row r="807" spans="1:15" s="441" customFormat="1" x14ac:dyDescent="0.25">
      <c r="A807" s="523" t="s">
        <v>1781</v>
      </c>
      <c r="B807" s="613" t="s">
        <v>205</v>
      </c>
      <c r="C807" s="235" t="s">
        <v>406</v>
      </c>
      <c r="D807" s="442" t="s">
        <v>2193</v>
      </c>
      <c r="E807" s="238">
        <v>200</v>
      </c>
      <c r="F807" s="292">
        <f>F808</f>
        <v>0</v>
      </c>
      <c r="G807" s="475"/>
      <c r="H807" s="475">
        <f>H808</f>
        <v>187.9</v>
      </c>
      <c r="I807" s="475"/>
      <c r="J807" s="475">
        <f>J808</f>
        <v>187.9</v>
      </c>
      <c r="K807" s="475"/>
      <c r="L807" s="465"/>
      <c r="N807" s="465"/>
      <c r="O807" s="465"/>
    </row>
    <row r="808" spans="1:15" s="441" customFormat="1" ht="31.5" x14ac:dyDescent="0.25">
      <c r="A808" s="523" t="s">
        <v>1273</v>
      </c>
      <c r="B808" s="613" t="s">
        <v>205</v>
      </c>
      <c r="C808" s="235" t="s">
        <v>406</v>
      </c>
      <c r="D808" s="442" t="s">
        <v>2193</v>
      </c>
      <c r="E808" s="238">
        <v>240</v>
      </c>
      <c r="F808" s="292">
        <f>'ведом. 2021-2023'!AD843</f>
        <v>0</v>
      </c>
      <c r="G808" s="475"/>
      <c r="H808" s="475">
        <f>'ведом. 2021-2023'!AE843</f>
        <v>187.9</v>
      </c>
      <c r="I808" s="475"/>
      <c r="J808" s="475">
        <f>'ведом. 2021-2023'!AF843</f>
        <v>187.9</v>
      </c>
      <c r="K808" s="475"/>
      <c r="L808" s="465"/>
      <c r="N808" s="465"/>
      <c r="O808" s="465"/>
    </row>
    <row r="809" spans="1:15" s="441" customFormat="1" x14ac:dyDescent="0.25">
      <c r="A809" s="520" t="s">
        <v>2074</v>
      </c>
      <c r="B809" s="613" t="s">
        <v>205</v>
      </c>
      <c r="C809" s="235" t="s">
        <v>406</v>
      </c>
      <c r="D809" s="442" t="s">
        <v>1768</v>
      </c>
      <c r="E809" s="238"/>
      <c r="F809" s="292">
        <f t="shared" ref="F809:K810" si="178">F810</f>
        <v>4896.2999999999993</v>
      </c>
      <c r="G809" s="475">
        <f t="shared" si="178"/>
        <v>2716</v>
      </c>
      <c r="H809" s="475">
        <f t="shared" si="178"/>
        <v>4821.8999999999996</v>
      </c>
      <c r="I809" s="475">
        <f t="shared" si="178"/>
        <v>2716</v>
      </c>
      <c r="J809" s="475">
        <f t="shared" si="178"/>
        <v>4799</v>
      </c>
      <c r="K809" s="475">
        <f t="shared" si="178"/>
        <v>2716</v>
      </c>
      <c r="L809" s="465"/>
      <c r="N809" s="465"/>
      <c r="O809" s="465"/>
    </row>
    <row r="810" spans="1:15" s="441" customFormat="1" x14ac:dyDescent="0.25">
      <c r="A810" s="520" t="s">
        <v>2089</v>
      </c>
      <c r="B810" s="613" t="s">
        <v>205</v>
      </c>
      <c r="C810" s="235" t="s">
        <v>406</v>
      </c>
      <c r="D810" s="442" t="s">
        <v>2090</v>
      </c>
      <c r="E810" s="238"/>
      <c r="F810" s="292">
        <f t="shared" si="178"/>
        <v>4896.2999999999993</v>
      </c>
      <c r="G810" s="475">
        <f t="shared" si="178"/>
        <v>2716</v>
      </c>
      <c r="H810" s="475">
        <f t="shared" si="178"/>
        <v>4821.8999999999996</v>
      </c>
      <c r="I810" s="475">
        <f t="shared" si="178"/>
        <v>2716</v>
      </c>
      <c r="J810" s="475">
        <f t="shared" si="178"/>
        <v>4799</v>
      </c>
      <c r="K810" s="475">
        <f t="shared" si="178"/>
        <v>2716</v>
      </c>
      <c r="L810" s="465"/>
      <c r="N810" s="465"/>
      <c r="O810" s="465"/>
    </row>
    <row r="811" spans="1:15" s="441" customFormat="1" ht="31.5" x14ac:dyDescent="0.25">
      <c r="A811" s="528" t="s">
        <v>2091</v>
      </c>
      <c r="B811" s="613" t="s">
        <v>205</v>
      </c>
      <c r="C811" s="235" t="s">
        <v>406</v>
      </c>
      <c r="D811" s="442" t="s">
        <v>2092</v>
      </c>
      <c r="E811" s="238"/>
      <c r="F811" s="292">
        <f>F815+F812</f>
        <v>4896.2999999999993</v>
      </c>
      <c r="G811" s="292">
        <f t="shared" ref="G811:K811" si="179">G815+G812</f>
        <v>2716</v>
      </c>
      <c r="H811" s="292">
        <f t="shared" si="179"/>
        <v>4821.8999999999996</v>
      </c>
      <c r="I811" s="292">
        <f t="shared" si="179"/>
        <v>2716</v>
      </c>
      <c r="J811" s="292">
        <f t="shared" si="179"/>
        <v>4799</v>
      </c>
      <c r="K811" s="292">
        <f t="shared" si="179"/>
        <v>2716</v>
      </c>
      <c r="L811" s="465"/>
      <c r="N811" s="465"/>
      <c r="O811" s="465"/>
    </row>
    <row r="812" spans="1:15" s="513" customFormat="1" ht="47.25" x14ac:dyDescent="0.25">
      <c r="A812" s="531" t="s">
        <v>2485</v>
      </c>
      <c r="B812" s="235" t="s">
        <v>205</v>
      </c>
      <c r="C812" s="235" t="s">
        <v>406</v>
      </c>
      <c r="D812" s="442" t="s">
        <v>2484</v>
      </c>
      <c r="E812" s="238"/>
      <c r="F812" s="292">
        <f>F813</f>
        <v>74.400000000000006</v>
      </c>
      <c r="G812" s="292"/>
      <c r="H812" s="292">
        <f t="shared" ref="H812:J812" si="180">H813</f>
        <v>0</v>
      </c>
      <c r="I812" s="292"/>
      <c r="J812" s="292">
        <f t="shared" si="180"/>
        <v>0</v>
      </c>
      <c r="K812" s="475"/>
      <c r="L812" s="465"/>
      <c r="N812" s="465"/>
      <c r="O812" s="465"/>
    </row>
    <row r="813" spans="1:15" s="513" customFormat="1" x14ac:dyDescent="0.25">
      <c r="A813" s="519" t="s">
        <v>1754</v>
      </c>
      <c r="B813" s="235" t="s">
        <v>205</v>
      </c>
      <c r="C813" s="235" t="s">
        <v>406</v>
      </c>
      <c r="D813" s="442" t="s">
        <v>2484</v>
      </c>
      <c r="E813" s="238">
        <v>300</v>
      </c>
      <c r="F813" s="292">
        <f>F814</f>
        <v>74.400000000000006</v>
      </c>
      <c r="G813" s="292"/>
      <c r="H813" s="292">
        <f t="shared" ref="H813:J813" si="181">H814</f>
        <v>0</v>
      </c>
      <c r="I813" s="292"/>
      <c r="J813" s="292">
        <f t="shared" si="181"/>
        <v>0</v>
      </c>
      <c r="K813" s="475"/>
      <c r="L813" s="465"/>
      <c r="N813" s="465"/>
      <c r="O813" s="465"/>
    </row>
    <row r="814" spans="1:15" s="513" customFormat="1" x14ac:dyDescent="0.25">
      <c r="A814" s="519" t="s">
        <v>868</v>
      </c>
      <c r="B814" s="235" t="s">
        <v>205</v>
      </c>
      <c r="C814" s="235" t="s">
        <v>406</v>
      </c>
      <c r="D814" s="442" t="s">
        <v>2484</v>
      </c>
      <c r="E814" s="238">
        <v>320</v>
      </c>
      <c r="F814" s="292">
        <f>'ведом. 2021-2023'!AD433</f>
        <v>74.400000000000006</v>
      </c>
      <c r="G814" s="475"/>
      <c r="H814" s="475">
        <f>'ведом. 2021-2023'!AE433</f>
        <v>0</v>
      </c>
      <c r="I814" s="475"/>
      <c r="J814" s="475">
        <f>'ведом. 2021-2023'!AF433</f>
        <v>0</v>
      </c>
      <c r="K814" s="475"/>
      <c r="L814" s="465"/>
      <c r="N814" s="465"/>
      <c r="O814" s="465"/>
    </row>
    <row r="815" spans="1:15" s="441" customFormat="1" x14ac:dyDescent="0.25">
      <c r="A815" s="528" t="s">
        <v>2093</v>
      </c>
      <c r="B815" s="613" t="s">
        <v>205</v>
      </c>
      <c r="C815" s="235" t="s">
        <v>406</v>
      </c>
      <c r="D815" s="442" t="s">
        <v>2094</v>
      </c>
      <c r="E815" s="238"/>
      <c r="F815" s="292">
        <f t="shared" ref="F815:K815" si="182">F816+F823</f>
        <v>4821.8999999999996</v>
      </c>
      <c r="G815" s="475">
        <f t="shared" si="182"/>
        <v>2716</v>
      </c>
      <c r="H815" s="475">
        <f t="shared" si="182"/>
        <v>4821.8999999999996</v>
      </c>
      <c r="I815" s="475">
        <f t="shared" si="182"/>
        <v>2716</v>
      </c>
      <c r="J815" s="475">
        <f t="shared" si="182"/>
        <v>4799</v>
      </c>
      <c r="K815" s="475">
        <f t="shared" si="182"/>
        <v>2716</v>
      </c>
      <c r="L815" s="465"/>
      <c r="N815" s="465"/>
      <c r="O815" s="465"/>
    </row>
    <row r="816" spans="1:15" s="441" customFormat="1" ht="47.25" x14ac:dyDescent="0.25">
      <c r="A816" s="528" t="s">
        <v>2134</v>
      </c>
      <c r="B816" s="613" t="s">
        <v>205</v>
      </c>
      <c r="C816" s="235" t="s">
        <v>406</v>
      </c>
      <c r="D816" s="442" t="s">
        <v>2135</v>
      </c>
      <c r="E816" s="238"/>
      <c r="F816" s="292">
        <f>F819+F817+F821</f>
        <v>3449.3999999999996</v>
      </c>
      <c r="G816" s="292">
        <f t="shared" ref="G816:K816" si="183">G819+G817+G821</f>
        <v>2178.4</v>
      </c>
      <c r="H816" s="292">
        <f t="shared" si="183"/>
        <v>3411.8999999999996</v>
      </c>
      <c r="I816" s="292">
        <f t="shared" si="183"/>
        <v>2176</v>
      </c>
      <c r="J816" s="292">
        <f t="shared" si="183"/>
        <v>3389</v>
      </c>
      <c r="K816" s="292">
        <f t="shared" si="183"/>
        <v>2176</v>
      </c>
      <c r="L816" s="465"/>
      <c r="N816" s="465"/>
      <c r="O816" s="465"/>
    </row>
    <row r="817" spans="1:15" s="513" customFormat="1" x14ac:dyDescent="0.25">
      <c r="A817" s="523" t="s">
        <v>1781</v>
      </c>
      <c r="B817" s="613" t="s">
        <v>205</v>
      </c>
      <c r="C817" s="235" t="s">
        <v>406</v>
      </c>
      <c r="D817" s="442" t="s">
        <v>2135</v>
      </c>
      <c r="E817" s="238">
        <v>200</v>
      </c>
      <c r="F817" s="292">
        <f>F818</f>
        <v>1720.1</v>
      </c>
      <c r="G817" s="292">
        <f>G818</f>
        <v>1619.3</v>
      </c>
      <c r="H817" s="475">
        <f>H818</f>
        <v>120</v>
      </c>
      <c r="I817" s="475">
        <f>I818</f>
        <v>0</v>
      </c>
      <c r="J817" s="475">
        <f>J818</f>
        <v>120</v>
      </c>
      <c r="K817" s="475"/>
      <c r="L817" s="465"/>
      <c r="N817" s="465"/>
      <c r="O817" s="465"/>
    </row>
    <row r="818" spans="1:15" s="513" customFormat="1" ht="31.5" x14ac:dyDescent="0.25">
      <c r="A818" s="523" t="s">
        <v>1273</v>
      </c>
      <c r="B818" s="613" t="s">
        <v>205</v>
      </c>
      <c r="C818" s="235" t="s">
        <v>406</v>
      </c>
      <c r="D818" s="442" t="s">
        <v>2135</v>
      </c>
      <c r="E818" s="238">
        <v>240</v>
      </c>
      <c r="F818" s="292">
        <f>'ведом. 2021-2023'!AD437</f>
        <v>1720.1</v>
      </c>
      <c r="G818" s="475">
        <f>1674-54.7</f>
        <v>1619.3</v>
      </c>
      <c r="H818" s="475">
        <f>'ведом. 2021-2023'!AE437</f>
        <v>120</v>
      </c>
      <c r="I818" s="475"/>
      <c r="J818" s="475">
        <f>'ведом. 2021-2023'!AF437</f>
        <v>120</v>
      </c>
      <c r="K818" s="475"/>
      <c r="L818" s="465"/>
      <c r="N818" s="465"/>
      <c r="O818" s="465"/>
    </row>
    <row r="819" spans="1:15" s="441" customFormat="1" x14ac:dyDescent="0.25">
      <c r="A819" s="523" t="s">
        <v>1754</v>
      </c>
      <c r="B819" s="613" t="s">
        <v>205</v>
      </c>
      <c r="C819" s="235" t="s">
        <v>406</v>
      </c>
      <c r="D819" s="442" t="s">
        <v>2135</v>
      </c>
      <c r="E819" s="238">
        <v>300</v>
      </c>
      <c r="F819" s="292">
        <f t="shared" ref="F819:K819" si="184">F820</f>
        <v>346.89999999999964</v>
      </c>
      <c r="G819" s="475">
        <f t="shared" si="184"/>
        <v>54.7</v>
      </c>
      <c r="H819" s="475">
        <f t="shared" si="184"/>
        <v>3291.8999999999996</v>
      </c>
      <c r="I819" s="475">
        <f t="shared" si="184"/>
        <v>2176</v>
      </c>
      <c r="J819" s="475">
        <f t="shared" si="184"/>
        <v>3269</v>
      </c>
      <c r="K819" s="475">
        <f t="shared" si="184"/>
        <v>2176</v>
      </c>
      <c r="L819" s="465"/>
      <c r="N819" s="465"/>
      <c r="O819" s="465"/>
    </row>
    <row r="820" spans="1:15" s="441" customFormat="1" x14ac:dyDescent="0.25">
      <c r="A820" s="523" t="s">
        <v>868</v>
      </c>
      <c r="B820" s="613" t="s">
        <v>205</v>
      </c>
      <c r="C820" s="235" t="s">
        <v>406</v>
      </c>
      <c r="D820" s="442" t="s">
        <v>2135</v>
      </c>
      <c r="E820" s="238">
        <v>320</v>
      </c>
      <c r="F820" s="292">
        <f>'ведом. 2021-2023'!AD439</f>
        <v>346.89999999999964</v>
      </c>
      <c r="G820" s="475">
        <v>54.7</v>
      </c>
      <c r="H820" s="475">
        <f>'ведом. 2021-2023'!AE439</f>
        <v>3291.8999999999996</v>
      </c>
      <c r="I820" s="475">
        <v>2176</v>
      </c>
      <c r="J820" s="475">
        <f>'ведом. 2021-2023'!AF439</f>
        <v>3269</v>
      </c>
      <c r="K820" s="475">
        <v>2176</v>
      </c>
      <c r="L820" s="465"/>
      <c r="N820" s="465"/>
      <c r="O820" s="465"/>
    </row>
    <row r="821" spans="1:15" s="513" customFormat="1" ht="31.5" x14ac:dyDescent="0.25">
      <c r="A821" s="523" t="s">
        <v>1342</v>
      </c>
      <c r="B821" s="613" t="s">
        <v>205</v>
      </c>
      <c r="C821" s="235" t="s">
        <v>406</v>
      </c>
      <c r="D821" s="442" t="s">
        <v>2135</v>
      </c>
      <c r="E821" s="238">
        <v>600</v>
      </c>
      <c r="F821" s="292">
        <f>F822</f>
        <v>1382.4</v>
      </c>
      <c r="G821" s="475">
        <f>G822</f>
        <v>504.4</v>
      </c>
      <c r="H821" s="475">
        <f>H822</f>
        <v>0</v>
      </c>
      <c r="I821" s="475"/>
      <c r="J821" s="475">
        <f>J822</f>
        <v>0</v>
      </c>
      <c r="K821" s="475"/>
      <c r="L821" s="465"/>
      <c r="N821" s="465"/>
      <c r="O821" s="465"/>
    </row>
    <row r="822" spans="1:15" s="513" customFormat="1" x14ac:dyDescent="0.25">
      <c r="A822" s="523" t="s">
        <v>1343</v>
      </c>
      <c r="B822" s="613" t="s">
        <v>205</v>
      </c>
      <c r="C822" s="235" t="s">
        <v>406</v>
      </c>
      <c r="D822" s="442" t="s">
        <v>2135</v>
      </c>
      <c r="E822" s="238">
        <v>610</v>
      </c>
      <c r="F822" s="292">
        <f>'ведом. 2021-2023'!AD850+'ведом. 2021-2023'!AD441</f>
        <v>1382.4</v>
      </c>
      <c r="G822" s="475">
        <f>504.4</f>
        <v>504.4</v>
      </c>
      <c r="H822" s="475">
        <f>'ведом. 2021-2023'!AE850+'ведом. 2021-2023'!AE441</f>
        <v>0</v>
      </c>
      <c r="I822" s="475"/>
      <c r="J822" s="475">
        <f>'ведом. 2021-2023'!AF850+'ведом. 2021-2023'!AF441</f>
        <v>0</v>
      </c>
      <c r="K822" s="475"/>
      <c r="L822" s="465"/>
      <c r="N822" s="465"/>
      <c r="O822" s="465"/>
    </row>
    <row r="823" spans="1:15" s="441" customFormat="1" ht="31.5" x14ac:dyDescent="0.25">
      <c r="A823" s="523" t="s">
        <v>2136</v>
      </c>
      <c r="B823" s="613" t="s">
        <v>205</v>
      </c>
      <c r="C823" s="235" t="s">
        <v>406</v>
      </c>
      <c r="D823" s="442" t="s">
        <v>2137</v>
      </c>
      <c r="E823" s="238"/>
      <c r="F823" s="292">
        <f t="shared" ref="F823:K824" si="185">F824</f>
        <v>1372.5</v>
      </c>
      <c r="G823" s="475">
        <f t="shared" si="185"/>
        <v>537.6</v>
      </c>
      <c r="H823" s="475">
        <f t="shared" si="185"/>
        <v>1410</v>
      </c>
      <c r="I823" s="475">
        <f t="shared" si="185"/>
        <v>540</v>
      </c>
      <c r="J823" s="475">
        <f t="shared" si="185"/>
        <v>1410</v>
      </c>
      <c r="K823" s="475">
        <f t="shared" si="185"/>
        <v>540</v>
      </c>
      <c r="L823" s="465"/>
      <c r="N823" s="465"/>
      <c r="O823" s="465"/>
    </row>
    <row r="824" spans="1:15" s="441" customFormat="1" ht="31.5" x14ac:dyDescent="0.25">
      <c r="A824" s="523" t="s">
        <v>1342</v>
      </c>
      <c r="B824" s="613" t="s">
        <v>205</v>
      </c>
      <c r="C824" s="235" t="s">
        <v>406</v>
      </c>
      <c r="D824" s="442" t="s">
        <v>2137</v>
      </c>
      <c r="E824" s="576">
        <v>600</v>
      </c>
      <c r="F824" s="292">
        <f t="shared" si="185"/>
        <v>1372.5</v>
      </c>
      <c r="G824" s="475">
        <f t="shared" si="185"/>
        <v>537.6</v>
      </c>
      <c r="H824" s="475">
        <f t="shared" si="185"/>
        <v>1410</v>
      </c>
      <c r="I824" s="475">
        <f t="shared" si="185"/>
        <v>540</v>
      </c>
      <c r="J824" s="475">
        <f t="shared" si="185"/>
        <v>1410</v>
      </c>
      <c r="K824" s="475">
        <f t="shared" si="185"/>
        <v>540</v>
      </c>
      <c r="L824" s="465"/>
      <c r="N824" s="465"/>
      <c r="O824" s="465"/>
    </row>
    <row r="825" spans="1:15" s="441" customFormat="1" x14ac:dyDescent="0.25">
      <c r="A825" s="523" t="s">
        <v>1343</v>
      </c>
      <c r="B825" s="613" t="s">
        <v>205</v>
      </c>
      <c r="C825" s="235" t="s">
        <v>406</v>
      </c>
      <c r="D825" s="442" t="s">
        <v>2137</v>
      </c>
      <c r="E825" s="576">
        <v>610</v>
      </c>
      <c r="F825" s="292">
        <f>'ведом. 2021-2023'!AD853</f>
        <v>1372.5</v>
      </c>
      <c r="G825" s="475">
        <f>540-2.4</f>
        <v>537.6</v>
      </c>
      <c r="H825" s="475">
        <f>'ведом. 2021-2023'!AE853</f>
        <v>1410</v>
      </c>
      <c r="I825" s="475">
        <v>540</v>
      </c>
      <c r="J825" s="475">
        <f>'ведом. 2021-2023'!AF853</f>
        <v>1410</v>
      </c>
      <c r="K825" s="475">
        <v>540</v>
      </c>
      <c r="L825" s="465"/>
      <c r="N825" s="465"/>
      <c r="O825" s="465"/>
    </row>
    <row r="826" spans="1:15" s="441" customFormat="1" ht="31.5" x14ac:dyDescent="0.25">
      <c r="A826" s="520" t="s">
        <v>2102</v>
      </c>
      <c r="B826" s="613" t="s">
        <v>205</v>
      </c>
      <c r="C826" s="235" t="s">
        <v>406</v>
      </c>
      <c r="D826" s="442" t="s">
        <v>1805</v>
      </c>
      <c r="E826" s="238"/>
      <c r="F826" s="292">
        <f>F827</f>
        <v>4.5</v>
      </c>
      <c r="G826" s="475"/>
      <c r="H826" s="475">
        <f>H827</f>
        <v>4.5</v>
      </c>
      <c r="I826" s="475"/>
      <c r="J826" s="475">
        <f>J827</f>
        <v>4.5</v>
      </c>
      <c r="K826" s="475"/>
      <c r="L826" s="465"/>
      <c r="N826" s="465"/>
      <c r="O826" s="465"/>
    </row>
    <row r="827" spans="1:15" s="441" customFormat="1" ht="47.25" x14ac:dyDescent="0.25">
      <c r="A827" s="520" t="s">
        <v>2103</v>
      </c>
      <c r="B827" s="613" t="s">
        <v>205</v>
      </c>
      <c r="C827" s="235" t="s">
        <v>406</v>
      </c>
      <c r="D827" s="442" t="s">
        <v>2104</v>
      </c>
      <c r="E827" s="238"/>
      <c r="F827" s="292">
        <f>F828</f>
        <v>4.5</v>
      </c>
      <c r="G827" s="475"/>
      <c r="H827" s="475">
        <f>H828</f>
        <v>4.5</v>
      </c>
      <c r="I827" s="475"/>
      <c r="J827" s="475">
        <f>J828</f>
        <v>4.5</v>
      </c>
      <c r="K827" s="475"/>
      <c r="L827" s="465"/>
      <c r="N827" s="465"/>
      <c r="O827" s="465"/>
    </row>
    <row r="828" spans="1:15" s="441" customFormat="1" ht="31.5" x14ac:dyDescent="0.25">
      <c r="A828" s="528" t="s">
        <v>2105</v>
      </c>
      <c r="B828" s="613" t="s">
        <v>205</v>
      </c>
      <c r="C828" s="235" t="s">
        <v>406</v>
      </c>
      <c r="D828" s="442" t="s">
        <v>2106</v>
      </c>
      <c r="E828" s="238"/>
      <c r="F828" s="292">
        <f>F829</f>
        <v>4.5</v>
      </c>
      <c r="G828" s="475"/>
      <c r="H828" s="475">
        <f>H829</f>
        <v>4.5</v>
      </c>
      <c r="I828" s="475"/>
      <c r="J828" s="475">
        <f>J829</f>
        <v>4.5</v>
      </c>
      <c r="K828" s="475"/>
      <c r="L828" s="465"/>
      <c r="N828" s="465"/>
      <c r="O828" s="465"/>
    </row>
    <row r="829" spans="1:15" s="441" customFormat="1" ht="94.5" x14ac:dyDescent="0.25">
      <c r="A829" s="528" t="s">
        <v>2242</v>
      </c>
      <c r="B829" s="613" t="s">
        <v>205</v>
      </c>
      <c r="C829" s="235" t="s">
        <v>406</v>
      </c>
      <c r="D829" s="471" t="s">
        <v>2107</v>
      </c>
      <c r="E829" s="238"/>
      <c r="F829" s="292">
        <f>F830</f>
        <v>4.5</v>
      </c>
      <c r="G829" s="475"/>
      <c r="H829" s="475">
        <f>H830</f>
        <v>4.5</v>
      </c>
      <c r="I829" s="475"/>
      <c r="J829" s="475">
        <f>J830</f>
        <v>4.5</v>
      </c>
      <c r="K829" s="475"/>
      <c r="L829" s="465"/>
      <c r="N829" s="465"/>
      <c r="O829" s="465"/>
    </row>
    <row r="830" spans="1:15" s="441" customFormat="1" x14ac:dyDescent="0.25">
      <c r="A830" s="523" t="s">
        <v>1781</v>
      </c>
      <c r="B830" s="613" t="s">
        <v>205</v>
      </c>
      <c r="C830" s="235" t="s">
        <v>406</v>
      </c>
      <c r="D830" s="471" t="s">
        <v>2107</v>
      </c>
      <c r="E830" s="238">
        <v>200</v>
      </c>
      <c r="F830" s="292">
        <f>F831</f>
        <v>4.5</v>
      </c>
      <c r="G830" s="475"/>
      <c r="H830" s="475">
        <f>H831</f>
        <v>4.5</v>
      </c>
      <c r="I830" s="475"/>
      <c r="J830" s="475">
        <f>J831</f>
        <v>4.5</v>
      </c>
      <c r="K830" s="475"/>
      <c r="L830" s="465"/>
      <c r="N830" s="465"/>
      <c r="O830" s="465"/>
    </row>
    <row r="831" spans="1:15" s="441" customFormat="1" ht="31.5" x14ac:dyDescent="0.25">
      <c r="A831" s="523" t="s">
        <v>1273</v>
      </c>
      <c r="B831" s="613" t="s">
        <v>205</v>
      </c>
      <c r="C831" s="235" t="s">
        <v>406</v>
      </c>
      <c r="D831" s="471" t="s">
        <v>2107</v>
      </c>
      <c r="E831" s="238">
        <v>240</v>
      </c>
      <c r="F831" s="292">
        <f>'ведом. 2021-2023'!AD859</f>
        <v>4.5</v>
      </c>
      <c r="G831" s="475"/>
      <c r="H831" s="475">
        <f>'ведом. 2021-2023'!AE859</f>
        <v>4.5</v>
      </c>
      <c r="I831" s="475"/>
      <c r="J831" s="475">
        <f>'ведом. 2021-2023'!AF859</f>
        <v>4.5</v>
      </c>
      <c r="K831" s="475"/>
      <c r="L831" s="465"/>
      <c r="N831" s="465"/>
      <c r="O831" s="465"/>
    </row>
    <row r="832" spans="1:15" s="513" customFormat="1" x14ac:dyDescent="0.25">
      <c r="A832" s="520" t="s">
        <v>1957</v>
      </c>
      <c r="B832" s="613" t="s">
        <v>205</v>
      </c>
      <c r="C832" s="235" t="s">
        <v>406</v>
      </c>
      <c r="D832" s="442" t="s">
        <v>1958</v>
      </c>
      <c r="E832" s="238"/>
      <c r="F832" s="292">
        <f t="shared" ref="F832:J833" si="186">F833</f>
        <v>2982.7</v>
      </c>
      <c r="G832" s="475">
        <f t="shared" si="186"/>
        <v>2904.2999999999997</v>
      </c>
      <c r="H832" s="475">
        <f t="shared" si="186"/>
        <v>19768.400000000001</v>
      </c>
      <c r="I832" s="475">
        <f t="shared" si="186"/>
        <v>18705.199999999997</v>
      </c>
      <c r="J832" s="475">
        <f t="shared" si="186"/>
        <v>0</v>
      </c>
      <c r="K832" s="475"/>
      <c r="L832" s="465"/>
      <c r="N832" s="465"/>
      <c r="O832" s="465"/>
    </row>
    <row r="833" spans="1:15" s="513" customFormat="1" ht="31.5" x14ac:dyDescent="0.25">
      <c r="A833" s="520" t="s">
        <v>1964</v>
      </c>
      <c r="B833" s="613" t="s">
        <v>205</v>
      </c>
      <c r="C833" s="235" t="s">
        <v>406</v>
      </c>
      <c r="D833" s="442" t="s">
        <v>1965</v>
      </c>
      <c r="E833" s="586"/>
      <c r="F833" s="292">
        <f t="shared" si="186"/>
        <v>2982.7</v>
      </c>
      <c r="G833" s="475">
        <f t="shared" si="186"/>
        <v>2904.2999999999997</v>
      </c>
      <c r="H833" s="475">
        <f t="shared" si="186"/>
        <v>19768.400000000001</v>
      </c>
      <c r="I833" s="475">
        <f t="shared" si="186"/>
        <v>18705.199999999997</v>
      </c>
      <c r="J833" s="475">
        <f t="shared" si="186"/>
        <v>0</v>
      </c>
      <c r="K833" s="475"/>
      <c r="L833" s="465"/>
      <c r="N833" s="465"/>
      <c r="O833" s="465"/>
    </row>
    <row r="834" spans="1:15" s="513" customFormat="1" x14ac:dyDescent="0.25">
      <c r="A834" s="519" t="s">
        <v>2222</v>
      </c>
      <c r="B834" s="613" t="s">
        <v>205</v>
      </c>
      <c r="C834" s="235" t="s">
        <v>406</v>
      </c>
      <c r="D834" s="442" t="s">
        <v>2223</v>
      </c>
      <c r="E834" s="576"/>
      <c r="F834" s="292">
        <f>F835+F838+F841+F844</f>
        <v>2982.7</v>
      </c>
      <c r="G834" s="292">
        <f t="shared" ref="G834:J834" si="187">G835+G838+G841+G844</f>
        <v>2904.2999999999997</v>
      </c>
      <c r="H834" s="292">
        <f t="shared" si="187"/>
        <v>19768.400000000001</v>
      </c>
      <c r="I834" s="292">
        <f t="shared" si="187"/>
        <v>18705.199999999997</v>
      </c>
      <c r="J834" s="292">
        <f t="shared" si="187"/>
        <v>0</v>
      </c>
      <c r="K834" s="475"/>
      <c r="L834" s="465"/>
      <c r="N834" s="465"/>
      <c r="O834" s="465"/>
    </row>
    <row r="835" spans="1:15" s="710" customFormat="1" ht="63" x14ac:dyDescent="0.25">
      <c r="A835" s="523" t="s">
        <v>2347</v>
      </c>
      <c r="B835" s="613" t="s">
        <v>205</v>
      </c>
      <c r="C835" s="235" t="s">
        <v>406</v>
      </c>
      <c r="D835" s="442" t="s">
        <v>2348</v>
      </c>
      <c r="E835" s="576"/>
      <c r="F835" s="292">
        <f t="shared" ref="F835:J836" si="188">F836</f>
        <v>2907.7</v>
      </c>
      <c r="G835" s="475">
        <f t="shared" si="188"/>
        <v>2836.7999999999997</v>
      </c>
      <c r="H835" s="475">
        <f t="shared" si="188"/>
        <v>15783.4</v>
      </c>
      <c r="I835" s="475">
        <f t="shared" si="188"/>
        <v>15398.4</v>
      </c>
      <c r="J835" s="475">
        <f t="shared" si="188"/>
        <v>0</v>
      </c>
      <c r="K835" s="475"/>
      <c r="L835" s="709"/>
      <c r="N835" s="709"/>
      <c r="O835" s="709"/>
    </row>
    <row r="836" spans="1:15" s="710" customFormat="1" x14ac:dyDescent="0.25">
      <c r="A836" s="519" t="s">
        <v>1781</v>
      </c>
      <c r="B836" s="613" t="s">
        <v>205</v>
      </c>
      <c r="C836" s="235" t="s">
        <v>406</v>
      </c>
      <c r="D836" s="442" t="s">
        <v>2348</v>
      </c>
      <c r="E836" s="238">
        <v>200</v>
      </c>
      <c r="F836" s="292">
        <f t="shared" si="188"/>
        <v>2907.7</v>
      </c>
      <c r="G836" s="475">
        <f t="shared" si="188"/>
        <v>2836.7999999999997</v>
      </c>
      <c r="H836" s="475">
        <f t="shared" si="188"/>
        <v>15783.4</v>
      </c>
      <c r="I836" s="475">
        <f t="shared" si="188"/>
        <v>15398.4</v>
      </c>
      <c r="J836" s="475">
        <f t="shared" si="188"/>
        <v>0</v>
      </c>
      <c r="K836" s="475"/>
      <c r="L836" s="709"/>
      <c r="N836" s="709"/>
      <c r="O836" s="709"/>
    </row>
    <row r="837" spans="1:15" s="710" customFormat="1" ht="31.5" x14ac:dyDescent="0.25">
      <c r="A837" s="519" t="s">
        <v>1273</v>
      </c>
      <c r="B837" s="613" t="s">
        <v>205</v>
      </c>
      <c r="C837" s="235" t="s">
        <v>406</v>
      </c>
      <c r="D837" s="442" t="s">
        <v>2348</v>
      </c>
      <c r="E837" s="238">
        <v>240</v>
      </c>
      <c r="F837" s="292">
        <f>'ведом. 2021-2023'!AD865</f>
        <v>2907.7</v>
      </c>
      <c r="G837" s="475">
        <f>3265.2-428.4</f>
        <v>2836.7999999999997</v>
      </c>
      <c r="H837" s="475">
        <f>'ведом. 2021-2023'!AE865</f>
        <v>15783.4</v>
      </c>
      <c r="I837" s="475">
        <f>16326.3-928+0.1</f>
        <v>15398.4</v>
      </c>
      <c r="J837" s="475">
        <f>'ведом. 2021-2023'!AF865</f>
        <v>0</v>
      </c>
      <c r="K837" s="475"/>
      <c r="L837" s="709"/>
      <c r="N837" s="709"/>
      <c r="O837" s="709"/>
    </row>
    <row r="838" spans="1:15" s="710" customFormat="1" ht="94.5" x14ac:dyDescent="0.25">
      <c r="A838" s="519" t="s">
        <v>2349</v>
      </c>
      <c r="B838" s="613" t="s">
        <v>205</v>
      </c>
      <c r="C838" s="235" t="s">
        <v>406</v>
      </c>
      <c r="D838" s="442" t="s">
        <v>2350</v>
      </c>
      <c r="E838" s="576"/>
      <c r="F838" s="292">
        <f t="shared" ref="F838:J839" si="189">F839</f>
        <v>0</v>
      </c>
      <c r="G838" s="475"/>
      <c r="H838" s="475">
        <f t="shared" si="189"/>
        <v>492</v>
      </c>
      <c r="I838" s="475">
        <f t="shared" si="189"/>
        <v>442.8</v>
      </c>
      <c r="J838" s="475">
        <f t="shared" si="189"/>
        <v>0</v>
      </c>
      <c r="K838" s="475"/>
      <c r="L838" s="709"/>
      <c r="N838" s="709"/>
      <c r="O838" s="709"/>
    </row>
    <row r="839" spans="1:15" s="710" customFormat="1" ht="31.5" x14ac:dyDescent="0.25">
      <c r="A839" s="519" t="s">
        <v>1342</v>
      </c>
      <c r="B839" s="613" t="s">
        <v>205</v>
      </c>
      <c r="C839" s="235" t="s">
        <v>406</v>
      </c>
      <c r="D839" s="442" t="s">
        <v>2350</v>
      </c>
      <c r="E839" s="576">
        <v>600</v>
      </c>
      <c r="F839" s="292">
        <f t="shared" si="189"/>
        <v>0</v>
      </c>
      <c r="G839" s="475"/>
      <c r="H839" s="475">
        <f t="shared" si="189"/>
        <v>492</v>
      </c>
      <c r="I839" s="475">
        <f t="shared" si="189"/>
        <v>442.8</v>
      </c>
      <c r="J839" s="475">
        <f t="shared" si="189"/>
        <v>0</v>
      </c>
      <c r="K839" s="475"/>
      <c r="L839" s="709"/>
      <c r="N839" s="709"/>
      <c r="O839" s="709"/>
    </row>
    <row r="840" spans="1:15" s="710" customFormat="1" x14ac:dyDescent="0.25">
      <c r="A840" s="519" t="s">
        <v>1343</v>
      </c>
      <c r="B840" s="613" t="s">
        <v>205</v>
      </c>
      <c r="C840" s="235" t="s">
        <v>406</v>
      </c>
      <c r="D840" s="442" t="s">
        <v>2350</v>
      </c>
      <c r="E840" s="576">
        <v>610</v>
      </c>
      <c r="F840" s="292">
        <f>'ведом. 2021-2023'!AD868</f>
        <v>0</v>
      </c>
      <c r="G840" s="475"/>
      <c r="H840" s="475">
        <f>'ведом. 2021-2023'!AE868</f>
        <v>492</v>
      </c>
      <c r="I840" s="475">
        <v>442.8</v>
      </c>
      <c r="J840" s="475">
        <f>'ведом. 2021-2023'!AF868</f>
        <v>0</v>
      </c>
      <c r="K840" s="475"/>
      <c r="L840" s="709"/>
      <c r="N840" s="709"/>
      <c r="O840" s="709"/>
    </row>
    <row r="841" spans="1:15" s="513" customFormat="1" ht="31.5" x14ac:dyDescent="0.25">
      <c r="A841" s="519" t="s">
        <v>2224</v>
      </c>
      <c r="B841" s="613" t="s">
        <v>205</v>
      </c>
      <c r="C841" s="235" t="s">
        <v>406</v>
      </c>
      <c r="D841" s="442" t="s">
        <v>2225</v>
      </c>
      <c r="E841" s="576"/>
      <c r="F841" s="292">
        <f>F842</f>
        <v>0</v>
      </c>
      <c r="G841" s="475"/>
      <c r="H841" s="475">
        <f t="shared" ref="H841:J842" si="190">H842</f>
        <v>3493</v>
      </c>
      <c r="I841" s="475">
        <f t="shared" si="190"/>
        <v>2864</v>
      </c>
      <c r="J841" s="475">
        <f t="shared" si="190"/>
        <v>0</v>
      </c>
      <c r="K841" s="475"/>
      <c r="L841" s="465"/>
      <c r="N841" s="465"/>
      <c r="O841" s="465"/>
    </row>
    <row r="842" spans="1:15" s="513" customFormat="1" ht="31.5" x14ac:dyDescent="0.25">
      <c r="A842" s="519" t="s">
        <v>1342</v>
      </c>
      <c r="B842" s="613" t="s">
        <v>205</v>
      </c>
      <c r="C842" s="235" t="s">
        <v>406</v>
      </c>
      <c r="D842" s="442" t="s">
        <v>2225</v>
      </c>
      <c r="E842" s="576">
        <v>600</v>
      </c>
      <c r="F842" s="292">
        <f>F843</f>
        <v>0</v>
      </c>
      <c r="G842" s="475"/>
      <c r="H842" s="475">
        <f t="shared" si="190"/>
        <v>3493</v>
      </c>
      <c r="I842" s="475">
        <f t="shared" si="190"/>
        <v>2864</v>
      </c>
      <c r="J842" s="475">
        <f t="shared" si="190"/>
        <v>0</v>
      </c>
      <c r="K842" s="475"/>
      <c r="L842" s="465"/>
      <c r="N842" s="465"/>
      <c r="O842" s="465"/>
    </row>
    <row r="843" spans="1:15" s="513" customFormat="1" x14ac:dyDescent="0.25">
      <c r="A843" s="519" t="s">
        <v>1343</v>
      </c>
      <c r="B843" s="613" t="s">
        <v>205</v>
      </c>
      <c r="C843" s="235" t="s">
        <v>406</v>
      </c>
      <c r="D843" s="442" t="s">
        <v>2225</v>
      </c>
      <c r="E843" s="576">
        <v>610</v>
      </c>
      <c r="F843" s="292">
        <f>'ведом. 2021-2023'!AD871</f>
        <v>0</v>
      </c>
      <c r="G843" s="475"/>
      <c r="H843" s="475">
        <f>'ведом. 2021-2023'!AE871</f>
        <v>3493</v>
      </c>
      <c r="I843" s="475">
        <v>2864</v>
      </c>
      <c r="J843" s="475">
        <f>'ведом. 2021-2023'!AF871</f>
        <v>0</v>
      </c>
      <c r="K843" s="475"/>
      <c r="L843" s="465"/>
      <c r="N843" s="465"/>
      <c r="O843" s="465"/>
    </row>
    <row r="844" spans="1:15" s="513" customFormat="1" ht="78.75" x14ac:dyDescent="0.25">
      <c r="A844" s="519" t="s">
        <v>2443</v>
      </c>
      <c r="B844" s="235" t="s">
        <v>205</v>
      </c>
      <c r="C844" s="235" t="s">
        <v>406</v>
      </c>
      <c r="D844" s="442" t="s">
        <v>2442</v>
      </c>
      <c r="E844" s="576"/>
      <c r="F844" s="292">
        <f>F845</f>
        <v>75</v>
      </c>
      <c r="G844" s="292">
        <f t="shared" ref="G844:J844" si="191">G845</f>
        <v>67.5</v>
      </c>
      <c r="H844" s="292">
        <f t="shared" si="191"/>
        <v>0</v>
      </c>
      <c r="I844" s="292"/>
      <c r="J844" s="292">
        <f t="shared" si="191"/>
        <v>0</v>
      </c>
      <c r="K844" s="475"/>
      <c r="L844" s="465"/>
      <c r="N844" s="465"/>
      <c r="O844" s="465"/>
    </row>
    <row r="845" spans="1:15" s="513" customFormat="1" x14ac:dyDescent="0.25">
      <c r="A845" s="519" t="s">
        <v>1781</v>
      </c>
      <c r="B845" s="235" t="s">
        <v>205</v>
      </c>
      <c r="C845" s="235" t="s">
        <v>406</v>
      </c>
      <c r="D845" s="442" t="s">
        <v>2442</v>
      </c>
      <c r="E845" s="238">
        <v>200</v>
      </c>
      <c r="F845" s="292">
        <f>F846</f>
        <v>75</v>
      </c>
      <c r="G845" s="292">
        <f t="shared" ref="G845:J845" si="192">G846</f>
        <v>67.5</v>
      </c>
      <c r="H845" s="292">
        <f t="shared" si="192"/>
        <v>0</v>
      </c>
      <c r="I845" s="292"/>
      <c r="J845" s="292">
        <f t="shared" si="192"/>
        <v>0</v>
      </c>
      <c r="K845" s="475"/>
      <c r="L845" s="465"/>
      <c r="N845" s="465"/>
      <c r="O845" s="465"/>
    </row>
    <row r="846" spans="1:15" s="513" customFormat="1" ht="31.5" x14ac:dyDescent="0.25">
      <c r="A846" s="519" t="s">
        <v>1273</v>
      </c>
      <c r="B846" s="235" t="s">
        <v>205</v>
      </c>
      <c r="C846" s="235" t="s">
        <v>406</v>
      </c>
      <c r="D846" s="442" t="s">
        <v>2442</v>
      </c>
      <c r="E846" s="238">
        <v>240</v>
      </c>
      <c r="F846" s="292">
        <f>'ведом. 2021-2023'!AD874</f>
        <v>75</v>
      </c>
      <c r="G846" s="475">
        <v>67.5</v>
      </c>
      <c r="H846" s="475">
        <v>0</v>
      </c>
      <c r="I846" s="475"/>
      <c r="J846" s="475">
        <v>0</v>
      </c>
      <c r="K846" s="475"/>
      <c r="L846" s="465"/>
      <c r="N846" s="465"/>
      <c r="O846" s="465"/>
    </row>
    <row r="847" spans="1:15" s="441" customFormat="1" x14ac:dyDescent="0.25">
      <c r="A847" s="607" t="s">
        <v>403</v>
      </c>
      <c r="B847" s="615" t="s">
        <v>290</v>
      </c>
      <c r="C847" s="247"/>
      <c r="D847" s="249"/>
      <c r="E847" s="238"/>
      <c r="F847" s="733">
        <f>F848</f>
        <v>113797.1</v>
      </c>
      <c r="G847" s="478">
        <f>G848</f>
        <v>911.9</v>
      </c>
      <c r="H847" s="478">
        <f>H848</f>
        <v>89536</v>
      </c>
      <c r="I847" s="478"/>
      <c r="J847" s="478">
        <f>J848</f>
        <v>89536</v>
      </c>
      <c r="K847" s="475"/>
      <c r="L847" s="465"/>
      <c r="N847" s="465"/>
      <c r="O847" s="465"/>
    </row>
    <row r="848" spans="1:15" s="441" customFormat="1" x14ac:dyDescent="0.25">
      <c r="A848" s="523" t="s">
        <v>1402</v>
      </c>
      <c r="B848" s="613" t="s">
        <v>290</v>
      </c>
      <c r="C848" s="235" t="s">
        <v>566</v>
      </c>
      <c r="D848" s="249"/>
      <c r="E848" s="238"/>
      <c r="F848" s="292">
        <f>F849+F885+F891</f>
        <v>113797.1</v>
      </c>
      <c r="G848" s="475">
        <f>G849+G885+G891</f>
        <v>911.9</v>
      </c>
      <c r="H848" s="475">
        <f>H849+H885+H891</f>
        <v>89536</v>
      </c>
      <c r="I848" s="475"/>
      <c r="J848" s="475">
        <f>J849+J885+J891</f>
        <v>89536</v>
      </c>
      <c r="K848" s="475"/>
      <c r="L848" s="465"/>
      <c r="N848" s="465"/>
      <c r="O848" s="465"/>
    </row>
    <row r="849" spans="1:15" s="441" customFormat="1" x14ac:dyDescent="0.25">
      <c r="A849" s="520" t="s">
        <v>1998</v>
      </c>
      <c r="B849" s="613" t="s">
        <v>290</v>
      </c>
      <c r="C849" s="235" t="s">
        <v>566</v>
      </c>
      <c r="D849" s="442" t="s">
        <v>1774</v>
      </c>
      <c r="E849" s="576"/>
      <c r="F849" s="292">
        <f>F850+F855+F866</f>
        <v>111597</v>
      </c>
      <c r="G849" s="292">
        <f t="shared" ref="G849:J849" si="193">G850+G855+G866</f>
        <v>314.10000000000002</v>
      </c>
      <c r="H849" s="292">
        <f t="shared" si="193"/>
        <v>89536</v>
      </c>
      <c r="I849" s="292"/>
      <c r="J849" s="292">
        <f t="shared" si="193"/>
        <v>89536</v>
      </c>
      <c r="K849" s="475"/>
      <c r="L849" s="465"/>
      <c r="N849" s="465"/>
      <c r="O849" s="465"/>
    </row>
    <row r="850" spans="1:15" s="441" customFormat="1" x14ac:dyDescent="0.25">
      <c r="A850" s="520" t="s">
        <v>2333</v>
      </c>
      <c r="B850" s="613" t="s">
        <v>290</v>
      </c>
      <c r="C850" s="235" t="s">
        <v>566</v>
      </c>
      <c r="D850" s="442" t="s">
        <v>2128</v>
      </c>
      <c r="E850" s="576"/>
      <c r="F850" s="292">
        <f>F851</f>
        <v>16732.5</v>
      </c>
      <c r="G850" s="475"/>
      <c r="H850" s="475">
        <f>H851</f>
        <v>15732.5</v>
      </c>
      <c r="I850" s="475"/>
      <c r="J850" s="475">
        <f>J851</f>
        <v>15732.5</v>
      </c>
      <c r="K850" s="475"/>
      <c r="L850" s="465"/>
      <c r="N850" s="465"/>
      <c r="O850" s="465"/>
    </row>
    <row r="851" spans="1:15" s="441" customFormat="1" x14ac:dyDescent="0.25">
      <c r="A851" s="520" t="s">
        <v>2129</v>
      </c>
      <c r="B851" s="613" t="s">
        <v>290</v>
      </c>
      <c r="C851" s="235" t="s">
        <v>566</v>
      </c>
      <c r="D851" s="442" t="s">
        <v>2130</v>
      </c>
      <c r="E851" s="576"/>
      <c r="F851" s="292">
        <f>F852</f>
        <v>16732.5</v>
      </c>
      <c r="G851" s="475"/>
      <c r="H851" s="475">
        <f>H852</f>
        <v>15732.5</v>
      </c>
      <c r="I851" s="475"/>
      <c r="J851" s="475">
        <f>J852</f>
        <v>15732.5</v>
      </c>
      <c r="K851" s="475"/>
      <c r="L851" s="465"/>
      <c r="N851" s="465"/>
      <c r="O851" s="465"/>
    </row>
    <row r="852" spans="1:15" s="441" customFormat="1" ht="31.5" x14ac:dyDescent="0.25">
      <c r="A852" s="559" t="s">
        <v>1999</v>
      </c>
      <c r="B852" s="613" t="s">
        <v>290</v>
      </c>
      <c r="C852" s="235" t="s">
        <v>566</v>
      </c>
      <c r="D852" s="442" t="s">
        <v>2000</v>
      </c>
      <c r="E852" s="576"/>
      <c r="F852" s="292">
        <f>F853</f>
        <v>16732.5</v>
      </c>
      <c r="G852" s="475"/>
      <c r="H852" s="475">
        <f>H853</f>
        <v>15732.5</v>
      </c>
      <c r="I852" s="475"/>
      <c r="J852" s="475">
        <f>J853</f>
        <v>15732.5</v>
      </c>
      <c r="K852" s="475"/>
      <c r="L852" s="465"/>
      <c r="N852" s="465"/>
      <c r="O852" s="465"/>
    </row>
    <row r="853" spans="1:15" s="441" customFormat="1" ht="31.5" x14ac:dyDescent="0.25">
      <c r="A853" s="523" t="s">
        <v>1342</v>
      </c>
      <c r="B853" s="613" t="s">
        <v>290</v>
      </c>
      <c r="C853" s="235" t="s">
        <v>566</v>
      </c>
      <c r="D853" s="442" t="s">
        <v>2000</v>
      </c>
      <c r="E853" s="238">
        <v>600</v>
      </c>
      <c r="F853" s="292">
        <f>F854</f>
        <v>16732.5</v>
      </c>
      <c r="G853" s="475"/>
      <c r="H853" s="475">
        <f>H854</f>
        <v>15732.5</v>
      </c>
      <c r="I853" s="475"/>
      <c r="J853" s="475">
        <f>J854</f>
        <v>15732.5</v>
      </c>
      <c r="K853" s="475"/>
      <c r="L853" s="465"/>
      <c r="N853" s="465"/>
      <c r="O853" s="465"/>
    </row>
    <row r="854" spans="1:15" s="441" customFormat="1" x14ac:dyDescent="0.25">
      <c r="A854" s="523" t="s">
        <v>1343</v>
      </c>
      <c r="B854" s="613" t="s">
        <v>290</v>
      </c>
      <c r="C854" s="235" t="s">
        <v>566</v>
      </c>
      <c r="D854" s="442" t="s">
        <v>2000</v>
      </c>
      <c r="E854" s="238">
        <v>610</v>
      </c>
      <c r="F854" s="292">
        <f>'ведом. 2021-2023'!AD449</f>
        <v>16732.5</v>
      </c>
      <c r="G854" s="475"/>
      <c r="H854" s="475">
        <f>'ведом. 2021-2023'!AE449</f>
        <v>15732.5</v>
      </c>
      <c r="I854" s="475"/>
      <c r="J854" s="475">
        <f>'ведом. 2021-2023'!AF449</f>
        <v>15732.5</v>
      </c>
      <c r="K854" s="475"/>
      <c r="L854" s="465"/>
      <c r="N854" s="465"/>
      <c r="O854" s="465"/>
    </row>
    <row r="855" spans="1:15" s="441" customFormat="1" x14ac:dyDescent="0.25">
      <c r="A855" s="517" t="s">
        <v>2335</v>
      </c>
      <c r="B855" s="613" t="s">
        <v>290</v>
      </c>
      <c r="C855" s="235" t="s">
        <v>566</v>
      </c>
      <c r="D855" s="442" t="s">
        <v>1820</v>
      </c>
      <c r="E855" s="587"/>
      <c r="F855" s="292">
        <f>F856</f>
        <v>28335.899999999998</v>
      </c>
      <c r="G855" s="292">
        <f t="shared" ref="G855:J855" si="194">G856</f>
        <v>314.10000000000002</v>
      </c>
      <c r="H855" s="292">
        <f t="shared" si="194"/>
        <v>23482.799999999999</v>
      </c>
      <c r="I855" s="292"/>
      <c r="J855" s="292">
        <f t="shared" si="194"/>
        <v>23482.799999999999</v>
      </c>
      <c r="K855" s="475"/>
      <c r="L855" s="465"/>
      <c r="N855" s="465"/>
      <c r="O855" s="465"/>
    </row>
    <row r="856" spans="1:15" s="441" customFormat="1" ht="31.5" x14ac:dyDescent="0.25">
      <c r="A856" s="520" t="s">
        <v>2001</v>
      </c>
      <c r="B856" s="613" t="s">
        <v>290</v>
      </c>
      <c r="C856" s="235" t="s">
        <v>566</v>
      </c>
      <c r="D856" s="442" t="s">
        <v>1821</v>
      </c>
      <c r="E856" s="238"/>
      <c r="F856" s="292">
        <f>F857+F860+F863</f>
        <v>28335.899999999998</v>
      </c>
      <c r="G856" s="292">
        <f t="shared" ref="G856:J856" si="195">G857+G860+G863</f>
        <v>314.10000000000002</v>
      </c>
      <c r="H856" s="292">
        <f t="shared" si="195"/>
        <v>23482.799999999999</v>
      </c>
      <c r="I856" s="292"/>
      <c r="J856" s="292">
        <f t="shared" si="195"/>
        <v>23482.799999999999</v>
      </c>
      <c r="K856" s="475"/>
      <c r="L856" s="465"/>
      <c r="N856" s="465"/>
      <c r="O856" s="465"/>
    </row>
    <row r="857" spans="1:15" s="441" customFormat="1" ht="31.5" x14ac:dyDescent="0.25">
      <c r="A857" s="559" t="s">
        <v>2002</v>
      </c>
      <c r="B857" s="613" t="s">
        <v>290</v>
      </c>
      <c r="C857" s="235" t="s">
        <v>566</v>
      </c>
      <c r="D857" s="442" t="s">
        <v>2003</v>
      </c>
      <c r="E857" s="238"/>
      <c r="F857" s="292">
        <f>F858</f>
        <v>1000</v>
      </c>
      <c r="G857" s="475"/>
      <c r="H857" s="475">
        <f>H858</f>
        <v>1000</v>
      </c>
      <c r="I857" s="475"/>
      <c r="J857" s="475">
        <f>J858</f>
        <v>1000</v>
      </c>
      <c r="K857" s="475"/>
      <c r="L857" s="465"/>
      <c r="N857" s="465"/>
      <c r="O857" s="465"/>
    </row>
    <row r="858" spans="1:15" s="441" customFormat="1" ht="31.5" x14ac:dyDescent="0.25">
      <c r="A858" s="523" t="s">
        <v>1342</v>
      </c>
      <c r="B858" s="613" t="s">
        <v>290</v>
      </c>
      <c r="C858" s="235" t="s">
        <v>566</v>
      </c>
      <c r="D858" s="442" t="s">
        <v>2003</v>
      </c>
      <c r="E858" s="238">
        <v>600</v>
      </c>
      <c r="F858" s="292">
        <f>F859</f>
        <v>1000</v>
      </c>
      <c r="G858" s="475"/>
      <c r="H858" s="475">
        <f>H859</f>
        <v>1000</v>
      </c>
      <c r="I858" s="475"/>
      <c r="J858" s="475">
        <f>J859</f>
        <v>1000</v>
      </c>
      <c r="K858" s="475"/>
      <c r="L858" s="465"/>
      <c r="N858" s="465"/>
      <c r="O858" s="465"/>
    </row>
    <row r="859" spans="1:15" s="441" customFormat="1" x14ac:dyDescent="0.25">
      <c r="A859" s="523" t="s">
        <v>1343</v>
      </c>
      <c r="B859" s="613" t="s">
        <v>290</v>
      </c>
      <c r="C859" s="235" t="s">
        <v>566</v>
      </c>
      <c r="D859" s="442" t="s">
        <v>2003</v>
      </c>
      <c r="E859" s="238">
        <v>610</v>
      </c>
      <c r="F859" s="292">
        <f>'ведом. 2021-2023'!AD454</f>
        <v>1000</v>
      </c>
      <c r="G859" s="475"/>
      <c r="H859" s="475">
        <f>'ведом. 2021-2023'!AE454</f>
        <v>1000</v>
      </c>
      <c r="I859" s="475"/>
      <c r="J859" s="475">
        <f>'ведом. 2021-2023'!AF454</f>
        <v>1000</v>
      </c>
      <c r="K859" s="475"/>
      <c r="L859" s="465"/>
      <c r="N859" s="465"/>
      <c r="O859" s="465"/>
    </row>
    <row r="860" spans="1:15" s="441" customFormat="1" ht="31.5" x14ac:dyDescent="0.25">
      <c r="A860" s="523" t="s">
        <v>2004</v>
      </c>
      <c r="B860" s="613" t="s">
        <v>290</v>
      </c>
      <c r="C860" s="235" t="s">
        <v>566</v>
      </c>
      <c r="D860" s="442" t="s">
        <v>2005</v>
      </c>
      <c r="E860" s="238"/>
      <c r="F860" s="292">
        <f>F861</f>
        <v>26952.799999999999</v>
      </c>
      <c r="G860" s="475"/>
      <c r="H860" s="475">
        <f>H861</f>
        <v>22482.799999999999</v>
      </c>
      <c r="I860" s="475"/>
      <c r="J860" s="475">
        <f>J861</f>
        <v>22482.799999999999</v>
      </c>
      <c r="K860" s="475"/>
      <c r="L860" s="465"/>
      <c r="N860" s="465"/>
      <c r="O860" s="465"/>
    </row>
    <row r="861" spans="1:15" s="441" customFormat="1" ht="31.5" x14ac:dyDescent="0.25">
      <c r="A861" s="523" t="s">
        <v>1342</v>
      </c>
      <c r="B861" s="613" t="s">
        <v>290</v>
      </c>
      <c r="C861" s="235" t="s">
        <v>566</v>
      </c>
      <c r="D861" s="442" t="s">
        <v>2005</v>
      </c>
      <c r="E861" s="238">
        <v>600</v>
      </c>
      <c r="F861" s="292">
        <f>F862</f>
        <v>26952.799999999999</v>
      </c>
      <c r="G861" s="475"/>
      <c r="H861" s="475">
        <f>H862</f>
        <v>22482.799999999999</v>
      </c>
      <c r="I861" s="475"/>
      <c r="J861" s="475">
        <f>J862</f>
        <v>22482.799999999999</v>
      </c>
      <c r="K861" s="475"/>
      <c r="L861" s="465"/>
      <c r="N861" s="465"/>
      <c r="O861" s="465"/>
    </row>
    <row r="862" spans="1:15" s="441" customFormat="1" x14ac:dyDescent="0.25">
      <c r="A862" s="523" t="s">
        <v>1343</v>
      </c>
      <c r="B862" s="613" t="s">
        <v>290</v>
      </c>
      <c r="C862" s="235" t="s">
        <v>566</v>
      </c>
      <c r="D862" s="442" t="s">
        <v>2005</v>
      </c>
      <c r="E862" s="238">
        <v>610</v>
      </c>
      <c r="F862" s="292">
        <f>'ведом. 2021-2023'!AD457</f>
        <v>26952.799999999999</v>
      </c>
      <c r="G862" s="475"/>
      <c r="H862" s="475">
        <f>'ведом. 2021-2023'!AE457</f>
        <v>22482.799999999999</v>
      </c>
      <c r="I862" s="475"/>
      <c r="J862" s="475">
        <f>'ведом. 2021-2023'!AF457</f>
        <v>22482.799999999999</v>
      </c>
      <c r="K862" s="475"/>
      <c r="L862" s="465"/>
      <c r="N862" s="465"/>
      <c r="O862" s="465"/>
    </row>
    <row r="863" spans="1:15" s="513" customFormat="1" ht="63" x14ac:dyDescent="0.25">
      <c r="A863" s="519" t="s">
        <v>2475</v>
      </c>
      <c r="B863" s="235" t="s">
        <v>290</v>
      </c>
      <c r="C863" s="235" t="s">
        <v>566</v>
      </c>
      <c r="D863" s="442" t="s">
        <v>2476</v>
      </c>
      <c r="E863" s="238"/>
      <c r="F863" s="292">
        <f>F864</f>
        <v>383.1</v>
      </c>
      <c r="G863" s="292">
        <f t="shared" ref="G863:J863" si="196">G864</f>
        <v>314.10000000000002</v>
      </c>
      <c r="H863" s="292">
        <f t="shared" si="196"/>
        <v>0</v>
      </c>
      <c r="I863" s="292"/>
      <c r="J863" s="292">
        <f t="shared" si="196"/>
        <v>0</v>
      </c>
      <c r="K863" s="475"/>
      <c r="L863" s="465"/>
      <c r="N863" s="465"/>
      <c r="O863" s="465"/>
    </row>
    <row r="864" spans="1:15" s="513" customFormat="1" ht="31.5" x14ac:dyDescent="0.25">
      <c r="A864" s="519" t="s">
        <v>1342</v>
      </c>
      <c r="B864" s="235" t="s">
        <v>290</v>
      </c>
      <c r="C864" s="235" t="s">
        <v>566</v>
      </c>
      <c r="D864" s="442" t="s">
        <v>2476</v>
      </c>
      <c r="E864" s="238">
        <v>600</v>
      </c>
      <c r="F864" s="292">
        <f>F865</f>
        <v>383.1</v>
      </c>
      <c r="G864" s="292">
        <f t="shared" ref="G864:J864" si="197">G865</f>
        <v>314.10000000000002</v>
      </c>
      <c r="H864" s="292">
        <f t="shared" si="197"/>
        <v>0</v>
      </c>
      <c r="I864" s="292"/>
      <c r="J864" s="292">
        <f t="shared" si="197"/>
        <v>0</v>
      </c>
      <c r="K864" s="475"/>
      <c r="L864" s="465"/>
      <c r="N864" s="465"/>
      <c r="O864" s="465"/>
    </row>
    <row r="865" spans="1:15" s="513" customFormat="1" x14ac:dyDescent="0.25">
      <c r="A865" s="519" t="s">
        <v>1343</v>
      </c>
      <c r="B865" s="235" t="s">
        <v>290</v>
      </c>
      <c r="C865" s="235" t="s">
        <v>566</v>
      </c>
      <c r="D865" s="442" t="s">
        <v>2476</v>
      </c>
      <c r="E865" s="238">
        <v>610</v>
      </c>
      <c r="F865" s="292">
        <f>'ведом. 2021-2023'!AD460</f>
        <v>383.1</v>
      </c>
      <c r="G865" s="475">
        <v>314.10000000000002</v>
      </c>
      <c r="H865" s="475">
        <f>'ведом. 2021-2023'!AE460</f>
        <v>0</v>
      </c>
      <c r="I865" s="475"/>
      <c r="J865" s="475">
        <f>'ведом. 2021-2023'!AF460</f>
        <v>0</v>
      </c>
      <c r="K865" s="475"/>
      <c r="L865" s="465"/>
      <c r="N865" s="465"/>
      <c r="O865" s="465"/>
    </row>
    <row r="866" spans="1:15" s="441" customFormat="1" ht="31.5" x14ac:dyDescent="0.25">
      <c r="A866" s="520" t="s">
        <v>2338</v>
      </c>
      <c r="B866" s="613" t="s">
        <v>290</v>
      </c>
      <c r="C866" s="235" t="s">
        <v>566</v>
      </c>
      <c r="D866" s="442" t="s">
        <v>2006</v>
      </c>
      <c r="E866" s="238"/>
      <c r="F866" s="292">
        <f>F867+F877</f>
        <v>66528.600000000006</v>
      </c>
      <c r="G866" s="475"/>
      <c r="H866" s="475">
        <f>H867+H877</f>
        <v>50320.7</v>
      </c>
      <c r="I866" s="475"/>
      <c r="J866" s="475">
        <f>J867+J877</f>
        <v>50320.7</v>
      </c>
      <c r="K866" s="475"/>
      <c r="L866" s="465"/>
      <c r="N866" s="465"/>
      <c r="O866" s="465"/>
    </row>
    <row r="867" spans="1:15" s="441" customFormat="1" ht="31.5" x14ac:dyDescent="0.25">
      <c r="A867" s="520" t="s">
        <v>2339</v>
      </c>
      <c r="B867" s="613" t="s">
        <v>290</v>
      </c>
      <c r="C867" s="235" t="s">
        <v>566</v>
      </c>
      <c r="D867" s="442" t="s">
        <v>2007</v>
      </c>
      <c r="E867" s="238"/>
      <c r="F867" s="292">
        <f>F868</f>
        <v>11163.1</v>
      </c>
      <c r="G867" s="475"/>
      <c r="H867" s="475">
        <f>H868</f>
        <v>3635.2</v>
      </c>
      <c r="I867" s="475"/>
      <c r="J867" s="475">
        <f>J868</f>
        <v>3635.2</v>
      </c>
      <c r="K867" s="475"/>
      <c r="L867" s="465"/>
      <c r="N867" s="465"/>
      <c r="O867" s="465"/>
    </row>
    <row r="868" spans="1:15" s="441" customFormat="1" x14ac:dyDescent="0.25">
      <c r="A868" s="559" t="s">
        <v>2008</v>
      </c>
      <c r="B868" s="613" t="s">
        <v>290</v>
      </c>
      <c r="C868" s="235" t="s">
        <v>566</v>
      </c>
      <c r="D868" s="442" t="s">
        <v>2009</v>
      </c>
      <c r="E868" s="238"/>
      <c r="F868" s="292">
        <f>F869+F874</f>
        <v>11163.1</v>
      </c>
      <c r="G868" s="475"/>
      <c r="H868" s="475">
        <f>H869+H874</f>
        <v>3635.2</v>
      </c>
      <c r="I868" s="475"/>
      <c r="J868" s="475">
        <f>J869+J874</f>
        <v>3635.2</v>
      </c>
      <c r="K868" s="475"/>
      <c r="L868" s="465"/>
      <c r="N868" s="465"/>
      <c r="O868" s="465"/>
    </row>
    <row r="869" spans="1:15" s="441" customFormat="1" ht="31.5" x14ac:dyDescent="0.25">
      <c r="A869" s="523" t="s">
        <v>2010</v>
      </c>
      <c r="B869" s="613" t="s">
        <v>290</v>
      </c>
      <c r="C869" s="235" t="s">
        <v>566</v>
      </c>
      <c r="D869" s="442" t="s">
        <v>2011</v>
      </c>
      <c r="E869" s="238"/>
      <c r="F869" s="292">
        <f>F872+F870</f>
        <v>10217.9</v>
      </c>
      <c r="G869" s="475"/>
      <c r="H869" s="475">
        <f>H872+H870</f>
        <v>3200</v>
      </c>
      <c r="I869" s="475"/>
      <c r="J869" s="475">
        <f>J872+J870</f>
        <v>3200</v>
      </c>
      <c r="K869" s="475"/>
      <c r="L869" s="465"/>
      <c r="N869" s="465"/>
      <c r="O869" s="465"/>
    </row>
    <row r="870" spans="1:15" s="513" customFormat="1" x14ac:dyDescent="0.25">
      <c r="A870" s="523" t="s">
        <v>1781</v>
      </c>
      <c r="B870" s="613" t="s">
        <v>290</v>
      </c>
      <c r="C870" s="235" t="s">
        <v>566</v>
      </c>
      <c r="D870" s="442" t="s">
        <v>2011</v>
      </c>
      <c r="E870" s="238">
        <v>200</v>
      </c>
      <c r="F870" s="292">
        <f>F871</f>
        <v>1540.9</v>
      </c>
      <c r="G870" s="475"/>
      <c r="H870" s="475">
        <f>H871</f>
        <v>500</v>
      </c>
      <c r="I870" s="475"/>
      <c r="J870" s="475">
        <f>J871</f>
        <v>500</v>
      </c>
      <c r="K870" s="475"/>
      <c r="L870" s="465"/>
      <c r="N870" s="465"/>
      <c r="O870" s="465"/>
    </row>
    <row r="871" spans="1:15" s="513" customFormat="1" ht="31.5" x14ac:dyDescent="0.25">
      <c r="A871" s="523" t="s">
        <v>1273</v>
      </c>
      <c r="B871" s="613" t="s">
        <v>290</v>
      </c>
      <c r="C871" s="235" t="s">
        <v>566</v>
      </c>
      <c r="D871" s="442" t="s">
        <v>2011</v>
      </c>
      <c r="E871" s="238">
        <v>240</v>
      </c>
      <c r="F871" s="292">
        <f>'ведом. 2021-2023'!AD466+'ведом. 2021-2023'!AD597+'ведом. 2021-2023'!AD1111</f>
        <v>1540.9</v>
      </c>
      <c r="G871" s="475"/>
      <c r="H871" s="475">
        <f>'ведом. 2021-2023'!AE466</f>
        <v>500</v>
      </c>
      <c r="I871" s="475"/>
      <c r="J871" s="475">
        <f>'ведом. 2021-2023'!AF466</f>
        <v>500</v>
      </c>
      <c r="K871" s="475"/>
      <c r="L871" s="465"/>
      <c r="N871" s="465"/>
      <c r="O871" s="465"/>
    </row>
    <row r="872" spans="1:15" s="441" customFormat="1" ht="31.5" x14ac:dyDescent="0.25">
      <c r="A872" s="523" t="s">
        <v>1342</v>
      </c>
      <c r="B872" s="613" t="s">
        <v>290</v>
      </c>
      <c r="C872" s="235" t="s">
        <v>566</v>
      </c>
      <c r="D872" s="442" t="s">
        <v>2011</v>
      </c>
      <c r="E872" s="238">
        <v>600</v>
      </c>
      <c r="F872" s="292">
        <f>F873</f>
        <v>8677</v>
      </c>
      <c r="G872" s="475"/>
      <c r="H872" s="475">
        <f>H873</f>
        <v>2700</v>
      </c>
      <c r="I872" s="475"/>
      <c r="J872" s="475">
        <f>J873</f>
        <v>2700</v>
      </c>
      <c r="K872" s="475"/>
      <c r="L872" s="465"/>
      <c r="N872" s="465"/>
      <c r="O872" s="465"/>
    </row>
    <row r="873" spans="1:15" s="441" customFormat="1" x14ac:dyDescent="0.25">
      <c r="A873" s="523" t="s">
        <v>1343</v>
      </c>
      <c r="B873" s="613" t="s">
        <v>290</v>
      </c>
      <c r="C873" s="235" t="s">
        <v>566</v>
      </c>
      <c r="D873" s="442" t="s">
        <v>2011</v>
      </c>
      <c r="E873" s="238">
        <v>610</v>
      </c>
      <c r="F873" s="292">
        <f>'ведом. 2021-2023'!AD468+'ведом. 2021-2023'!AD883</f>
        <v>8677</v>
      </c>
      <c r="G873" s="475"/>
      <c r="H873" s="475">
        <f>'ведом. 2021-2023'!AE468</f>
        <v>2700</v>
      </c>
      <c r="I873" s="475"/>
      <c r="J873" s="475">
        <f>'ведом. 2021-2023'!AF468</f>
        <v>2700</v>
      </c>
      <c r="K873" s="475"/>
      <c r="L873" s="465"/>
      <c r="N873" s="465"/>
      <c r="O873" s="465"/>
    </row>
    <row r="874" spans="1:15" s="441" customFormat="1" ht="31.5" x14ac:dyDescent="0.25">
      <c r="A874" s="523" t="s">
        <v>2012</v>
      </c>
      <c r="B874" s="613" t="s">
        <v>290</v>
      </c>
      <c r="C874" s="235" t="s">
        <v>566</v>
      </c>
      <c r="D874" s="442" t="s">
        <v>2013</v>
      </c>
      <c r="E874" s="238"/>
      <c r="F874" s="292">
        <f>F875</f>
        <v>945.2</v>
      </c>
      <c r="G874" s="475"/>
      <c r="H874" s="475">
        <f>H875</f>
        <v>435.2</v>
      </c>
      <c r="I874" s="475"/>
      <c r="J874" s="475">
        <f>J875</f>
        <v>435.2</v>
      </c>
      <c r="K874" s="475"/>
      <c r="L874" s="465"/>
      <c r="N874" s="465"/>
      <c r="O874" s="465"/>
    </row>
    <row r="875" spans="1:15" s="441" customFormat="1" ht="31.5" x14ac:dyDescent="0.25">
      <c r="A875" s="523" t="s">
        <v>1342</v>
      </c>
      <c r="B875" s="613" t="s">
        <v>290</v>
      </c>
      <c r="C875" s="235" t="s">
        <v>566</v>
      </c>
      <c r="D875" s="442" t="s">
        <v>2013</v>
      </c>
      <c r="E875" s="238">
        <v>600</v>
      </c>
      <c r="F875" s="292">
        <f>F876</f>
        <v>945.2</v>
      </c>
      <c r="G875" s="475"/>
      <c r="H875" s="475">
        <f>H876</f>
        <v>435.2</v>
      </c>
      <c r="I875" s="475"/>
      <c r="J875" s="475">
        <f>J876</f>
        <v>435.2</v>
      </c>
      <c r="K875" s="475"/>
      <c r="L875" s="465"/>
      <c r="N875" s="465"/>
      <c r="O875" s="465"/>
    </row>
    <row r="876" spans="1:15" s="441" customFormat="1" x14ac:dyDescent="0.25">
      <c r="A876" s="523" t="s">
        <v>1343</v>
      </c>
      <c r="B876" s="613" t="s">
        <v>290</v>
      </c>
      <c r="C876" s="235" t="s">
        <v>566</v>
      </c>
      <c r="D876" s="442" t="s">
        <v>2013</v>
      </c>
      <c r="E876" s="238">
        <v>610</v>
      </c>
      <c r="F876" s="292">
        <f>'ведом. 2021-2023'!AD471</f>
        <v>945.2</v>
      </c>
      <c r="G876" s="475"/>
      <c r="H876" s="475">
        <f>'ведом. 2021-2023'!AE471</f>
        <v>435.2</v>
      </c>
      <c r="I876" s="475"/>
      <c r="J876" s="475">
        <f>'ведом. 2021-2023'!AF471</f>
        <v>435.2</v>
      </c>
      <c r="K876" s="475"/>
      <c r="L876" s="465"/>
      <c r="N876" s="465"/>
      <c r="O876" s="465"/>
    </row>
    <row r="877" spans="1:15" s="441" customFormat="1" x14ac:dyDescent="0.25">
      <c r="A877" s="520" t="s">
        <v>2250</v>
      </c>
      <c r="B877" s="613" t="s">
        <v>290</v>
      </c>
      <c r="C877" s="235" t="s">
        <v>566</v>
      </c>
      <c r="D877" s="442" t="s">
        <v>2249</v>
      </c>
      <c r="E877" s="238"/>
      <c r="F877" s="292">
        <f>F878</f>
        <v>55365.5</v>
      </c>
      <c r="G877" s="475"/>
      <c r="H877" s="475">
        <f>H878</f>
        <v>46685.5</v>
      </c>
      <c r="I877" s="475"/>
      <c r="J877" s="475">
        <f>J878</f>
        <v>46685.5</v>
      </c>
      <c r="K877" s="475"/>
      <c r="L877" s="465"/>
      <c r="N877" s="465"/>
      <c r="O877" s="465"/>
    </row>
    <row r="878" spans="1:15" s="441" customFormat="1" ht="31.5" x14ac:dyDescent="0.25">
      <c r="A878" s="521" t="s">
        <v>2251</v>
      </c>
      <c r="B878" s="613" t="s">
        <v>290</v>
      </c>
      <c r="C878" s="235" t="s">
        <v>566</v>
      </c>
      <c r="D878" s="442" t="s">
        <v>2252</v>
      </c>
      <c r="E878" s="238"/>
      <c r="F878" s="292">
        <f>F879+F882</f>
        <v>55365.5</v>
      </c>
      <c r="G878" s="475"/>
      <c r="H878" s="475">
        <f>H879+H882</f>
        <v>46685.5</v>
      </c>
      <c r="I878" s="475"/>
      <c r="J878" s="475">
        <f>J879+J882</f>
        <v>46685.5</v>
      </c>
      <c r="K878" s="475"/>
      <c r="L878" s="465"/>
      <c r="N878" s="465"/>
      <c r="O878" s="465"/>
    </row>
    <row r="879" spans="1:15" s="630" customFormat="1" ht="47.25" x14ac:dyDescent="0.25">
      <c r="A879" s="634" t="str">
        <f>'ведом. 2021-2023'!X474</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879" s="635" t="str">
        <f>'ведом. 2021-2023'!Z474</f>
        <v>08</v>
      </c>
      <c r="C879" s="625" t="str">
        <f>'ведом. 2021-2023'!AA474</f>
        <v>01</v>
      </c>
      <c r="D879" s="708" t="str">
        <f>'ведом. 2021-2023'!AB474</f>
        <v>02 4 05 06111</v>
      </c>
      <c r="E879" s="631"/>
      <c r="F879" s="737">
        <f t="shared" ref="F879:J880" si="198">F880</f>
        <v>30030.3</v>
      </c>
      <c r="G879" s="621"/>
      <c r="H879" s="621">
        <f t="shared" si="198"/>
        <v>25630.3</v>
      </c>
      <c r="I879" s="621"/>
      <c r="J879" s="621">
        <f t="shared" si="198"/>
        <v>25630.3</v>
      </c>
      <c r="K879" s="621"/>
      <c r="L879" s="629"/>
      <c r="N879" s="629"/>
      <c r="O879" s="629"/>
    </row>
    <row r="880" spans="1:15" s="630" customFormat="1" ht="31.5" x14ac:dyDescent="0.25">
      <c r="A880" s="634" t="str">
        <f>'ведом. 2021-2023'!X475</f>
        <v>Предоставление субсидий бюджетным, автономным учреждениям и иным некоммерческим организациям</v>
      </c>
      <c r="B880" s="635" t="str">
        <f>'ведом. 2021-2023'!Z475</f>
        <v>08</v>
      </c>
      <c r="C880" s="625" t="str">
        <f>'ведом. 2021-2023'!AA475</f>
        <v>01</v>
      </c>
      <c r="D880" s="708" t="str">
        <f>'ведом. 2021-2023'!AB475</f>
        <v>02 4 05 06111</v>
      </c>
      <c r="E880" s="631">
        <f>'ведом. 2021-2023'!AC475</f>
        <v>600</v>
      </c>
      <c r="F880" s="737">
        <f t="shared" si="198"/>
        <v>30030.3</v>
      </c>
      <c r="G880" s="621"/>
      <c r="H880" s="621">
        <f t="shared" si="198"/>
        <v>25630.3</v>
      </c>
      <c r="I880" s="621"/>
      <c r="J880" s="621">
        <f t="shared" si="198"/>
        <v>25630.3</v>
      </c>
      <c r="K880" s="621"/>
      <c r="L880" s="629"/>
      <c r="N880" s="629"/>
      <c r="O880" s="629"/>
    </row>
    <row r="881" spans="1:15" s="630" customFormat="1" x14ac:dyDescent="0.25">
      <c r="A881" s="634" t="str">
        <f>'ведом. 2021-2023'!X476</f>
        <v>Субсидии бюджетным учреждениям</v>
      </c>
      <c r="B881" s="635" t="str">
        <f>'ведом. 2021-2023'!Z476</f>
        <v>08</v>
      </c>
      <c r="C881" s="625" t="str">
        <f>'ведом. 2021-2023'!AA476</f>
        <v>01</v>
      </c>
      <c r="D881" s="708" t="str">
        <f>'ведом. 2021-2023'!AB476</f>
        <v>02 4 05 06111</v>
      </c>
      <c r="E881" s="631">
        <f>'ведом. 2021-2023'!AC476</f>
        <v>610</v>
      </c>
      <c r="F881" s="737">
        <f>'ведом. 2021-2023'!AD476</f>
        <v>30030.3</v>
      </c>
      <c r="G881" s="621"/>
      <c r="H881" s="621">
        <f>'ведом. 2021-2023'!AE476</f>
        <v>25630.3</v>
      </c>
      <c r="I881" s="621"/>
      <c r="J881" s="621">
        <f>'ведом. 2021-2023'!AF476</f>
        <v>25630.3</v>
      </c>
      <c r="K881" s="621"/>
      <c r="L881" s="629"/>
      <c r="N881" s="629"/>
      <c r="O881" s="629"/>
    </row>
    <row r="882" spans="1:15" s="630" customFormat="1" ht="47.25" x14ac:dyDescent="0.25">
      <c r="A882" s="634" t="str">
        <f>'ведом. 2021-2023'!X477</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882" s="635" t="str">
        <f>'ведом. 2021-2023'!Z477</f>
        <v>08</v>
      </c>
      <c r="C882" s="625" t="str">
        <f>'ведом. 2021-2023'!AA477</f>
        <v>01</v>
      </c>
      <c r="D882" s="708" t="str">
        <f>'ведом. 2021-2023'!AB477</f>
        <v>02 4 05 06112</v>
      </c>
      <c r="E882" s="631"/>
      <c r="F882" s="737">
        <f>F883</f>
        <v>25335.200000000001</v>
      </c>
      <c r="G882" s="621"/>
      <c r="H882" s="621">
        <f>H883</f>
        <v>21055.200000000001</v>
      </c>
      <c r="I882" s="621"/>
      <c r="J882" s="621">
        <f>J883</f>
        <v>21055.200000000001</v>
      </c>
      <c r="K882" s="621"/>
      <c r="L882" s="629"/>
      <c r="N882" s="629"/>
      <c r="O882" s="629"/>
    </row>
    <row r="883" spans="1:15" s="630" customFormat="1" ht="31.5" x14ac:dyDescent="0.25">
      <c r="A883" s="634" t="str">
        <f>'ведом. 2021-2023'!X478</f>
        <v>Предоставление субсидий бюджетным, автономным учреждениям и иным некоммерческим организациям</v>
      </c>
      <c r="B883" s="635" t="str">
        <f>'ведом. 2021-2023'!Z478</f>
        <v>08</v>
      </c>
      <c r="C883" s="625" t="str">
        <f>'ведом. 2021-2023'!AA478</f>
        <v>01</v>
      </c>
      <c r="D883" s="708" t="str">
        <f>'ведом. 2021-2023'!AB478</f>
        <v>02 4 05 06112</v>
      </c>
      <c r="E883" s="631">
        <f>'ведом. 2021-2023'!AC478</f>
        <v>600</v>
      </c>
      <c r="F883" s="737">
        <f>F884</f>
        <v>25335.200000000001</v>
      </c>
      <c r="G883" s="621"/>
      <c r="H883" s="621">
        <f>H884</f>
        <v>21055.200000000001</v>
      </c>
      <c r="I883" s="621"/>
      <c r="J883" s="621">
        <f>J884</f>
        <v>21055.200000000001</v>
      </c>
      <c r="K883" s="621"/>
      <c r="L883" s="629"/>
      <c r="N883" s="629"/>
      <c r="O883" s="629"/>
    </row>
    <row r="884" spans="1:15" s="630" customFormat="1" x14ac:dyDescent="0.25">
      <c r="A884" s="634" t="str">
        <f>'ведом. 2021-2023'!X479</f>
        <v>Субсидии бюджетным учреждениям</v>
      </c>
      <c r="B884" s="635" t="str">
        <f>'ведом. 2021-2023'!Z479</f>
        <v>08</v>
      </c>
      <c r="C884" s="625" t="str">
        <f>'ведом. 2021-2023'!AA479</f>
        <v>01</v>
      </c>
      <c r="D884" s="708" t="str">
        <f>'ведом. 2021-2023'!AB479</f>
        <v>02 4 05 06112</v>
      </c>
      <c r="E884" s="631">
        <f>'ведом. 2021-2023'!AC479</f>
        <v>610</v>
      </c>
      <c r="F884" s="737">
        <f>'ведом. 2021-2023'!AD479</f>
        <v>25335.200000000001</v>
      </c>
      <c r="G884" s="621"/>
      <c r="H884" s="621">
        <f>'ведом. 2021-2023'!AE479</f>
        <v>21055.200000000001</v>
      </c>
      <c r="I884" s="621"/>
      <c r="J884" s="621">
        <f>'ведом. 2021-2023'!AF479</f>
        <v>21055.200000000001</v>
      </c>
      <c r="K884" s="621"/>
      <c r="L884" s="629"/>
      <c r="N884" s="629"/>
      <c r="O884" s="629"/>
    </row>
    <row r="885" spans="1:15" s="441" customFormat="1" x14ac:dyDescent="0.25">
      <c r="A885" s="548" t="s">
        <v>2074</v>
      </c>
      <c r="B885" s="613" t="s">
        <v>290</v>
      </c>
      <c r="C885" s="235" t="s">
        <v>566</v>
      </c>
      <c r="D885" s="442" t="s">
        <v>1768</v>
      </c>
      <c r="E885" s="238"/>
      <c r="F885" s="292">
        <f t="shared" ref="F885:H889" si="199">F886</f>
        <v>854</v>
      </c>
      <c r="G885" s="475">
        <f t="shared" si="199"/>
        <v>597.79999999999995</v>
      </c>
      <c r="H885" s="475">
        <f t="shared" si="199"/>
        <v>0</v>
      </c>
      <c r="I885" s="475"/>
      <c r="J885" s="475">
        <v>0</v>
      </c>
      <c r="K885" s="475"/>
      <c r="L885" s="465"/>
      <c r="N885" s="465"/>
      <c r="O885" s="465"/>
    </row>
    <row r="886" spans="1:15" s="441" customFormat="1" x14ac:dyDescent="0.25">
      <c r="A886" s="519" t="s">
        <v>2220</v>
      </c>
      <c r="B886" s="613" t="s">
        <v>290</v>
      </c>
      <c r="C886" s="235" t="s">
        <v>566</v>
      </c>
      <c r="D886" s="442" t="s">
        <v>1769</v>
      </c>
      <c r="E886" s="238"/>
      <c r="F886" s="292">
        <f t="shared" si="199"/>
        <v>854</v>
      </c>
      <c r="G886" s="475">
        <f t="shared" si="199"/>
        <v>597.79999999999995</v>
      </c>
      <c r="H886" s="475">
        <f t="shared" si="199"/>
        <v>0</v>
      </c>
      <c r="I886" s="475"/>
      <c r="J886" s="475">
        <v>0</v>
      </c>
      <c r="K886" s="475"/>
      <c r="L886" s="465"/>
      <c r="N886" s="465"/>
      <c r="O886" s="465"/>
    </row>
    <row r="887" spans="1:15" s="441" customFormat="1" ht="31.5" x14ac:dyDescent="0.25">
      <c r="A887" s="525" t="s">
        <v>2259</v>
      </c>
      <c r="B887" s="613" t="s">
        <v>290</v>
      </c>
      <c r="C887" s="235" t="s">
        <v>566</v>
      </c>
      <c r="D887" s="442" t="s">
        <v>2101</v>
      </c>
      <c r="E887" s="238"/>
      <c r="F887" s="292">
        <f t="shared" si="199"/>
        <v>854</v>
      </c>
      <c r="G887" s="475">
        <f t="shared" si="199"/>
        <v>597.79999999999995</v>
      </c>
      <c r="H887" s="475">
        <f t="shared" si="199"/>
        <v>0</v>
      </c>
      <c r="I887" s="475"/>
      <c r="J887" s="475">
        <v>0</v>
      </c>
      <c r="K887" s="475"/>
      <c r="L887" s="465"/>
      <c r="N887" s="465"/>
      <c r="O887" s="465"/>
    </row>
    <row r="888" spans="1:15" s="441" customFormat="1" ht="47.25" x14ac:dyDescent="0.25">
      <c r="A888" s="519" t="s">
        <v>2260</v>
      </c>
      <c r="B888" s="613" t="s">
        <v>290</v>
      </c>
      <c r="C888" s="235" t="s">
        <v>566</v>
      </c>
      <c r="D888" s="442" t="s">
        <v>2221</v>
      </c>
      <c r="E888" s="238"/>
      <c r="F888" s="292">
        <f t="shared" si="199"/>
        <v>854</v>
      </c>
      <c r="G888" s="475">
        <f t="shared" si="199"/>
        <v>597.79999999999995</v>
      </c>
      <c r="H888" s="475">
        <f t="shared" si="199"/>
        <v>0</v>
      </c>
      <c r="I888" s="475"/>
      <c r="J888" s="475">
        <v>0</v>
      </c>
      <c r="K888" s="475"/>
      <c r="L888" s="465"/>
      <c r="N888" s="465"/>
      <c r="O888" s="465"/>
    </row>
    <row r="889" spans="1:15" s="441" customFormat="1" ht="31.5" x14ac:dyDescent="0.25">
      <c r="A889" s="519" t="s">
        <v>1342</v>
      </c>
      <c r="B889" s="613" t="s">
        <v>290</v>
      </c>
      <c r="C889" s="235" t="s">
        <v>566</v>
      </c>
      <c r="D889" s="442" t="s">
        <v>2221</v>
      </c>
      <c r="E889" s="238">
        <v>600</v>
      </c>
      <c r="F889" s="292">
        <f t="shared" si="199"/>
        <v>854</v>
      </c>
      <c r="G889" s="475">
        <f t="shared" si="199"/>
        <v>597.79999999999995</v>
      </c>
      <c r="H889" s="475">
        <f t="shared" si="199"/>
        <v>0</v>
      </c>
      <c r="I889" s="475"/>
      <c r="J889" s="475">
        <v>0</v>
      </c>
      <c r="K889" s="475"/>
      <c r="L889" s="465"/>
      <c r="N889" s="465"/>
      <c r="O889" s="465"/>
    </row>
    <row r="890" spans="1:15" s="441" customFormat="1" x14ac:dyDescent="0.25">
      <c r="A890" s="560" t="s">
        <v>1343</v>
      </c>
      <c r="B890" s="613" t="s">
        <v>290</v>
      </c>
      <c r="C890" s="235" t="s">
        <v>566</v>
      </c>
      <c r="D890" s="442" t="s">
        <v>2221</v>
      </c>
      <c r="E890" s="238">
        <v>610</v>
      </c>
      <c r="F890" s="292">
        <f>'ведом. 2021-2023'!AD485</f>
        <v>854</v>
      </c>
      <c r="G890" s="475">
        <v>597.79999999999995</v>
      </c>
      <c r="H890" s="475">
        <f>'ведом. 2021-2023'!AE485</f>
        <v>0</v>
      </c>
      <c r="I890" s="475"/>
      <c r="J890" s="475">
        <f>'ведом. 2021-2023'!AF485</f>
        <v>0</v>
      </c>
      <c r="K890" s="475"/>
      <c r="L890" s="465"/>
      <c r="N890" s="465"/>
      <c r="O890" s="465"/>
    </row>
    <row r="891" spans="1:15" s="513" customFormat="1" ht="31.5" x14ac:dyDescent="0.25">
      <c r="A891" s="548" t="s">
        <v>1853</v>
      </c>
      <c r="B891" s="613" t="s">
        <v>290</v>
      </c>
      <c r="C891" s="235" t="s">
        <v>566</v>
      </c>
      <c r="D891" s="467" t="s">
        <v>1761</v>
      </c>
      <c r="E891" s="238"/>
      <c r="F891" s="292">
        <f>F898+F892</f>
        <v>1346.1000000000001</v>
      </c>
      <c r="G891" s="292"/>
      <c r="H891" s="292">
        <f t="shared" ref="H891:J891" si="200">H898+H892</f>
        <v>0</v>
      </c>
      <c r="I891" s="292"/>
      <c r="J891" s="292">
        <f t="shared" si="200"/>
        <v>0</v>
      </c>
      <c r="K891" s="475"/>
      <c r="L891" s="465"/>
      <c r="N891" s="465"/>
      <c r="O891" s="465"/>
    </row>
    <row r="892" spans="1:15" s="513" customFormat="1" x14ac:dyDescent="0.25">
      <c r="A892" s="548" t="s">
        <v>1854</v>
      </c>
      <c r="B892" s="235" t="s">
        <v>290</v>
      </c>
      <c r="C892" s="235" t="s">
        <v>566</v>
      </c>
      <c r="D892" s="249" t="s">
        <v>1765</v>
      </c>
      <c r="E892" s="579"/>
      <c r="F892" s="292">
        <f>F893</f>
        <v>129</v>
      </c>
      <c r="G892" s="292"/>
      <c r="H892" s="292">
        <f t="shared" ref="H892:J892" si="201">H893</f>
        <v>0</v>
      </c>
      <c r="I892" s="292"/>
      <c r="J892" s="292">
        <f t="shared" si="201"/>
        <v>0</v>
      </c>
      <c r="K892" s="475"/>
      <c r="L892" s="465"/>
      <c r="N892" s="465"/>
      <c r="O892" s="465"/>
    </row>
    <row r="893" spans="1:15" s="513" customFormat="1" ht="47.25" x14ac:dyDescent="0.25">
      <c r="A893" s="514" t="s">
        <v>2253</v>
      </c>
      <c r="B893" s="235" t="s">
        <v>290</v>
      </c>
      <c r="C893" s="235" t="s">
        <v>566</v>
      </c>
      <c r="D893" s="442" t="s">
        <v>1785</v>
      </c>
      <c r="E893" s="579"/>
      <c r="F893" s="292">
        <f>F894</f>
        <v>129</v>
      </c>
      <c r="G893" s="292"/>
      <c r="H893" s="292">
        <f t="shared" ref="H893:J893" si="202">H894</f>
        <v>0</v>
      </c>
      <c r="I893" s="292"/>
      <c r="J893" s="292">
        <f t="shared" si="202"/>
        <v>0</v>
      </c>
      <c r="K893" s="475"/>
      <c r="L893" s="465"/>
      <c r="N893" s="465"/>
      <c r="O893" s="465"/>
    </row>
    <row r="894" spans="1:15" s="513" customFormat="1" ht="47.25" x14ac:dyDescent="0.25">
      <c r="A894" s="548" t="s">
        <v>1855</v>
      </c>
      <c r="B894" s="235" t="s">
        <v>290</v>
      </c>
      <c r="C894" s="235" t="s">
        <v>566</v>
      </c>
      <c r="D894" s="442" t="s">
        <v>1856</v>
      </c>
      <c r="E894" s="579"/>
      <c r="F894" s="292">
        <f>F895</f>
        <v>129</v>
      </c>
      <c r="G894" s="292"/>
      <c r="H894" s="292">
        <f t="shared" ref="H894:J894" si="203">H895</f>
        <v>0</v>
      </c>
      <c r="I894" s="292"/>
      <c r="J894" s="292">
        <f t="shared" si="203"/>
        <v>0</v>
      </c>
      <c r="K894" s="475"/>
      <c r="L894" s="465"/>
      <c r="N894" s="465"/>
      <c r="O894" s="465"/>
    </row>
    <row r="895" spans="1:15" s="513" customFormat="1" ht="63" x14ac:dyDescent="0.25">
      <c r="A895" s="524" t="s">
        <v>2248</v>
      </c>
      <c r="B895" s="235" t="s">
        <v>290</v>
      </c>
      <c r="C895" s="235" t="s">
        <v>566</v>
      </c>
      <c r="D895" s="442" t="s">
        <v>1857</v>
      </c>
      <c r="E895" s="579"/>
      <c r="F895" s="292">
        <f>F896</f>
        <v>129</v>
      </c>
      <c r="G895" s="292"/>
      <c r="H895" s="292">
        <f t="shared" ref="H895:J895" si="204">H896</f>
        <v>0</v>
      </c>
      <c r="I895" s="292"/>
      <c r="J895" s="292">
        <f t="shared" si="204"/>
        <v>0</v>
      </c>
      <c r="K895" s="475"/>
      <c r="L895" s="465"/>
      <c r="N895" s="465"/>
      <c r="O895" s="465"/>
    </row>
    <row r="896" spans="1:15" s="513" customFormat="1" ht="31.5" x14ac:dyDescent="0.25">
      <c r="A896" s="519" t="s">
        <v>1342</v>
      </c>
      <c r="B896" s="235" t="s">
        <v>290</v>
      </c>
      <c r="C896" s="235" t="s">
        <v>566</v>
      </c>
      <c r="D896" s="442" t="s">
        <v>1857</v>
      </c>
      <c r="E896" s="238">
        <v>600</v>
      </c>
      <c r="F896" s="292">
        <f>F897</f>
        <v>129</v>
      </c>
      <c r="G896" s="292"/>
      <c r="H896" s="292">
        <f t="shared" ref="H896:J896" si="205">H897</f>
        <v>0</v>
      </c>
      <c r="I896" s="292"/>
      <c r="J896" s="292">
        <f t="shared" si="205"/>
        <v>0</v>
      </c>
      <c r="K896" s="475"/>
      <c r="L896" s="465"/>
      <c r="N896" s="465"/>
      <c r="O896" s="465"/>
    </row>
    <row r="897" spans="1:15" s="513" customFormat="1" x14ac:dyDescent="0.25">
      <c r="A897" s="519" t="s">
        <v>1343</v>
      </c>
      <c r="B897" s="235" t="s">
        <v>290</v>
      </c>
      <c r="C897" s="235" t="s">
        <v>566</v>
      </c>
      <c r="D897" s="442" t="s">
        <v>1857</v>
      </c>
      <c r="E897" s="238">
        <v>610</v>
      </c>
      <c r="F897" s="292">
        <f>'ведом. 2021-2023'!AD492</f>
        <v>129</v>
      </c>
      <c r="G897" s="475"/>
      <c r="H897" s="475">
        <f>'ведом. 2021-2023'!AE492</f>
        <v>0</v>
      </c>
      <c r="I897" s="475"/>
      <c r="J897" s="475">
        <f>'ведом. 2021-2023'!AF492</f>
        <v>0</v>
      </c>
      <c r="K897" s="475"/>
      <c r="L897" s="465"/>
      <c r="N897" s="465"/>
      <c r="O897" s="465"/>
    </row>
    <row r="898" spans="1:15" s="513" customFormat="1" ht="31.5" x14ac:dyDescent="0.25">
      <c r="A898" s="548" t="s">
        <v>2275</v>
      </c>
      <c r="B898" s="613" t="s">
        <v>290</v>
      </c>
      <c r="C898" s="235" t="s">
        <v>566</v>
      </c>
      <c r="D898" s="467" t="s">
        <v>1763</v>
      </c>
      <c r="E898" s="238"/>
      <c r="F898" s="292">
        <f>F899</f>
        <v>1217.1000000000001</v>
      </c>
      <c r="G898" s="292"/>
      <c r="H898" s="292">
        <f t="shared" ref="H898:J898" si="206">H899</f>
        <v>0</v>
      </c>
      <c r="I898" s="292"/>
      <c r="J898" s="292">
        <f t="shared" si="206"/>
        <v>0</v>
      </c>
      <c r="K898" s="475"/>
      <c r="L898" s="465"/>
      <c r="N898" s="465"/>
      <c r="O898" s="465"/>
    </row>
    <row r="899" spans="1:15" s="513" customFormat="1" x14ac:dyDescent="0.25">
      <c r="A899" s="529" t="s">
        <v>1880</v>
      </c>
      <c r="B899" s="613" t="s">
        <v>290</v>
      </c>
      <c r="C899" s="235" t="s">
        <v>566</v>
      </c>
      <c r="D899" s="467" t="s">
        <v>1789</v>
      </c>
      <c r="E899" s="238"/>
      <c r="F899" s="292">
        <f>F900</f>
        <v>1217.1000000000001</v>
      </c>
      <c r="G899" s="475"/>
      <c r="H899" s="475">
        <f>H900</f>
        <v>0</v>
      </c>
      <c r="I899" s="475"/>
      <c r="J899" s="475">
        <f>J900</f>
        <v>0</v>
      </c>
      <c r="K899" s="475"/>
      <c r="L899" s="465"/>
      <c r="N899" s="465"/>
      <c r="O899" s="465"/>
    </row>
    <row r="900" spans="1:15" s="513" customFormat="1" x14ac:dyDescent="0.25">
      <c r="A900" s="519" t="s">
        <v>1876</v>
      </c>
      <c r="B900" s="613" t="s">
        <v>290</v>
      </c>
      <c r="C900" s="235" t="s">
        <v>566</v>
      </c>
      <c r="D900" s="467" t="s">
        <v>1877</v>
      </c>
      <c r="E900" s="238"/>
      <c r="F900" s="292">
        <f>F901</f>
        <v>1217.1000000000001</v>
      </c>
      <c r="G900" s="475"/>
      <c r="H900" s="475">
        <f>H901</f>
        <v>0</v>
      </c>
      <c r="I900" s="475"/>
      <c r="J900" s="475">
        <f>J901</f>
        <v>0</v>
      </c>
      <c r="K900" s="475"/>
      <c r="L900" s="465"/>
      <c r="N900" s="465"/>
      <c r="O900" s="465"/>
    </row>
    <row r="901" spans="1:15" s="513" customFormat="1" ht="31.5" x14ac:dyDescent="0.25">
      <c r="A901" s="519" t="s">
        <v>1342</v>
      </c>
      <c r="B901" s="613" t="s">
        <v>290</v>
      </c>
      <c r="C901" s="235" t="s">
        <v>566</v>
      </c>
      <c r="D901" s="467" t="s">
        <v>1877</v>
      </c>
      <c r="E901" s="238">
        <v>600</v>
      </c>
      <c r="F901" s="292">
        <f>F902</f>
        <v>1217.1000000000001</v>
      </c>
      <c r="G901" s="475"/>
      <c r="H901" s="475">
        <f>H902</f>
        <v>0</v>
      </c>
      <c r="I901" s="475"/>
      <c r="J901" s="475">
        <f>J902</f>
        <v>0</v>
      </c>
      <c r="K901" s="475"/>
      <c r="L901" s="465"/>
      <c r="N901" s="465"/>
      <c r="O901" s="465"/>
    </row>
    <row r="902" spans="1:15" s="513" customFormat="1" x14ac:dyDescent="0.25">
      <c r="A902" s="519" t="s">
        <v>1343</v>
      </c>
      <c r="B902" s="613" t="s">
        <v>290</v>
      </c>
      <c r="C902" s="235" t="s">
        <v>566</v>
      </c>
      <c r="D902" s="467" t="s">
        <v>1877</v>
      </c>
      <c r="E902" s="238">
        <v>610</v>
      </c>
      <c r="F902" s="292">
        <f>'ведом. 2021-2023'!AD497</f>
        <v>1217.1000000000001</v>
      </c>
      <c r="G902" s="475"/>
      <c r="H902" s="475">
        <f>'ведом. 2021-2023'!AE497</f>
        <v>0</v>
      </c>
      <c r="I902" s="475"/>
      <c r="J902" s="475">
        <f>'ведом. 2021-2023'!AF497</f>
        <v>0</v>
      </c>
      <c r="K902" s="475"/>
      <c r="L902" s="465"/>
      <c r="N902" s="465"/>
      <c r="O902" s="465"/>
    </row>
    <row r="903" spans="1:15" s="441" customFormat="1" x14ac:dyDescent="0.25">
      <c r="A903" s="607" t="s">
        <v>759</v>
      </c>
      <c r="B903" s="574" t="s">
        <v>406</v>
      </c>
      <c r="C903" s="235"/>
      <c r="D903" s="249"/>
      <c r="E903" s="238"/>
      <c r="F903" s="733">
        <f t="shared" ref="F903:J904" si="207">F904</f>
        <v>4880</v>
      </c>
      <c r="G903" s="478"/>
      <c r="H903" s="478">
        <f t="shared" si="207"/>
        <v>3780</v>
      </c>
      <c r="I903" s="478"/>
      <c r="J903" s="478">
        <f t="shared" si="207"/>
        <v>3780</v>
      </c>
      <c r="K903" s="478"/>
      <c r="L903" s="465"/>
      <c r="N903" s="465"/>
      <c r="O903" s="465"/>
    </row>
    <row r="904" spans="1:15" s="441" customFormat="1" x14ac:dyDescent="0.25">
      <c r="A904" s="523" t="s">
        <v>1803</v>
      </c>
      <c r="B904" s="246" t="s">
        <v>406</v>
      </c>
      <c r="C904" s="235" t="s">
        <v>406</v>
      </c>
      <c r="D904" s="249"/>
      <c r="E904" s="238"/>
      <c r="F904" s="292">
        <f t="shared" si="207"/>
        <v>4880</v>
      </c>
      <c r="G904" s="475"/>
      <c r="H904" s="475">
        <f t="shared" si="207"/>
        <v>3780</v>
      </c>
      <c r="I904" s="475"/>
      <c r="J904" s="475">
        <f t="shared" si="207"/>
        <v>3780</v>
      </c>
      <c r="K904" s="475"/>
      <c r="L904" s="465"/>
      <c r="N904" s="465"/>
      <c r="O904" s="465"/>
    </row>
    <row r="905" spans="1:15" s="441" customFormat="1" x14ac:dyDescent="0.25">
      <c r="A905" s="520" t="s">
        <v>1840</v>
      </c>
      <c r="B905" s="613" t="s">
        <v>406</v>
      </c>
      <c r="C905" s="235" t="s">
        <v>406</v>
      </c>
      <c r="D905" s="249" t="s">
        <v>1757</v>
      </c>
      <c r="E905" s="238"/>
      <c r="F905" s="292">
        <f>F906</f>
        <v>4880</v>
      </c>
      <c r="G905" s="475"/>
      <c r="H905" s="475">
        <f>H906</f>
        <v>3780</v>
      </c>
      <c r="I905" s="475"/>
      <c r="J905" s="475">
        <f>J906</f>
        <v>3780</v>
      </c>
      <c r="K905" s="475"/>
      <c r="L905" s="465"/>
      <c r="N905" s="465"/>
      <c r="O905" s="465"/>
    </row>
    <row r="906" spans="1:15" s="441" customFormat="1" x14ac:dyDescent="0.25">
      <c r="A906" s="520" t="s">
        <v>1841</v>
      </c>
      <c r="B906" s="613" t="s">
        <v>406</v>
      </c>
      <c r="C906" s="235" t="s">
        <v>406</v>
      </c>
      <c r="D906" s="442" t="s">
        <v>1758</v>
      </c>
      <c r="E906" s="238"/>
      <c r="F906" s="292">
        <f>F907</f>
        <v>4880</v>
      </c>
      <c r="G906" s="475"/>
      <c r="H906" s="475">
        <f>H907</f>
        <v>3780</v>
      </c>
      <c r="I906" s="475"/>
      <c r="J906" s="475">
        <f>J907</f>
        <v>3780</v>
      </c>
      <c r="K906" s="475"/>
      <c r="L906" s="465"/>
      <c r="N906" s="465"/>
      <c r="O906" s="465"/>
    </row>
    <row r="907" spans="1:15" s="441" customFormat="1" x14ac:dyDescent="0.25">
      <c r="A907" s="520" t="s">
        <v>1842</v>
      </c>
      <c r="B907" s="613" t="s">
        <v>406</v>
      </c>
      <c r="C907" s="235" t="s">
        <v>406</v>
      </c>
      <c r="D907" s="442" t="s">
        <v>1843</v>
      </c>
      <c r="E907" s="238"/>
      <c r="F907" s="292">
        <f>F908</f>
        <v>4880</v>
      </c>
      <c r="G907" s="475"/>
      <c r="H907" s="475">
        <f>H908</f>
        <v>3780</v>
      </c>
      <c r="I907" s="475"/>
      <c r="J907" s="475">
        <f>J908</f>
        <v>3780</v>
      </c>
      <c r="K907" s="475"/>
      <c r="L907" s="465"/>
      <c r="N907" s="465"/>
      <c r="O907" s="465"/>
    </row>
    <row r="908" spans="1:15" s="441" customFormat="1" ht="47.25" x14ac:dyDescent="0.25">
      <c r="A908" s="528" t="s">
        <v>1844</v>
      </c>
      <c r="B908" s="613" t="s">
        <v>406</v>
      </c>
      <c r="C908" s="235" t="s">
        <v>406</v>
      </c>
      <c r="D908" s="442" t="s">
        <v>1845</v>
      </c>
      <c r="E908" s="238"/>
      <c r="F908" s="292">
        <f t="shared" ref="F908:J909" si="208">F909</f>
        <v>4880</v>
      </c>
      <c r="G908" s="475"/>
      <c r="H908" s="475">
        <f t="shared" si="208"/>
        <v>3780</v>
      </c>
      <c r="I908" s="475"/>
      <c r="J908" s="475">
        <f t="shared" si="208"/>
        <v>3780</v>
      </c>
      <c r="K908" s="475"/>
      <c r="L908" s="465"/>
      <c r="N908" s="465"/>
      <c r="O908" s="465"/>
    </row>
    <row r="909" spans="1:15" s="441" customFormat="1" x14ac:dyDescent="0.25">
      <c r="A909" s="523" t="s">
        <v>1754</v>
      </c>
      <c r="B909" s="613" t="s">
        <v>406</v>
      </c>
      <c r="C909" s="235" t="s">
        <v>406</v>
      </c>
      <c r="D909" s="442" t="s">
        <v>1845</v>
      </c>
      <c r="E909" s="238">
        <v>300</v>
      </c>
      <c r="F909" s="292">
        <f t="shared" si="208"/>
        <v>4880</v>
      </c>
      <c r="G909" s="475"/>
      <c r="H909" s="475">
        <f t="shared" si="208"/>
        <v>3780</v>
      </c>
      <c r="I909" s="475"/>
      <c r="J909" s="475">
        <f t="shared" si="208"/>
        <v>3780</v>
      </c>
      <c r="K909" s="475"/>
      <c r="L909" s="465"/>
      <c r="N909" s="465"/>
      <c r="O909" s="465"/>
    </row>
    <row r="910" spans="1:15" s="441" customFormat="1" x14ac:dyDescent="0.25">
      <c r="A910" s="519" t="s">
        <v>868</v>
      </c>
      <c r="B910" s="613" t="s">
        <v>406</v>
      </c>
      <c r="C910" s="235" t="s">
        <v>406</v>
      </c>
      <c r="D910" s="442" t="s">
        <v>1845</v>
      </c>
      <c r="E910" s="238">
        <v>320</v>
      </c>
      <c r="F910" s="292">
        <f>'ведом. 2021-2023'!AD505</f>
        <v>4880</v>
      </c>
      <c r="G910" s="475"/>
      <c r="H910" s="475">
        <f>'ведом. 2021-2023'!AE505</f>
        <v>3780</v>
      </c>
      <c r="I910" s="475"/>
      <c r="J910" s="475">
        <f>'ведом. 2021-2023'!AF505</f>
        <v>3780</v>
      </c>
      <c r="K910" s="475"/>
      <c r="L910" s="465"/>
      <c r="N910" s="465"/>
      <c r="O910" s="465"/>
    </row>
    <row r="911" spans="1:15" s="441" customFormat="1" x14ac:dyDescent="0.25">
      <c r="A911" s="607" t="s">
        <v>1745</v>
      </c>
      <c r="B911" s="615" t="s">
        <v>768</v>
      </c>
      <c r="C911" s="248"/>
      <c r="D911" s="271"/>
      <c r="E911" s="575"/>
      <c r="F911" s="733">
        <f t="shared" ref="F911:K911" si="209">F912+F919+F928+F951</f>
        <v>104814.1</v>
      </c>
      <c r="G911" s="478">
        <f t="shared" si="209"/>
        <v>91240.5</v>
      </c>
      <c r="H911" s="478">
        <f t="shared" si="209"/>
        <v>74725.600000000006</v>
      </c>
      <c r="I911" s="478">
        <f t="shared" si="209"/>
        <v>62660</v>
      </c>
      <c r="J911" s="478">
        <f t="shared" si="209"/>
        <v>65553.600000000006</v>
      </c>
      <c r="K911" s="478">
        <f t="shared" si="209"/>
        <v>53478</v>
      </c>
      <c r="L911" s="465"/>
      <c r="N911" s="465"/>
      <c r="O911" s="465"/>
    </row>
    <row r="912" spans="1:15" s="441" customFormat="1" x14ac:dyDescent="0.25">
      <c r="A912" s="523" t="s">
        <v>1312</v>
      </c>
      <c r="B912" s="613">
        <v>10</v>
      </c>
      <c r="C912" s="235" t="s">
        <v>566</v>
      </c>
      <c r="D912" s="249"/>
      <c r="E912" s="588"/>
      <c r="F912" s="292">
        <f>F913</f>
        <v>7652.8000000000011</v>
      </c>
      <c r="G912" s="475"/>
      <c r="H912" s="475">
        <f>H913</f>
        <v>7648.6000000000013</v>
      </c>
      <c r="I912" s="475"/>
      <c r="J912" s="475">
        <f>J913</f>
        <v>7648.6000000000013</v>
      </c>
      <c r="K912" s="475"/>
      <c r="L912" s="465"/>
      <c r="N912" s="465"/>
      <c r="O912" s="465"/>
    </row>
    <row r="913" spans="1:15" s="441" customFormat="1" x14ac:dyDescent="0.25">
      <c r="A913" s="520" t="s">
        <v>2074</v>
      </c>
      <c r="B913" s="613">
        <v>10</v>
      </c>
      <c r="C913" s="235" t="s">
        <v>566</v>
      </c>
      <c r="D913" s="442" t="s">
        <v>1768</v>
      </c>
      <c r="E913" s="588"/>
      <c r="F913" s="292">
        <f>F915</f>
        <v>7652.8000000000011</v>
      </c>
      <c r="G913" s="475"/>
      <c r="H913" s="475">
        <f>H915</f>
        <v>7648.6000000000013</v>
      </c>
      <c r="I913" s="475"/>
      <c r="J913" s="475">
        <f>J915</f>
        <v>7648.6000000000013</v>
      </c>
      <c r="K913" s="475"/>
      <c r="L913" s="465"/>
      <c r="N913" s="465"/>
      <c r="O913" s="465"/>
    </row>
    <row r="914" spans="1:15" s="513" customFormat="1" x14ac:dyDescent="0.25">
      <c r="A914" s="524" t="s">
        <v>2075</v>
      </c>
      <c r="B914" s="613">
        <v>10</v>
      </c>
      <c r="C914" s="235" t="s">
        <v>566</v>
      </c>
      <c r="D914" s="442" t="s">
        <v>1779</v>
      </c>
      <c r="E914" s="588"/>
      <c r="F914" s="292">
        <f>F915</f>
        <v>7652.8000000000011</v>
      </c>
      <c r="G914" s="475"/>
      <c r="H914" s="475">
        <f>H915</f>
        <v>7648.6000000000013</v>
      </c>
      <c r="I914" s="475"/>
      <c r="J914" s="475">
        <f>J915</f>
        <v>7648.6000000000013</v>
      </c>
      <c r="K914" s="475"/>
      <c r="L914" s="465"/>
      <c r="N914" s="465"/>
      <c r="O914" s="465"/>
    </row>
    <row r="915" spans="1:15" s="441" customFormat="1" ht="31.5" x14ac:dyDescent="0.25">
      <c r="A915" s="520" t="s">
        <v>2081</v>
      </c>
      <c r="B915" s="613">
        <v>10</v>
      </c>
      <c r="C915" s="235" t="s">
        <v>566</v>
      </c>
      <c r="D915" s="442" t="s">
        <v>2082</v>
      </c>
      <c r="E915" s="588"/>
      <c r="F915" s="292">
        <f>F918</f>
        <v>7652.8000000000011</v>
      </c>
      <c r="G915" s="475"/>
      <c r="H915" s="475">
        <f>H918</f>
        <v>7648.6000000000013</v>
      </c>
      <c r="I915" s="475"/>
      <c r="J915" s="475">
        <f>J918</f>
        <v>7648.6000000000013</v>
      </c>
      <c r="K915" s="475"/>
      <c r="L915" s="465"/>
      <c r="N915" s="465"/>
      <c r="O915" s="465"/>
    </row>
    <row r="916" spans="1:15" s="441" customFormat="1" ht="31.5" x14ac:dyDescent="0.25">
      <c r="A916" s="521" t="s">
        <v>2083</v>
      </c>
      <c r="B916" s="613">
        <v>10</v>
      </c>
      <c r="C916" s="235" t="s">
        <v>566</v>
      </c>
      <c r="D916" s="442" t="s">
        <v>2084</v>
      </c>
      <c r="E916" s="588"/>
      <c r="F916" s="292">
        <f>F917</f>
        <v>7652.8000000000011</v>
      </c>
      <c r="G916" s="475"/>
      <c r="H916" s="475">
        <f>H917</f>
        <v>7648.6000000000013</v>
      </c>
      <c r="I916" s="475"/>
      <c r="J916" s="475">
        <f>J917</f>
        <v>7648.6000000000013</v>
      </c>
      <c r="K916" s="475"/>
      <c r="L916" s="465"/>
      <c r="N916" s="465"/>
      <c r="O916" s="465"/>
    </row>
    <row r="917" spans="1:15" s="441" customFormat="1" x14ac:dyDescent="0.25">
      <c r="A917" s="523" t="s">
        <v>1754</v>
      </c>
      <c r="B917" s="613">
        <v>10</v>
      </c>
      <c r="C917" s="235" t="s">
        <v>566</v>
      </c>
      <c r="D917" s="442" t="s">
        <v>2084</v>
      </c>
      <c r="E917" s="238">
        <v>300</v>
      </c>
      <c r="F917" s="292">
        <f>F918</f>
        <v>7652.8000000000011</v>
      </c>
      <c r="G917" s="475"/>
      <c r="H917" s="475">
        <f>H918</f>
        <v>7648.6000000000013</v>
      </c>
      <c r="I917" s="475"/>
      <c r="J917" s="475">
        <f>J918</f>
        <v>7648.6000000000013</v>
      </c>
      <c r="K917" s="475"/>
      <c r="L917" s="465"/>
      <c r="N917" s="465"/>
      <c r="O917" s="465"/>
    </row>
    <row r="918" spans="1:15" s="441" customFormat="1" x14ac:dyDescent="0.25">
      <c r="A918" s="523" t="s">
        <v>868</v>
      </c>
      <c r="B918" s="613">
        <v>10</v>
      </c>
      <c r="C918" s="235" t="s">
        <v>566</v>
      </c>
      <c r="D918" s="442" t="s">
        <v>2084</v>
      </c>
      <c r="E918" s="238">
        <v>320</v>
      </c>
      <c r="F918" s="292">
        <f>'ведом. 2021-2023'!AD1119+'ведом. 2021-2023'!AD513+'ведом. 2021-2023'!AD605+'ведом. 2021-2023'!AD643+'ведом. 2021-2023'!AD697+'ведом. 2021-2023'!AD891+'ведом. 2021-2023'!AD1185+'ведом. 2021-2023'!AD1213</f>
        <v>7652.8000000000011</v>
      </c>
      <c r="G918" s="475"/>
      <c r="H918" s="475">
        <f>'ведом. 2021-2023'!AE1119+'ведом. 2021-2023'!AE513+'ведом. 2021-2023'!AE605+'ведом. 2021-2023'!AE643+'ведом. 2021-2023'!AE697+'ведом. 2021-2023'!AE891+'ведом. 2021-2023'!AE1185+'ведом. 2021-2023'!AE1213</f>
        <v>7648.6000000000013</v>
      </c>
      <c r="I918" s="475"/>
      <c r="J918" s="475">
        <f>'ведом. 2021-2023'!AF1119+'ведом. 2021-2023'!AF513+'ведом. 2021-2023'!AF605+'ведом. 2021-2023'!AF643+'ведом. 2021-2023'!AF697+'ведом. 2021-2023'!AF891+'ведом. 2021-2023'!AF1185+'ведом. 2021-2023'!AF1213</f>
        <v>7648.6000000000013</v>
      </c>
      <c r="K918" s="475"/>
      <c r="L918" s="465"/>
      <c r="N918" s="465"/>
      <c r="O918" s="465"/>
    </row>
    <row r="919" spans="1:15" s="441" customFormat="1" x14ac:dyDescent="0.25">
      <c r="A919" s="523" t="s">
        <v>1322</v>
      </c>
      <c r="B919" s="613">
        <v>10</v>
      </c>
      <c r="C919" s="235" t="s">
        <v>193</v>
      </c>
      <c r="D919" s="442"/>
      <c r="E919" s="238"/>
      <c r="F919" s="292">
        <f t="shared" ref="F919:K919" si="210">F920</f>
        <v>19062</v>
      </c>
      <c r="G919" s="475">
        <f t="shared" si="210"/>
        <v>19062</v>
      </c>
      <c r="H919" s="475">
        <f t="shared" si="210"/>
        <v>19747</v>
      </c>
      <c r="I919" s="475">
        <f t="shared" si="210"/>
        <v>19747</v>
      </c>
      <c r="J919" s="475">
        <f t="shared" si="210"/>
        <v>20478</v>
      </c>
      <c r="K919" s="475">
        <f t="shared" si="210"/>
        <v>20478</v>
      </c>
      <c r="L919" s="465"/>
      <c r="N919" s="465"/>
      <c r="O919" s="465"/>
    </row>
    <row r="920" spans="1:15" s="441" customFormat="1" x14ac:dyDescent="0.25">
      <c r="A920" s="520" t="s">
        <v>2074</v>
      </c>
      <c r="B920" s="613">
        <v>10</v>
      </c>
      <c r="C920" s="235" t="s">
        <v>193</v>
      </c>
      <c r="D920" s="442" t="s">
        <v>1768</v>
      </c>
      <c r="E920" s="238"/>
      <c r="F920" s="292">
        <f t="shared" ref="F920:K924" si="211">F921</f>
        <v>19062</v>
      </c>
      <c r="G920" s="475">
        <f t="shared" si="211"/>
        <v>19062</v>
      </c>
      <c r="H920" s="475">
        <f t="shared" si="211"/>
        <v>19747</v>
      </c>
      <c r="I920" s="475">
        <f t="shared" si="211"/>
        <v>19747</v>
      </c>
      <c r="J920" s="475">
        <f t="shared" si="211"/>
        <v>20478</v>
      </c>
      <c r="K920" s="475">
        <f t="shared" si="211"/>
        <v>20478</v>
      </c>
      <c r="L920" s="465"/>
      <c r="N920" s="465"/>
      <c r="O920" s="465"/>
    </row>
    <row r="921" spans="1:15" s="441" customFormat="1" x14ac:dyDescent="0.25">
      <c r="A921" s="520" t="s">
        <v>2075</v>
      </c>
      <c r="B921" s="613">
        <v>10</v>
      </c>
      <c r="C921" s="235" t="s">
        <v>193</v>
      </c>
      <c r="D921" s="442" t="s">
        <v>1779</v>
      </c>
      <c r="E921" s="238"/>
      <c r="F921" s="292">
        <f>F922</f>
        <v>19062</v>
      </c>
      <c r="G921" s="475">
        <f t="shared" si="211"/>
        <v>19062</v>
      </c>
      <c r="H921" s="475">
        <f t="shared" si="211"/>
        <v>19747</v>
      </c>
      <c r="I921" s="475">
        <f t="shared" si="211"/>
        <v>19747</v>
      </c>
      <c r="J921" s="475">
        <f t="shared" si="211"/>
        <v>20478</v>
      </c>
      <c r="K921" s="475">
        <f t="shared" si="211"/>
        <v>20478</v>
      </c>
      <c r="L921" s="465"/>
      <c r="N921" s="465"/>
      <c r="O921" s="465"/>
    </row>
    <row r="922" spans="1:15" s="441" customFormat="1" ht="47.25" x14ac:dyDescent="0.25">
      <c r="A922" s="520" t="s">
        <v>2076</v>
      </c>
      <c r="B922" s="613">
        <v>10</v>
      </c>
      <c r="C922" s="235" t="s">
        <v>193</v>
      </c>
      <c r="D922" s="442" t="s">
        <v>2077</v>
      </c>
      <c r="E922" s="238"/>
      <c r="F922" s="292">
        <f t="shared" si="211"/>
        <v>19062</v>
      </c>
      <c r="G922" s="475">
        <f t="shared" si="211"/>
        <v>19062</v>
      </c>
      <c r="H922" s="475">
        <f t="shared" si="211"/>
        <v>19747</v>
      </c>
      <c r="I922" s="475">
        <f t="shared" si="211"/>
        <v>19747</v>
      </c>
      <c r="J922" s="475">
        <f t="shared" si="211"/>
        <v>20478</v>
      </c>
      <c r="K922" s="475">
        <f t="shared" si="211"/>
        <v>20478</v>
      </c>
      <c r="L922" s="465"/>
      <c r="N922" s="465"/>
      <c r="O922" s="465"/>
    </row>
    <row r="923" spans="1:15" s="441" customFormat="1" x14ac:dyDescent="0.25">
      <c r="A923" s="528" t="s">
        <v>1783</v>
      </c>
      <c r="B923" s="613">
        <v>10</v>
      </c>
      <c r="C923" s="235" t="s">
        <v>193</v>
      </c>
      <c r="D923" s="442" t="s">
        <v>2078</v>
      </c>
      <c r="E923" s="238"/>
      <c r="F923" s="292">
        <f t="shared" ref="F923:K923" si="212">F924+F926</f>
        <v>19062</v>
      </c>
      <c r="G923" s="475">
        <f t="shared" si="212"/>
        <v>19062</v>
      </c>
      <c r="H923" s="475">
        <f t="shared" si="212"/>
        <v>19747</v>
      </c>
      <c r="I923" s="475">
        <f t="shared" si="212"/>
        <v>19747</v>
      </c>
      <c r="J923" s="475">
        <f t="shared" si="212"/>
        <v>20478</v>
      </c>
      <c r="K923" s="475">
        <f t="shared" si="212"/>
        <v>20478</v>
      </c>
      <c r="L923" s="465"/>
      <c r="N923" s="465"/>
      <c r="O923" s="465"/>
    </row>
    <row r="924" spans="1:15" s="441" customFormat="1" x14ac:dyDescent="0.25">
      <c r="A924" s="523" t="s">
        <v>1781</v>
      </c>
      <c r="B924" s="613">
        <v>10</v>
      </c>
      <c r="C924" s="235" t="s">
        <v>193</v>
      </c>
      <c r="D924" s="442" t="s">
        <v>2078</v>
      </c>
      <c r="E924" s="238">
        <v>200</v>
      </c>
      <c r="F924" s="292">
        <f t="shared" si="211"/>
        <v>153.5</v>
      </c>
      <c r="G924" s="475">
        <f t="shared" si="211"/>
        <v>153.5</v>
      </c>
      <c r="H924" s="475">
        <f t="shared" si="211"/>
        <v>167</v>
      </c>
      <c r="I924" s="475">
        <f t="shared" si="211"/>
        <v>167</v>
      </c>
      <c r="J924" s="475">
        <f t="shared" si="211"/>
        <v>170</v>
      </c>
      <c r="K924" s="475">
        <f t="shared" si="211"/>
        <v>170</v>
      </c>
      <c r="L924" s="465"/>
      <c r="N924" s="465"/>
      <c r="O924" s="465"/>
    </row>
    <row r="925" spans="1:15" s="441" customFormat="1" ht="31.5" x14ac:dyDescent="0.25">
      <c r="A925" s="523" t="s">
        <v>1273</v>
      </c>
      <c r="B925" s="613">
        <v>10</v>
      </c>
      <c r="C925" s="235" t="s">
        <v>193</v>
      </c>
      <c r="D925" s="442" t="s">
        <v>2078</v>
      </c>
      <c r="E925" s="238">
        <v>240</v>
      </c>
      <c r="F925" s="292">
        <f>'ведом. 2021-2023'!AD1126</f>
        <v>153.5</v>
      </c>
      <c r="G925" s="475">
        <f>F925</f>
        <v>153.5</v>
      </c>
      <c r="H925" s="475">
        <f>'ведом. 2021-2023'!AE1126</f>
        <v>167</v>
      </c>
      <c r="I925" s="475">
        <f>H925</f>
        <v>167</v>
      </c>
      <c r="J925" s="475">
        <f>'ведом. 2021-2023'!AF1126</f>
        <v>170</v>
      </c>
      <c r="K925" s="475">
        <f>J925</f>
        <v>170</v>
      </c>
      <c r="L925" s="465"/>
      <c r="N925" s="465"/>
      <c r="O925" s="465"/>
    </row>
    <row r="926" spans="1:15" s="441" customFormat="1" x14ac:dyDescent="0.25">
      <c r="A926" s="523" t="s">
        <v>1754</v>
      </c>
      <c r="B926" s="613">
        <v>10</v>
      </c>
      <c r="C926" s="235" t="s">
        <v>193</v>
      </c>
      <c r="D926" s="442" t="s">
        <v>2078</v>
      </c>
      <c r="E926" s="238">
        <v>300</v>
      </c>
      <c r="F926" s="292">
        <f t="shared" ref="F926:K926" si="213">F927</f>
        <v>18908.5</v>
      </c>
      <c r="G926" s="475">
        <f t="shared" si="213"/>
        <v>18908.5</v>
      </c>
      <c r="H926" s="475">
        <f t="shared" si="213"/>
        <v>19580</v>
      </c>
      <c r="I926" s="475">
        <f t="shared" si="213"/>
        <v>19580</v>
      </c>
      <c r="J926" s="475">
        <f t="shared" si="213"/>
        <v>20308</v>
      </c>
      <c r="K926" s="475">
        <f t="shared" si="213"/>
        <v>20308</v>
      </c>
      <c r="L926" s="465"/>
      <c r="N926" s="465"/>
      <c r="O926" s="465"/>
    </row>
    <row r="927" spans="1:15" s="441" customFormat="1" x14ac:dyDescent="0.25">
      <c r="A927" s="523" t="s">
        <v>1804</v>
      </c>
      <c r="B927" s="613">
        <v>10</v>
      </c>
      <c r="C927" s="235" t="s">
        <v>193</v>
      </c>
      <c r="D927" s="442" t="s">
        <v>2078</v>
      </c>
      <c r="E927" s="238">
        <v>310</v>
      </c>
      <c r="F927" s="292">
        <f>'ведом. 2021-2023'!AD1128</f>
        <v>18908.5</v>
      </c>
      <c r="G927" s="475">
        <f>F927</f>
        <v>18908.5</v>
      </c>
      <c r="H927" s="475">
        <f>'ведом. 2021-2023'!AE1128</f>
        <v>19580</v>
      </c>
      <c r="I927" s="475">
        <f>H927</f>
        <v>19580</v>
      </c>
      <c r="J927" s="475">
        <f>'ведом. 2021-2023'!AF1128</f>
        <v>20308</v>
      </c>
      <c r="K927" s="475">
        <f>J927</f>
        <v>20308</v>
      </c>
      <c r="L927" s="465"/>
      <c r="N927" s="465"/>
      <c r="O927" s="465"/>
    </row>
    <row r="928" spans="1:15" s="441" customFormat="1" x14ac:dyDescent="0.25">
      <c r="A928" s="523" t="s">
        <v>605</v>
      </c>
      <c r="B928" s="613">
        <v>10</v>
      </c>
      <c r="C928" s="235" t="s">
        <v>1181</v>
      </c>
      <c r="D928" s="249"/>
      <c r="E928" s="238"/>
      <c r="F928" s="292">
        <f t="shared" ref="F928:K928" si="214">F929+F937</f>
        <v>77959.3</v>
      </c>
      <c r="G928" s="475">
        <f t="shared" si="214"/>
        <v>72178.5</v>
      </c>
      <c r="H928" s="475">
        <f t="shared" si="214"/>
        <v>47190</v>
      </c>
      <c r="I928" s="475">
        <f t="shared" si="214"/>
        <v>42913</v>
      </c>
      <c r="J928" s="475">
        <f t="shared" si="214"/>
        <v>37287</v>
      </c>
      <c r="K928" s="475">
        <f t="shared" si="214"/>
        <v>33000</v>
      </c>
      <c r="L928" s="465"/>
      <c r="N928" s="465"/>
      <c r="O928" s="465"/>
    </row>
    <row r="929" spans="1:15" s="441" customFormat="1" x14ac:dyDescent="0.25">
      <c r="A929" s="605" t="s">
        <v>2021</v>
      </c>
      <c r="B929" s="613">
        <v>10</v>
      </c>
      <c r="C929" s="235" t="s">
        <v>1181</v>
      </c>
      <c r="D929" s="249" t="s">
        <v>1759</v>
      </c>
      <c r="E929" s="238"/>
      <c r="F929" s="292">
        <f t="shared" ref="F929:K929" si="215">F930</f>
        <v>17818</v>
      </c>
      <c r="G929" s="475">
        <f t="shared" si="215"/>
        <v>17818</v>
      </c>
      <c r="H929" s="475">
        <f t="shared" si="215"/>
        <v>17818</v>
      </c>
      <c r="I929" s="475">
        <f t="shared" si="215"/>
        <v>17818</v>
      </c>
      <c r="J929" s="475">
        <f t="shared" si="215"/>
        <v>17818</v>
      </c>
      <c r="K929" s="475">
        <f t="shared" si="215"/>
        <v>17818</v>
      </c>
      <c r="L929" s="465"/>
      <c r="N929" s="465"/>
      <c r="O929" s="465"/>
    </row>
    <row r="930" spans="1:15" s="441" customFormat="1" x14ac:dyDescent="0.25">
      <c r="A930" s="520" t="s">
        <v>2022</v>
      </c>
      <c r="B930" s="613">
        <v>10</v>
      </c>
      <c r="C930" s="235" t="s">
        <v>1181</v>
      </c>
      <c r="D930" s="249" t="s">
        <v>1777</v>
      </c>
      <c r="E930" s="238"/>
      <c r="F930" s="292">
        <f t="shared" ref="F930:K931" si="216">F931</f>
        <v>17818</v>
      </c>
      <c r="G930" s="475">
        <f t="shared" si="216"/>
        <v>17818</v>
      </c>
      <c r="H930" s="475">
        <f t="shared" si="216"/>
        <v>17818</v>
      </c>
      <c r="I930" s="475">
        <f>I931</f>
        <v>17818</v>
      </c>
      <c r="J930" s="475">
        <f t="shared" si="216"/>
        <v>17818</v>
      </c>
      <c r="K930" s="475">
        <f t="shared" si="216"/>
        <v>17818</v>
      </c>
      <c r="L930" s="465"/>
      <c r="N930" s="465"/>
      <c r="O930" s="465"/>
    </row>
    <row r="931" spans="1:15" s="441" customFormat="1" ht="31.5" x14ac:dyDescent="0.25">
      <c r="A931" s="520" t="s">
        <v>2023</v>
      </c>
      <c r="B931" s="613">
        <v>10</v>
      </c>
      <c r="C931" s="235" t="s">
        <v>1181</v>
      </c>
      <c r="D931" s="442" t="s">
        <v>1791</v>
      </c>
      <c r="E931" s="238"/>
      <c r="F931" s="292">
        <f t="shared" si="216"/>
        <v>17818</v>
      </c>
      <c r="G931" s="475">
        <f t="shared" si="216"/>
        <v>17818</v>
      </c>
      <c r="H931" s="475">
        <f t="shared" si="216"/>
        <v>17818</v>
      </c>
      <c r="I931" s="475">
        <f t="shared" si="216"/>
        <v>17818</v>
      </c>
      <c r="J931" s="475">
        <f t="shared" si="216"/>
        <v>17818</v>
      </c>
      <c r="K931" s="475">
        <f t="shared" si="216"/>
        <v>17818</v>
      </c>
      <c r="L931" s="465"/>
      <c r="N931" s="465"/>
      <c r="O931" s="465"/>
    </row>
    <row r="932" spans="1:15" s="441" customFormat="1" ht="47.25" x14ac:dyDescent="0.25">
      <c r="A932" s="521" t="s">
        <v>2025</v>
      </c>
      <c r="B932" s="613">
        <v>10</v>
      </c>
      <c r="C932" s="235" t="s">
        <v>1181</v>
      </c>
      <c r="D932" s="442" t="s">
        <v>2165</v>
      </c>
      <c r="E932" s="238"/>
      <c r="F932" s="292">
        <f t="shared" ref="F932:K932" si="217">F935+F933</f>
        <v>17818</v>
      </c>
      <c r="G932" s="475">
        <f t="shared" si="217"/>
        <v>17818</v>
      </c>
      <c r="H932" s="475">
        <f t="shared" si="217"/>
        <v>17818</v>
      </c>
      <c r="I932" s="475">
        <f t="shared" si="217"/>
        <v>17818</v>
      </c>
      <c r="J932" s="475">
        <f t="shared" si="217"/>
        <v>17818</v>
      </c>
      <c r="K932" s="475">
        <f t="shared" si="217"/>
        <v>17818</v>
      </c>
      <c r="L932" s="465"/>
      <c r="N932" s="465"/>
      <c r="O932" s="465"/>
    </row>
    <row r="933" spans="1:15" s="441" customFormat="1" x14ac:dyDescent="0.25">
      <c r="A933" s="523" t="s">
        <v>1781</v>
      </c>
      <c r="B933" s="613">
        <v>10</v>
      </c>
      <c r="C933" s="235" t="s">
        <v>1181</v>
      </c>
      <c r="D933" s="442" t="s">
        <v>2165</v>
      </c>
      <c r="E933" s="238">
        <v>200</v>
      </c>
      <c r="F933" s="292">
        <f t="shared" ref="F933:K933" si="218">F934</f>
        <v>176</v>
      </c>
      <c r="G933" s="475">
        <f t="shared" si="218"/>
        <v>176</v>
      </c>
      <c r="H933" s="475">
        <f t="shared" si="218"/>
        <v>176</v>
      </c>
      <c r="I933" s="475">
        <f t="shared" si="218"/>
        <v>176</v>
      </c>
      <c r="J933" s="475">
        <f t="shared" si="218"/>
        <v>176</v>
      </c>
      <c r="K933" s="475">
        <f t="shared" si="218"/>
        <v>176</v>
      </c>
      <c r="L933" s="465"/>
      <c r="N933" s="465"/>
      <c r="O933" s="465"/>
    </row>
    <row r="934" spans="1:15" s="441" customFormat="1" ht="31.5" x14ac:dyDescent="0.25">
      <c r="A934" s="523" t="s">
        <v>1273</v>
      </c>
      <c r="B934" s="613">
        <v>10</v>
      </c>
      <c r="C934" s="235" t="s">
        <v>1181</v>
      </c>
      <c r="D934" s="442" t="s">
        <v>2165</v>
      </c>
      <c r="E934" s="238">
        <v>240</v>
      </c>
      <c r="F934" s="292">
        <f>'ведом. 2021-2023'!AD898</f>
        <v>176</v>
      </c>
      <c r="G934" s="475">
        <f>F934</f>
        <v>176</v>
      </c>
      <c r="H934" s="475">
        <f>'ведом. 2021-2023'!AE898</f>
        <v>176</v>
      </c>
      <c r="I934" s="475">
        <f>H934</f>
        <v>176</v>
      </c>
      <c r="J934" s="475">
        <f>'ведом. 2021-2023'!AF898</f>
        <v>176</v>
      </c>
      <c r="K934" s="475">
        <f>J934</f>
        <v>176</v>
      </c>
      <c r="L934" s="465"/>
      <c r="N934" s="465"/>
      <c r="O934" s="465"/>
    </row>
    <row r="935" spans="1:15" s="441" customFormat="1" x14ac:dyDescent="0.25">
      <c r="A935" s="523" t="s">
        <v>1754</v>
      </c>
      <c r="B935" s="613">
        <v>10</v>
      </c>
      <c r="C935" s="235" t="s">
        <v>1181</v>
      </c>
      <c r="D935" s="442" t="s">
        <v>2165</v>
      </c>
      <c r="E935" s="238">
        <v>300</v>
      </c>
      <c r="F935" s="292">
        <f t="shared" ref="F935:K935" si="219">F936</f>
        <v>17642</v>
      </c>
      <c r="G935" s="475">
        <f t="shared" si="219"/>
        <v>17642</v>
      </c>
      <c r="H935" s="475">
        <f t="shared" si="219"/>
        <v>17642</v>
      </c>
      <c r="I935" s="475">
        <f t="shared" si="219"/>
        <v>17642</v>
      </c>
      <c r="J935" s="475">
        <f t="shared" si="219"/>
        <v>17642</v>
      </c>
      <c r="K935" s="475">
        <f t="shared" si="219"/>
        <v>17642</v>
      </c>
      <c r="L935" s="465"/>
      <c r="N935" s="465"/>
      <c r="O935" s="465"/>
    </row>
    <row r="936" spans="1:15" s="441" customFormat="1" x14ac:dyDescent="0.25">
      <c r="A936" s="523" t="s">
        <v>1804</v>
      </c>
      <c r="B936" s="613">
        <v>10</v>
      </c>
      <c r="C936" s="235" t="s">
        <v>1181</v>
      </c>
      <c r="D936" s="442" t="s">
        <v>2165</v>
      </c>
      <c r="E936" s="238">
        <v>310</v>
      </c>
      <c r="F936" s="292">
        <f>'ведом. 2021-2023'!AD900</f>
        <v>17642</v>
      </c>
      <c r="G936" s="475">
        <f>F936</f>
        <v>17642</v>
      </c>
      <c r="H936" s="475">
        <f>'ведом. 2021-2023'!AE900</f>
        <v>17642</v>
      </c>
      <c r="I936" s="475">
        <f>H936</f>
        <v>17642</v>
      </c>
      <c r="J936" s="475">
        <f>'ведом. 2021-2023'!AF900</f>
        <v>17642</v>
      </c>
      <c r="K936" s="475">
        <f>J936</f>
        <v>17642</v>
      </c>
      <c r="L936" s="465"/>
      <c r="N936" s="465"/>
      <c r="O936" s="465"/>
    </row>
    <row r="937" spans="1:15" s="441" customFormat="1" x14ac:dyDescent="0.25">
      <c r="A937" s="520" t="s">
        <v>1890</v>
      </c>
      <c r="B937" s="613">
        <v>10</v>
      </c>
      <c r="C937" s="235" t="s">
        <v>1181</v>
      </c>
      <c r="D937" s="442" t="s">
        <v>1776</v>
      </c>
      <c r="E937" s="238"/>
      <c r="F937" s="292">
        <f t="shared" ref="F937:K937" si="220">F946+F938</f>
        <v>60141.3</v>
      </c>
      <c r="G937" s="292">
        <f t="shared" si="220"/>
        <v>54360.5</v>
      </c>
      <c r="H937" s="292">
        <f t="shared" si="220"/>
        <v>29372</v>
      </c>
      <c r="I937" s="292">
        <f t="shared" si="220"/>
        <v>25095</v>
      </c>
      <c r="J937" s="292">
        <f t="shared" si="220"/>
        <v>19469</v>
      </c>
      <c r="K937" s="475">
        <f t="shared" si="220"/>
        <v>15182</v>
      </c>
      <c r="L937" s="465"/>
      <c r="N937" s="465"/>
      <c r="O937" s="465"/>
    </row>
    <row r="938" spans="1:15" s="441" customFormat="1" x14ac:dyDescent="0.25">
      <c r="A938" s="520" t="s">
        <v>1889</v>
      </c>
      <c r="B938" s="613">
        <v>10</v>
      </c>
      <c r="C938" s="235" t="s">
        <v>1181</v>
      </c>
      <c r="D938" s="442" t="s">
        <v>1824</v>
      </c>
      <c r="E938" s="238"/>
      <c r="F938" s="292">
        <f t="shared" ref="F938:K938" si="221">F939</f>
        <v>11104.3</v>
      </c>
      <c r="G938" s="475">
        <f t="shared" si="221"/>
        <v>5323.5</v>
      </c>
      <c r="H938" s="475">
        <f t="shared" si="221"/>
        <v>9559</v>
      </c>
      <c r="I938" s="475">
        <f t="shared" si="221"/>
        <v>5282</v>
      </c>
      <c r="J938" s="475">
        <f t="shared" si="221"/>
        <v>9562</v>
      </c>
      <c r="K938" s="475">
        <f t="shared" si="221"/>
        <v>5275</v>
      </c>
      <c r="L938" s="465"/>
      <c r="N938" s="465"/>
      <c r="O938" s="465"/>
    </row>
    <row r="939" spans="1:15" s="441" customFormat="1" ht="47.25" x14ac:dyDescent="0.25">
      <c r="A939" s="520" t="s">
        <v>1886</v>
      </c>
      <c r="B939" s="613">
        <v>10</v>
      </c>
      <c r="C939" s="235" t="s">
        <v>1181</v>
      </c>
      <c r="D939" s="442" t="s">
        <v>1823</v>
      </c>
      <c r="E939" s="238"/>
      <c r="F939" s="292">
        <f t="shared" ref="F939:K939" si="222">F943+F940</f>
        <v>11104.3</v>
      </c>
      <c r="G939" s="475">
        <f t="shared" si="222"/>
        <v>5323.5</v>
      </c>
      <c r="H939" s="475">
        <f t="shared" si="222"/>
        <v>9559</v>
      </c>
      <c r="I939" s="475">
        <f t="shared" si="222"/>
        <v>5282</v>
      </c>
      <c r="J939" s="475">
        <f t="shared" si="222"/>
        <v>9562</v>
      </c>
      <c r="K939" s="475">
        <f t="shared" si="222"/>
        <v>5275</v>
      </c>
      <c r="L939" s="465"/>
      <c r="N939" s="465"/>
      <c r="O939" s="465"/>
    </row>
    <row r="940" spans="1:15" s="513" customFormat="1" x14ac:dyDescent="0.25">
      <c r="A940" s="827" t="s">
        <v>2356</v>
      </c>
      <c r="B940" s="613">
        <v>10</v>
      </c>
      <c r="C940" s="235" t="s">
        <v>1181</v>
      </c>
      <c r="D940" s="442" t="s">
        <v>2357</v>
      </c>
      <c r="E940" s="238"/>
      <c r="F940" s="292">
        <f>F941</f>
        <v>1352.3999999999999</v>
      </c>
      <c r="G940" s="475"/>
      <c r="H940" s="475">
        <f>H941</f>
        <v>0</v>
      </c>
      <c r="I940" s="475"/>
      <c r="J940" s="475">
        <f>J941</f>
        <v>0</v>
      </c>
      <c r="K940" s="475"/>
      <c r="L940" s="465"/>
      <c r="N940" s="465"/>
      <c r="O940" s="465"/>
    </row>
    <row r="941" spans="1:15" s="513" customFormat="1" x14ac:dyDescent="0.25">
      <c r="A941" s="519" t="s">
        <v>1754</v>
      </c>
      <c r="B941" s="613">
        <v>10</v>
      </c>
      <c r="C941" s="235" t="s">
        <v>1181</v>
      </c>
      <c r="D941" s="442" t="s">
        <v>2357</v>
      </c>
      <c r="E941" s="238">
        <v>300</v>
      </c>
      <c r="F941" s="292">
        <f>F942</f>
        <v>1352.3999999999999</v>
      </c>
      <c r="G941" s="475"/>
      <c r="H941" s="475">
        <f>H942</f>
        <v>0</v>
      </c>
      <c r="I941" s="475"/>
      <c r="J941" s="475">
        <f>J942</f>
        <v>0</v>
      </c>
      <c r="K941" s="475"/>
      <c r="L941" s="465"/>
      <c r="N941" s="465"/>
      <c r="O941" s="465"/>
    </row>
    <row r="942" spans="1:15" s="513" customFormat="1" x14ac:dyDescent="0.25">
      <c r="A942" s="519" t="s">
        <v>444</v>
      </c>
      <c r="B942" s="613">
        <v>10</v>
      </c>
      <c r="C942" s="235" t="s">
        <v>1181</v>
      </c>
      <c r="D942" s="442" t="s">
        <v>2357</v>
      </c>
      <c r="E942" s="238">
        <v>320</v>
      </c>
      <c r="F942" s="292">
        <f>'ведом. 2021-2023'!AD1135</f>
        <v>1352.3999999999999</v>
      </c>
      <c r="G942" s="475"/>
      <c r="H942" s="475">
        <f>'ведом. 2021-2023'!AE1135</f>
        <v>0</v>
      </c>
      <c r="I942" s="475"/>
      <c r="J942" s="475">
        <f>'ведом. 2021-2023'!AF1135</f>
        <v>0</v>
      </c>
      <c r="K942" s="475"/>
      <c r="L942" s="465"/>
      <c r="N942" s="465"/>
      <c r="O942" s="465"/>
    </row>
    <row r="943" spans="1:15" s="441" customFormat="1" x14ac:dyDescent="0.25">
      <c r="A943" s="520" t="s">
        <v>1887</v>
      </c>
      <c r="B943" s="613">
        <v>10</v>
      </c>
      <c r="C943" s="235" t="s">
        <v>1181</v>
      </c>
      <c r="D943" s="442" t="s">
        <v>1888</v>
      </c>
      <c r="E943" s="238"/>
      <c r="F943" s="292">
        <f t="shared" ref="F943:K944" si="223">F944</f>
        <v>9751.9</v>
      </c>
      <c r="G943" s="475">
        <f t="shared" si="223"/>
        <v>5323.5</v>
      </c>
      <c r="H943" s="475">
        <f t="shared" si="223"/>
        <v>9559</v>
      </c>
      <c r="I943" s="475">
        <f t="shared" si="223"/>
        <v>5282</v>
      </c>
      <c r="J943" s="475">
        <f t="shared" si="223"/>
        <v>9562</v>
      </c>
      <c r="K943" s="475">
        <f t="shared" si="223"/>
        <v>5275</v>
      </c>
      <c r="L943" s="465"/>
      <c r="N943" s="465"/>
      <c r="O943" s="465"/>
    </row>
    <row r="944" spans="1:15" s="441" customFormat="1" x14ac:dyDescent="0.25">
      <c r="A944" s="523" t="s">
        <v>1754</v>
      </c>
      <c r="B944" s="613">
        <v>10</v>
      </c>
      <c r="C944" s="235" t="s">
        <v>1181</v>
      </c>
      <c r="D944" s="442" t="s">
        <v>1888</v>
      </c>
      <c r="E944" s="238">
        <v>300</v>
      </c>
      <c r="F944" s="292">
        <f t="shared" si="223"/>
        <v>9751.9</v>
      </c>
      <c r="G944" s="475">
        <f t="shared" si="223"/>
        <v>5323.5</v>
      </c>
      <c r="H944" s="475">
        <f t="shared" si="223"/>
        <v>9559</v>
      </c>
      <c r="I944" s="475">
        <f t="shared" si="223"/>
        <v>5282</v>
      </c>
      <c r="J944" s="475">
        <f t="shared" si="223"/>
        <v>9562</v>
      </c>
      <c r="K944" s="475">
        <f t="shared" si="223"/>
        <v>5275</v>
      </c>
      <c r="L944" s="465"/>
      <c r="N944" s="465"/>
      <c r="O944" s="465"/>
    </row>
    <row r="945" spans="1:15" s="441" customFormat="1" x14ac:dyDescent="0.25">
      <c r="A945" s="523" t="s">
        <v>444</v>
      </c>
      <c r="B945" s="613">
        <v>10</v>
      </c>
      <c r="C945" s="235" t="s">
        <v>1181</v>
      </c>
      <c r="D945" s="442" t="s">
        <v>1888</v>
      </c>
      <c r="E945" s="238">
        <v>320</v>
      </c>
      <c r="F945" s="292">
        <f>'ведом. 2021-2023'!AD1138</f>
        <v>9751.9</v>
      </c>
      <c r="G945" s="475">
        <f>5288.2-893.7+893.7+35.3</f>
        <v>5323.5</v>
      </c>
      <c r="H945" s="475">
        <f>'ведом. 2021-2023'!AE1138</f>
        <v>9559</v>
      </c>
      <c r="I945" s="475">
        <v>5282</v>
      </c>
      <c r="J945" s="475">
        <f>'ведом. 2021-2023'!AF1138</f>
        <v>9562</v>
      </c>
      <c r="K945" s="475">
        <v>5275</v>
      </c>
      <c r="L945" s="465"/>
      <c r="N945" s="465"/>
      <c r="O945" s="465"/>
    </row>
    <row r="946" spans="1:15" s="441" customFormat="1" ht="31.5" x14ac:dyDescent="0.25">
      <c r="A946" s="520" t="s">
        <v>1891</v>
      </c>
      <c r="B946" s="613">
        <v>10</v>
      </c>
      <c r="C946" s="235" t="s">
        <v>1181</v>
      </c>
      <c r="D946" s="442" t="s">
        <v>1827</v>
      </c>
      <c r="E946" s="238"/>
      <c r="F946" s="292">
        <f t="shared" ref="F946:K946" si="224">F948</f>
        <v>49037</v>
      </c>
      <c r="G946" s="475">
        <f t="shared" si="224"/>
        <v>49037</v>
      </c>
      <c r="H946" s="475">
        <f t="shared" si="224"/>
        <v>19813</v>
      </c>
      <c r="I946" s="475">
        <f t="shared" si="224"/>
        <v>19813</v>
      </c>
      <c r="J946" s="475">
        <f t="shared" si="224"/>
        <v>9907</v>
      </c>
      <c r="K946" s="475">
        <f t="shared" si="224"/>
        <v>9907</v>
      </c>
      <c r="L946" s="465"/>
      <c r="N946" s="465"/>
      <c r="O946" s="465"/>
    </row>
    <row r="947" spans="1:15" s="441" customFormat="1" ht="47.25" x14ac:dyDescent="0.25">
      <c r="A947" s="548" t="s">
        <v>2320</v>
      </c>
      <c r="B947" s="613">
        <v>10</v>
      </c>
      <c r="C947" s="235" t="s">
        <v>1181</v>
      </c>
      <c r="D947" s="442" t="s">
        <v>1826</v>
      </c>
      <c r="E947" s="238"/>
      <c r="F947" s="292">
        <f t="shared" ref="F947:K947" si="225">F948</f>
        <v>49037</v>
      </c>
      <c r="G947" s="475">
        <f t="shared" si="225"/>
        <v>49037</v>
      </c>
      <c r="H947" s="475">
        <f t="shared" si="225"/>
        <v>19813</v>
      </c>
      <c r="I947" s="475">
        <f t="shared" si="225"/>
        <v>19813</v>
      </c>
      <c r="J947" s="475">
        <f t="shared" si="225"/>
        <v>9907</v>
      </c>
      <c r="K947" s="475">
        <f t="shared" si="225"/>
        <v>9907</v>
      </c>
      <c r="L947" s="465"/>
      <c r="N947" s="465"/>
      <c r="O947" s="465"/>
    </row>
    <row r="948" spans="1:15" s="441" customFormat="1" ht="47.25" x14ac:dyDescent="0.25">
      <c r="A948" s="548" t="s">
        <v>1892</v>
      </c>
      <c r="B948" s="613">
        <v>10</v>
      </c>
      <c r="C948" s="235" t="s">
        <v>1181</v>
      </c>
      <c r="D948" s="442" t="s">
        <v>1825</v>
      </c>
      <c r="E948" s="238"/>
      <c r="F948" s="292">
        <f t="shared" ref="F948:K949" si="226">F949</f>
        <v>49037</v>
      </c>
      <c r="G948" s="475">
        <f t="shared" si="226"/>
        <v>49037</v>
      </c>
      <c r="H948" s="475">
        <f t="shared" si="226"/>
        <v>19813</v>
      </c>
      <c r="I948" s="475">
        <f t="shared" si="226"/>
        <v>19813</v>
      </c>
      <c r="J948" s="475">
        <f t="shared" si="226"/>
        <v>9907</v>
      </c>
      <c r="K948" s="475">
        <f t="shared" si="226"/>
        <v>9907</v>
      </c>
      <c r="L948" s="465"/>
      <c r="N948" s="465"/>
      <c r="O948" s="465"/>
    </row>
    <row r="949" spans="1:15" s="441" customFormat="1" x14ac:dyDescent="0.25">
      <c r="A949" s="611" t="s">
        <v>418</v>
      </c>
      <c r="B949" s="613">
        <v>10</v>
      </c>
      <c r="C949" s="235" t="s">
        <v>1181</v>
      </c>
      <c r="D949" s="256" t="s">
        <v>1825</v>
      </c>
      <c r="E949" s="238">
        <v>400</v>
      </c>
      <c r="F949" s="292">
        <f t="shared" si="226"/>
        <v>49037</v>
      </c>
      <c r="G949" s="475">
        <f t="shared" si="226"/>
        <v>49037</v>
      </c>
      <c r="H949" s="475">
        <f t="shared" si="226"/>
        <v>19813</v>
      </c>
      <c r="I949" s="475">
        <f t="shared" si="226"/>
        <v>19813</v>
      </c>
      <c r="J949" s="475">
        <f t="shared" si="226"/>
        <v>9907</v>
      </c>
      <c r="K949" s="475">
        <f t="shared" si="226"/>
        <v>9907</v>
      </c>
      <c r="L949" s="465"/>
      <c r="N949" s="465"/>
      <c r="O949" s="465"/>
    </row>
    <row r="950" spans="1:15" s="441" customFormat="1" x14ac:dyDescent="0.25">
      <c r="A950" s="523" t="s">
        <v>232</v>
      </c>
      <c r="B950" s="613">
        <v>10</v>
      </c>
      <c r="C950" s="235" t="s">
        <v>1181</v>
      </c>
      <c r="D950" s="256" t="s">
        <v>1825</v>
      </c>
      <c r="E950" s="238">
        <v>410</v>
      </c>
      <c r="F950" s="292">
        <f>'ведом. 2021-2023'!AD704</f>
        <v>49037</v>
      </c>
      <c r="G950" s="475">
        <f>F950</f>
        <v>49037</v>
      </c>
      <c r="H950" s="475">
        <f>'ведом. 2021-2023'!AE704</f>
        <v>19813</v>
      </c>
      <c r="I950" s="475">
        <f>H950</f>
        <v>19813</v>
      </c>
      <c r="J950" s="475">
        <f>'ведом. 2021-2023'!AF704</f>
        <v>9907</v>
      </c>
      <c r="K950" s="475">
        <f>J950</f>
        <v>9907</v>
      </c>
      <c r="L950" s="465"/>
      <c r="N950" s="465"/>
      <c r="O950" s="465"/>
    </row>
    <row r="951" spans="1:15" s="441" customFormat="1" x14ac:dyDescent="0.25">
      <c r="A951" s="523" t="s">
        <v>729</v>
      </c>
      <c r="B951" s="613">
        <v>10</v>
      </c>
      <c r="C951" s="235" t="s">
        <v>1746</v>
      </c>
      <c r="D951" s="249"/>
      <c r="E951" s="576"/>
      <c r="F951" s="292">
        <f t="shared" ref="F951:F956" si="227">F952</f>
        <v>140</v>
      </c>
      <c r="G951" s="475"/>
      <c r="H951" s="475">
        <f>H952</f>
        <v>140</v>
      </c>
      <c r="I951" s="475"/>
      <c r="J951" s="475">
        <f>J952</f>
        <v>140</v>
      </c>
      <c r="K951" s="475"/>
      <c r="L951" s="465"/>
      <c r="N951" s="465"/>
      <c r="O951" s="465"/>
    </row>
    <row r="952" spans="1:15" s="441" customFormat="1" x14ac:dyDescent="0.25">
      <c r="A952" s="520" t="s">
        <v>2074</v>
      </c>
      <c r="B952" s="613">
        <v>10</v>
      </c>
      <c r="C952" s="235" t="s">
        <v>1746</v>
      </c>
      <c r="D952" s="442" t="s">
        <v>1768</v>
      </c>
      <c r="E952" s="576"/>
      <c r="F952" s="292">
        <f t="shared" si="227"/>
        <v>140</v>
      </c>
      <c r="G952" s="475"/>
      <c r="H952" s="475">
        <f>H953</f>
        <v>140</v>
      </c>
      <c r="I952" s="475"/>
      <c r="J952" s="475">
        <f>J953</f>
        <v>140</v>
      </c>
      <c r="K952" s="475"/>
      <c r="L952" s="465"/>
      <c r="N952" s="465"/>
      <c r="O952" s="465"/>
    </row>
    <row r="953" spans="1:15" s="441" customFormat="1" ht="31.5" x14ac:dyDescent="0.25">
      <c r="A953" s="520" t="s">
        <v>2100</v>
      </c>
      <c r="B953" s="613">
        <v>10</v>
      </c>
      <c r="C953" s="235" t="s">
        <v>1746</v>
      </c>
      <c r="D953" s="442" t="s">
        <v>2095</v>
      </c>
      <c r="E953" s="576"/>
      <c r="F953" s="292">
        <f t="shared" si="227"/>
        <v>140</v>
      </c>
      <c r="G953" s="475"/>
      <c r="H953" s="475">
        <f>H954</f>
        <v>140</v>
      </c>
      <c r="I953" s="475"/>
      <c r="J953" s="475">
        <f>J954</f>
        <v>140</v>
      </c>
      <c r="K953" s="475"/>
      <c r="L953" s="465"/>
      <c r="N953" s="465"/>
      <c r="O953" s="465"/>
    </row>
    <row r="954" spans="1:15" s="441" customFormat="1" x14ac:dyDescent="0.25">
      <c r="A954" s="528" t="s">
        <v>2096</v>
      </c>
      <c r="B954" s="613">
        <v>10</v>
      </c>
      <c r="C954" s="235" t="s">
        <v>1746</v>
      </c>
      <c r="D954" s="442" t="s">
        <v>2097</v>
      </c>
      <c r="E954" s="576"/>
      <c r="F954" s="292">
        <f t="shared" si="227"/>
        <v>140</v>
      </c>
      <c r="G954" s="292"/>
      <c r="H954" s="292">
        <f t="shared" ref="H954:J954" si="228">H955</f>
        <v>140</v>
      </c>
      <c r="I954" s="292"/>
      <c r="J954" s="292">
        <f t="shared" si="228"/>
        <v>140</v>
      </c>
      <c r="K954" s="475"/>
      <c r="L954" s="465"/>
      <c r="N954" s="465"/>
      <c r="O954" s="465"/>
    </row>
    <row r="955" spans="1:15" s="441" customFormat="1" x14ac:dyDescent="0.25">
      <c r="A955" s="521" t="s">
        <v>2239</v>
      </c>
      <c r="B955" s="613">
        <v>10</v>
      </c>
      <c r="C955" s="235" t="s">
        <v>1746</v>
      </c>
      <c r="D955" s="442" t="s">
        <v>2099</v>
      </c>
      <c r="E955" s="593"/>
      <c r="F955" s="292">
        <f t="shared" si="227"/>
        <v>140</v>
      </c>
      <c r="G955" s="475"/>
      <c r="H955" s="475">
        <f>H956</f>
        <v>140</v>
      </c>
      <c r="I955" s="475"/>
      <c r="J955" s="475">
        <f>J956</f>
        <v>140</v>
      </c>
      <c r="K955" s="475"/>
      <c r="L955" s="465"/>
      <c r="N955" s="465"/>
      <c r="O955" s="465"/>
    </row>
    <row r="956" spans="1:15" s="441" customFormat="1" ht="31.5" x14ac:dyDescent="0.25">
      <c r="A956" s="523" t="s">
        <v>1342</v>
      </c>
      <c r="B956" s="613">
        <v>10</v>
      </c>
      <c r="C956" s="235" t="s">
        <v>1746</v>
      </c>
      <c r="D956" s="442" t="s">
        <v>2099</v>
      </c>
      <c r="E956" s="593">
        <v>600</v>
      </c>
      <c r="F956" s="292">
        <f t="shared" si="227"/>
        <v>140</v>
      </c>
      <c r="G956" s="475"/>
      <c r="H956" s="475">
        <f>H957</f>
        <v>140</v>
      </c>
      <c r="I956" s="475"/>
      <c r="J956" s="475">
        <f>J957</f>
        <v>140</v>
      </c>
      <c r="K956" s="475"/>
      <c r="L956" s="465"/>
      <c r="N956" s="465"/>
      <c r="O956" s="465"/>
    </row>
    <row r="957" spans="1:15" s="441" customFormat="1" ht="47.25" x14ac:dyDescent="0.25">
      <c r="A957" s="523" t="s">
        <v>2299</v>
      </c>
      <c r="B957" s="613">
        <v>10</v>
      </c>
      <c r="C957" s="235" t="s">
        <v>1746</v>
      </c>
      <c r="D957" s="442" t="s">
        <v>2099</v>
      </c>
      <c r="E957" s="593">
        <v>630</v>
      </c>
      <c r="F957" s="292">
        <f>'ведом. 2021-2023'!AD520</f>
        <v>140</v>
      </c>
      <c r="G957" s="475"/>
      <c r="H957" s="475">
        <f>'ведом. 2021-2023'!AE520</f>
        <v>140</v>
      </c>
      <c r="I957" s="475"/>
      <c r="J957" s="475">
        <f>'ведом. 2021-2023'!AF520</f>
        <v>140</v>
      </c>
      <c r="K957" s="475"/>
      <c r="L957" s="465"/>
      <c r="N957" s="465"/>
      <c r="O957" s="465"/>
    </row>
    <row r="958" spans="1:15" s="441" customFormat="1" x14ac:dyDescent="0.25">
      <c r="A958" s="607" t="s">
        <v>282</v>
      </c>
      <c r="B958" s="574">
        <v>11</v>
      </c>
      <c r="C958" s="247"/>
      <c r="D958" s="271"/>
      <c r="E958" s="575"/>
      <c r="F958" s="733">
        <f>F959+F966</f>
        <v>94186.700000000012</v>
      </c>
      <c r="G958" s="478"/>
      <c r="H958" s="478">
        <f>H959+H966</f>
        <v>83781.8</v>
      </c>
      <c r="I958" s="478"/>
      <c r="J958" s="478">
        <f>J959+J966</f>
        <v>83781.8</v>
      </c>
      <c r="K958" s="478"/>
      <c r="L958" s="465"/>
      <c r="N958" s="465"/>
      <c r="O958" s="465"/>
    </row>
    <row r="959" spans="1:15" s="441" customFormat="1" x14ac:dyDescent="0.25">
      <c r="A959" s="523" t="s">
        <v>283</v>
      </c>
      <c r="B959" s="613">
        <v>11</v>
      </c>
      <c r="C959" s="235" t="s">
        <v>566</v>
      </c>
      <c r="D959" s="271"/>
      <c r="E959" s="575"/>
      <c r="F959" s="292">
        <f t="shared" ref="F959:J960" si="229">F960</f>
        <v>34576.1</v>
      </c>
      <c r="G959" s="475"/>
      <c r="H959" s="475">
        <f t="shared" si="229"/>
        <v>29271.200000000001</v>
      </c>
      <c r="I959" s="475"/>
      <c r="J959" s="475">
        <f t="shared" si="229"/>
        <v>29271.200000000001</v>
      </c>
      <c r="K959" s="475"/>
      <c r="L959" s="465"/>
      <c r="N959" s="465"/>
      <c r="O959" s="465"/>
    </row>
    <row r="960" spans="1:15" s="441" customFormat="1" x14ac:dyDescent="0.25">
      <c r="A960" s="520" t="s">
        <v>1846</v>
      </c>
      <c r="B960" s="613">
        <v>11</v>
      </c>
      <c r="C960" s="235" t="s">
        <v>566</v>
      </c>
      <c r="D960" s="442" t="s">
        <v>1775</v>
      </c>
      <c r="E960" s="575"/>
      <c r="F960" s="292">
        <f t="shared" si="229"/>
        <v>34576.1</v>
      </c>
      <c r="G960" s="475"/>
      <c r="H960" s="475">
        <f t="shared" si="229"/>
        <v>29271.200000000001</v>
      </c>
      <c r="I960" s="475"/>
      <c r="J960" s="475">
        <f t="shared" si="229"/>
        <v>29271.200000000001</v>
      </c>
      <c r="K960" s="475"/>
      <c r="L960" s="465"/>
      <c r="N960" s="465"/>
      <c r="O960" s="465"/>
    </row>
    <row r="961" spans="1:15" s="441" customFormat="1" x14ac:dyDescent="0.25">
      <c r="A961" s="520" t="s">
        <v>1847</v>
      </c>
      <c r="B961" s="613">
        <v>11</v>
      </c>
      <c r="C961" s="235" t="s">
        <v>566</v>
      </c>
      <c r="D961" s="442" t="s">
        <v>1780</v>
      </c>
      <c r="E961" s="575"/>
      <c r="F961" s="292">
        <f>F962</f>
        <v>34576.1</v>
      </c>
      <c r="G961" s="475"/>
      <c r="H961" s="475">
        <f>H962</f>
        <v>29271.200000000001</v>
      </c>
      <c r="I961" s="475"/>
      <c r="J961" s="475">
        <f>J962</f>
        <v>29271.200000000001</v>
      </c>
      <c r="K961" s="475"/>
      <c r="L961" s="465"/>
      <c r="N961" s="465"/>
      <c r="O961" s="465"/>
    </row>
    <row r="962" spans="1:15" s="441" customFormat="1" ht="31.5" x14ac:dyDescent="0.25">
      <c r="A962" s="520" t="s">
        <v>1848</v>
      </c>
      <c r="B962" s="613">
        <v>11</v>
      </c>
      <c r="C962" s="235" t="s">
        <v>566</v>
      </c>
      <c r="D962" s="442" t="s">
        <v>1799</v>
      </c>
      <c r="E962" s="575"/>
      <c r="F962" s="292">
        <f>F963</f>
        <v>34576.1</v>
      </c>
      <c r="G962" s="475"/>
      <c r="H962" s="475">
        <f>H963</f>
        <v>29271.200000000001</v>
      </c>
      <c r="I962" s="475"/>
      <c r="J962" s="475">
        <f>J963</f>
        <v>29271.200000000001</v>
      </c>
      <c r="K962" s="475"/>
      <c r="L962" s="465"/>
      <c r="N962" s="465"/>
      <c r="O962" s="465"/>
    </row>
    <row r="963" spans="1:15" s="441" customFormat="1" ht="31.5" x14ac:dyDescent="0.25">
      <c r="A963" s="528" t="s">
        <v>1849</v>
      </c>
      <c r="B963" s="613">
        <v>11</v>
      </c>
      <c r="C963" s="235" t="s">
        <v>566</v>
      </c>
      <c r="D963" s="442" t="s">
        <v>1850</v>
      </c>
      <c r="E963" s="575"/>
      <c r="F963" s="292">
        <f>F964</f>
        <v>34576.1</v>
      </c>
      <c r="G963" s="475"/>
      <c r="H963" s="475">
        <f>H964</f>
        <v>29271.200000000001</v>
      </c>
      <c r="I963" s="475"/>
      <c r="J963" s="475">
        <f>J964</f>
        <v>29271.200000000001</v>
      </c>
      <c r="K963" s="475"/>
      <c r="L963" s="465"/>
      <c r="N963" s="465"/>
      <c r="O963" s="465"/>
    </row>
    <row r="964" spans="1:15" s="441" customFormat="1" ht="31.5" x14ac:dyDescent="0.25">
      <c r="A964" s="523" t="s">
        <v>1342</v>
      </c>
      <c r="B964" s="613">
        <v>11</v>
      </c>
      <c r="C964" s="235" t="s">
        <v>566</v>
      </c>
      <c r="D964" s="442" t="s">
        <v>1850</v>
      </c>
      <c r="E964" s="583">
        <v>600</v>
      </c>
      <c r="F964" s="292">
        <f>F965</f>
        <v>34576.1</v>
      </c>
      <c r="G964" s="475"/>
      <c r="H964" s="475">
        <f>H965</f>
        <v>29271.200000000001</v>
      </c>
      <c r="I964" s="475"/>
      <c r="J964" s="475">
        <f>J965</f>
        <v>29271.200000000001</v>
      </c>
      <c r="K964" s="475"/>
      <c r="L964" s="465"/>
      <c r="N964" s="465"/>
      <c r="O964" s="465"/>
    </row>
    <row r="965" spans="1:15" s="441" customFormat="1" x14ac:dyDescent="0.25">
      <c r="A965" s="523" t="s">
        <v>1800</v>
      </c>
      <c r="B965" s="613">
        <v>11</v>
      </c>
      <c r="C965" s="235" t="s">
        <v>566</v>
      </c>
      <c r="D965" s="442" t="s">
        <v>1850</v>
      </c>
      <c r="E965" s="583">
        <v>620</v>
      </c>
      <c r="F965" s="292">
        <f>'ведом. 2021-2023'!AD528</f>
        <v>34576.1</v>
      </c>
      <c r="G965" s="475"/>
      <c r="H965" s="475">
        <f>'ведом. 2021-2023'!AE528</f>
        <v>29271.200000000001</v>
      </c>
      <c r="I965" s="475"/>
      <c r="J965" s="475">
        <f>'ведом. 2021-2023'!AF528</f>
        <v>29271.200000000001</v>
      </c>
      <c r="K965" s="475"/>
      <c r="L965" s="465"/>
      <c r="N965" s="465"/>
      <c r="O965" s="465"/>
    </row>
    <row r="966" spans="1:15" s="441" customFormat="1" x14ac:dyDescent="0.25">
      <c r="A966" s="523" t="s">
        <v>758</v>
      </c>
      <c r="B966" s="613">
        <v>11</v>
      </c>
      <c r="C966" s="235" t="s">
        <v>567</v>
      </c>
      <c r="D966" s="442"/>
      <c r="E966" s="583"/>
      <c r="F966" s="292">
        <f>F967</f>
        <v>59610.600000000006</v>
      </c>
      <c r="G966" s="475"/>
      <c r="H966" s="475">
        <f>H967</f>
        <v>54510.600000000006</v>
      </c>
      <c r="I966" s="475"/>
      <c r="J966" s="475">
        <f>J967</f>
        <v>54510.600000000006</v>
      </c>
      <c r="K966" s="475"/>
      <c r="L966" s="465"/>
      <c r="N966" s="465"/>
      <c r="O966" s="465"/>
    </row>
    <row r="967" spans="1:15" s="513" customFormat="1" x14ac:dyDescent="0.25">
      <c r="A967" s="520" t="s">
        <v>1846</v>
      </c>
      <c r="B967" s="613">
        <v>11</v>
      </c>
      <c r="C967" s="235" t="s">
        <v>567</v>
      </c>
      <c r="D967" s="442" t="s">
        <v>1775</v>
      </c>
      <c r="E967" s="583"/>
      <c r="F967" s="292">
        <f>F968+F979</f>
        <v>59610.600000000006</v>
      </c>
      <c r="G967" s="475"/>
      <c r="H967" s="475">
        <f>H968+H979</f>
        <v>54510.600000000006</v>
      </c>
      <c r="I967" s="475"/>
      <c r="J967" s="475">
        <f>J968+J979</f>
        <v>54510.600000000006</v>
      </c>
      <c r="K967" s="475"/>
      <c r="L967" s="465"/>
      <c r="N967" s="465"/>
      <c r="O967" s="465"/>
    </row>
    <row r="968" spans="1:15" s="441" customFormat="1" x14ac:dyDescent="0.25">
      <c r="A968" s="520" t="s">
        <v>1847</v>
      </c>
      <c r="B968" s="613">
        <v>11</v>
      </c>
      <c r="C968" s="235" t="s">
        <v>567</v>
      </c>
      <c r="D968" s="442" t="s">
        <v>1780</v>
      </c>
      <c r="E968" s="583"/>
      <c r="F968" s="292">
        <f>F969</f>
        <v>8400</v>
      </c>
      <c r="G968" s="475"/>
      <c r="H968" s="475">
        <f>H969</f>
        <v>3300</v>
      </c>
      <c r="I968" s="475"/>
      <c r="J968" s="475">
        <f>J969</f>
        <v>3300</v>
      </c>
      <c r="K968" s="475"/>
      <c r="L968" s="465"/>
      <c r="N968" s="465"/>
      <c r="O968" s="465"/>
    </row>
    <row r="969" spans="1:15" s="513" customFormat="1" ht="31.5" x14ac:dyDescent="0.25">
      <c r="A969" s="517" t="s">
        <v>1848</v>
      </c>
      <c r="B969" s="613">
        <v>11</v>
      </c>
      <c r="C969" s="235" t="s">
        <v>567</v>
      </c>
      <c r="D969" s="442" t="s">
        <v>1799</v>
      </c>
      <c r="E969" s="583"/>
      <c r="F969" s="292">
        <f>F973+F970</f>
        <v>8400</v>
      </c>
      <c r="G969" s="475"/>
      <c r="H969" s="475">
        <f>H973+H970</f>
        <v>3300</v>
      </c>
      <c r="I969" s="475"/>
      <c r="J969" s="475">
        <f>J973+J970</f>
        <v>3300</v>
      </c>
      <c r="K969" s="475"/>
      <c r="L969" s="465"/>
      <c r="N969" s="465"/>
      <c r="O969" s="465"/>
    </row>
    <row r="970" spans="1:15" s="513" customFormat="1" ht="34.15" customHeight="1" x14ac:dyDescent="0.25">
      <c r="A970" s="552" t="s">
        <v>2435</v>
      </c>
      <c r="B970" s="613">
        <v>11</v>
      </c>
      <c r="C970" s="235" t="s">
        <v>567</v>
      </c>
      <c r="D970" s="442" t="s">
        <v>2351</v>
      </c>
      <c r="E970" s="583"/>
      <c r="F970" s="292">
        <f>F971</f>
        <v>5100</v>
      </c>
      <c r="G970" s="475"/>
      <c r="H970" s="475">
        <f>H971</f>
        <v>0</v>
      </c>
      <c r="I970" s="475"/>
      <c r="J970" s="475">
        <f>J971</f>
        <v>0</v>
      </c>
      <c r="K970" s="475"/>
      <c r="L970" s="465"/>
      <c r="N970" s="465"/>
      <c r="O970" s="465"/>
    </row>
    <row r="971" spans="1:15" s="513" customFormat="1" x14ac:dyDescent="0.25">
      <c r="A971" s="519" t="s">
        <v>1781</v>
      </c>
      <c r="B971" s="613">
        <v>11</v>
      </c>
      <c r="C971" s="235" t="s">
        <v>567</v>
      </c>
      <c r="D971" s="442" t="s">
        <v>2351</v>
      </c>
      <c r="E971" s="238">
        <v>200</v>
      </c>
      <c r="F971" s="292">
        <f>F972</f>
        <v>5100</v>
      </c>
      <c r="G971" s="475"/>
      <c r="H971" s="475">
        <f>H972</f>
        <v>0</v>
      </c>
      <c r="I971" s="475"/>
      <c r="J971" s="475">
        <f>J972</f>
        <v>0</v>
      </c>
      <c r="K971" s="475"/>
      <c r="L971" s="465"/>
      <c r="N971" s="465"/>
      <c r="O971" s="465"/>
    </row>
    <row r="972" spans="1:15" s="513" customFormat="1" ht="31.5" x14ac:dyDescent="0.25">
      <c r="A972" s="519" t="s">
        <v>1273</v>
      </c>
      <c r="B972" s="613">
        <v>11</v>
      </c>
      <c r="C972" s="235" t="s">
        <v>567</v>
      </c>
      <c r="D972" s="442" t="s">
        <v>2351</v>
      </c>
      <c r="E972" s="238">
        <v>240</v>
      </c>
      <c r="F972" s="292">
        <f>'ведом. 2021-2023'!AD1146</f>
        <v>5100</v>
      </c>
      <c r="G972" s="475"/>
      <c r="H972" s="475">
        <f>'ведом. 2021-2023'!AE1146</f>
        <v>0</v>
      </c>
      <c r="I972" s="475"/>
      <c r="J972" s="475">
        <f>'ведом. 2021-2023'!AF1146</f>
        <v>0</v>
      </c>
      <c r="K972" s="475"/>
      <c r="L972" s="465"/>
      <c r="N972" s="465"/>
      <c r="O972" s="465"/>
    </row>
    <row r="973" spans="1:15" s="441" customFormat="1" ht="31.5" x14ac:dyDescent="0.25">
      <c r="A973" s="528" t="s">
        <v>1851</v>
      </c>
      <c r="B973" s="613">
        <v>11</v>
      </c>
      <c r="C973" s="235" t="s">
        <v>567</v>
      </c>
      <c r="D973" s="442" t="s">
        <v>1852</v>
      </c>
      <c r="E973" s="575"/>
      <c r="F973" s="292">
        <f>F974+F976</f>
        <v>3300</v>
      </c>
      <c r="G973" s="475"/>
      <c r="H973" s="475">
        <f>H974+H976</f>
        <v>3300</v>
      </c>
      <c r="I973" s="475"/>
      <c r="J973" s="475">
        <f>J974+J976</f>
        <v>3300</v>
      </c>
      <c r="K973" s="475"/>
      <c r="L973" s="465"/>
      <c r="N973" s="465"/>
      <c r="O973" s="465"/>
    </row>
    <row r="974" spans="1:15" s="441" customFormat="1" x14ac:dyDescent="0.25">
      <c r="A974" s="523" t="s">
        <v>1781</v>
      </c>
      <c r="B974" s="613">
        <v>11</v>
      </c>
      <c r="C974" s="235" t="s">
        <v>567</v>
      </c>
      <c r="D974" s="442" t="s">
        <v>1852</v>
      </c>
      <c r="E974" s="583">
        <v>200</v>
      </c>
      <c r="F974" s="292">
        <f>F975</f>
        <v>2244.9</v>
      </c>
      <c r="G974" s="475"/>
      <c r="H974" s="475">
        <f>H975</f>
        <v>3300</v>
      </c>
      <c r="I974" s="475"/>
      <c r="J974" s="475">
        <f>J975</f>
        <v>3300</v>
      </c>
      <c r="K974" s="475"/>
      <c r="L974" s="465"/>
      <c r="N974" s="465"/>
      <c r="O974" s="465"/>
    </row>
    <row r="975" spans="1:15" s="441" customFormat="1" ht="31.5" x14ac:dyDescent="0.25">
      <c r="A975" s="523" t="s">
        <v>1273</v>
      </c>
      <c r="B975" s="613">
        <v>11</v>
      </c>
      <c r="C975" s="235" t="s">
        <v>567</v>
      </c>
      <c r="D975" s="442" t="s">
        <v>1852</v>
      </c>
      <c r="E975" s="583">
        <v>240</v>
      </c>
      <c r="F975" s="292">
        <f>'ведом. 2021-2023'!AD535</f>
        <v>2244.9</v>
      </c>
      <c r="G975" s="475"/>
      <c r="H975" s="475">
        <f>'ведом. 2021-2023'!AE535</f>
        <v>3300</v>
      </c>
      <c r="I975" s="475"/>
      <c r="J975" s="475">
        <f>'ведом. 2021-2023'!AF535</f>
        <v>3300</v>
      </c>
      <c r="K975" s="475"/>
      <c r="L975" s="465"/>
      <c r="N975" s="465"/>
      <c r="O975" s="465"/>
    </row>
    <row r="976" spans="1:15" s="513" customFormat="1" ht="31.5" x14ac:dyDescent="0.25">
      <c r="A976" s="628" t="s">
        <v>1342</v>
      </c>
      <c r="B976" s="613">
        <v>11</v>
      </c>
      <c r="C976" s="235" t="s">
        <v>567</v>
      </c>
      <c r="D976" s="442" t="s">
        <v>1852</v>
      </c>
      <c r="E976" s="583">
        <v>600</v>
      </c>
      <c r="F976" s="292">
        <f>F977+F978</f>
        <v>1055.0999999999999</v>
      </c>
      <c r="G976" s="475"/>
      <c r="H976" s="475">
        <f>H977</f>
        <v>0</v>
      </c>
      <c r="I976" s="475"/>
      <c r="J976" s="475">
        <f>J977</f>
        <v>0</v>
      </c>
      <c r="K976" s="475"/>
      <c r="L976" s="465"/>
      <c r="N976" s="465"/>
      <c r="O976" s="465"/>
    </row>
    <row r="977" spans="1:15" s="513" customFormat="1" x14ac:dyDescent="0.25">
      <c r="A977" s="623" t="s">
        <v>1343</v>
      </c>
      <c r="B977" s="613">
        <v>11</v>
      </c>
      <c r="C977" s="235" t="s">
        <v>567</v>
      </c>
      <c r="D977" s="442" t="s">
        <v>1852</v>
      </c>
      <c r="E977" s="583">
        <v>610</v>
      </c>
      <c r="F977" s="292">
        <f>'ведом. 2021-2023'!AD537</f>
        <v>1005.1</v>
      </c>
      <c r="G977" s="475"/>
      <c r="H977" s="475">
        <f>'ведом. 2021-2023'!AE537</f>
        <v>0</v>
      </c>
      <c r="I977" s="475"/>
      <c r="J977" s="475">
        <f>'ведом. 2021-2023'!AF537</f>
        <v>0</v>
      </c>
      <c r="K977" s="475"/>
      <c r="L977" s="465"/>
      <c r="N977" s="465"/>
      <c r="O977" s="465"/>
    </row>
    <row r="978" spans="1:15" s="513" customFormat="1" x14ac:dyDescent="0.25">
      <c r="A978" s="523" t="s">
        <v>1800</v>
      </c>
      <c r="B978" s="613">
        <v>11</v>
      </c>
      <c r="C978" s="235" t="s">
        <v>567</v>
      </c>
      <c r="D978" s="442" t="s">
        <v>1852</v>
      </c>
      <c r="E978" s="583">
        <v>620</v>
      </c>
      <c r="F978" s="292">
        <f>'ведом. 2021-2023'!AD538</f>
        <v>50</v>
      </c>
      <c r="G978" s="475"/>
      <c r="H978" s="475">
        <f>'ведом. 2021-2023'!AE538</f>
        <v>0</v>
      </c>
      <c r="I978" s="475"/>
      <c r="J978" s="475">
        <f>'ведом. 2021-2023'!AF538</f>
        <v>0</v>
      </c>
      <c r="K978" s="475"/>
      <c r="L978" s="465"/>
      <c r="N978" s="465"/>
      <c r="O978" s="465"/>
    </row>
    <row r="979" spans="1:15" s="513" customFormat="1" x14ac:dyDescent="0.25">
      <c r="A979" s="603" t="s">
        <v>2262</v>
      </c>
      <c r="B979" s="613">
        <v>11</v>
      </c>
      <c r="C979" s="235" t="s">
        <v>567</v>
      </c>
      <c r="D979" s="442" t="s">
        <v>2265</v>
      </c>
      <c r="E979" s="238"/>
      <c r="F979" s="292">
        <f>F980</f>
        <v>51210.600000000006</v>
      </c>
      <c r="G979" s="475"/>
      <c r="H979" s="475">
        <f>H980</f>
        <v>51210.600000000006</v>
      </c>
      <c r="I979" s="475"/>
      <c r="J979" s="475">
        <f>J980</f>
        <v>51210.600000000006</v>
      </c>
      <c r="K979" s="475"/>
      <c r="L979" s="465"/>
      <c r="N979" s="465"/>
      <c r="O979" s="465"/>
    </row>
    <row r="980" spans="1:15" s="513" customFormat="1" x14ac:dyDescent="0.25">
      <c r="A980" s="519" t="s">
        <v>2334</v>
      </c>
      <c r="B980" s="613">
        <v>11</v>
      </c>
      <c r="C980" s="235" t="s">
        <v>567</v>
      </c>
      <c r="D980" s="442" t="s">
        <v>2266</v>
      </c>
      <c r="E980" s="238"/>
      <c r="F980" s="292">
        <f>F981</f>
        <v>51210.600000000006</v>
      </c>
      <c r="G980" s="475"/>
      <c r="H980" s="475">
        <f>H981</f>
        <v>51210.600000000006</v>
      </c>
      <c r="I980" s="475"/>
      <c r="J980" s="475">
        <f>J981</f>
        <v>51210.600000000006</v>
      </c>
      <c r="K980" s="475"/>
      <c r="L980" s="465"/>
      <c r="N980" s="465"/>
      <c r="O980" s="465"/>
    </row>
    <row r="981" spans="1:15" s="513" customFormat="1" ht="31.5" x14ac:dyDescent="0.25">
      <c r="A981" s="519" t="s">
        <v>2263</v>
      </c>
      <c r="B981" s="613">
        <v>11</v>
      </c>
      <c r="C981" s="235" t="s">
        <v>567</v>
      </c>
      <c r="D981" s="442" t="s">
        <v>2264</v>
      </c>
      <c r="E981" s="238"/>
      <c r="F981" s="292">
        <f>F982+F985</f>
        <v>51210.600000000006</v>
      </c>
      <c r="G981" s="475"/>
      <c r="H981" s="475">
        <f>H982+H985</f>
        <v>51210.600000000006</v>
      </c>
      <c r="I981" s="475"/>
      <c r="J981" s="475">
        <f>J982+J985</f>
        <v>51210.600000000006</v>
      </c>
      <c r="K981" s="475"/>
      <c r="L981" s="465"/>
      <c r="N981" s="465"/>
      <c r="O981" s="465"/>
    </row>
    <row r="982" spans="1:15" s="513" customFormat="1" ht="47.25" x14ac:dyDescent="0.25">
      <c r="A982" s="519" t="str">
        <f>'ведом. 2021-2023'!X542</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982" s="613">
        <v>11</v>
      </c>
      <c r="C982" s="235" t="s">
        <v>567</v>
      </c>
      <c r="D982" s="442" t="s">
        <v>2296</v>
      </c>
      <c r="E982" s="238"/>
      <c r="F982" s="292">
        <f>F983</f>
        <v>32762.400000000001</v>
      </c>
      <c r="G982" s="475"/>
      <c r="H982" s="475">
        <f>H983</f>
        <v>32762.400000000001</v>
      </c>
      <c r="I982" s="475"/>
      <c r="J982" s="475">
        <f>J983</f>
        <v>32762.400000000001</v>
      </c>
      <c r="K982" s="475"/>
      <c r="L982" s="465"/>
      <c r="N982" s="465"/>
      <c r="O982" s="465"/>
    </row>
    <row r="983" spans="1:15" s="513" customFormat="1" ht="31.5" x14ac:dyDescent="0.25">
      <c r="A983" s="519" t="str">
        <f>'ведом. 2021-2023'!X543</f>
        <v>Предоставление субсидий бюджетным, автономным учреждениям и иным некоммерческим организациям</v>
      </c>
      <c r="B983" s="613">
        <v>11</v>
      </c>
      <c r="C983" s="235" t="s">
        <v>567</v>
      </c>
      <c r="D983" s="442" t="s">
        <v>2296</v>
      </c>
      <c r="E983" s="238">
        <v>600</v>
      </c>
      <c r="F983" s="292">
        <f>F984</f>
        <v>32762.400000000001</v>
      </c>
      <c r="G983" s="475"/>
      <c r="H983" s="475">
        <f>H984</f>
        <v>32762.400000000001</v>
      </c>
      <c r="I983" s="475"/>
      <c r="J983" s="475">
        <f>J984</f>
        <v>32762.400000000001</v>
      </c>
      <c r="K983" s="475"/>
      <c r="L983" s="465"/>
      <c r="N983" s="465"/>
      <c r="O983" s="465"/>
    </row>
    <row r="984" spans="1:15" s="513" customFormat="1" x14ac:dyDescent="0.25">
      <c r="A984" s="519" t="str">
        <f>'ведом. 2021-2023'!X544</f>
        <v>Субсидии бюджетным учреждениям</v>
      </c>
      <c r="B984" s="613">
        <v>11</v>
      </c>
      <c r="C984" s="235" t="s">
        <v>567</v>
      </c>
      <c r="D984" s="442" t="s">
        <v>2296</v>
      </c>
      <c r="E984" s="238">
        <v>610</v>
      </c>
      <c r="F984" s="292">
        <f>'ведом. 2021-2023'!AD544</f>
        <v>32762.400000000001</v>
      </c>
      <c r="G984" s="475"/>
      <c r="H984" s="475">
        <f>'ведом. 2021-2023'!AE544</f>
        <v>32762.400000000001</v>
      </c>
      <c r="I984" s="475"/>
      <c r="J984" s="475">
        <f>'ведом. 2021-2023'!AF544</f>
        <v>32762.400000000001</v>
      </c>
      <c r="K984" s="475"/>
      <c r="L984" s="465"/>
      <c r="N984" s="465"/>
      <c r="O984" s="465"/>
    </row>
    <row r="985" spans="1:15" s="513" customFormat="1" ht="46.9" customHeight="1" x14ac:dyDescent="0.25">
      <c r="A985" s="519" t="s">
        <v>2413</v>
      </c>
      <c r="B985" s="613">
        <v>11</v>
      </c>
      <c r="C985" s="235" t="s">
        <v>567</v>
      </c>
      <c r="D985" s="442" t="s">
        <v>2297</v>
      </c>
      <c r="E985" s="238"/>
      <c r="F985" s="292">
        <f>F986</f>
        <v>18448.2</v>
      </c>
      <c r="G985" s="475"/>
      <c r="H985" s="475">
        <f>H986</f>
        <v>18448.2</v>
      </c>
      <c r="I985" s="475"/>
      <c r="J985" s="475">
        <f>J986</f>
        <v>18448.2</v>
      </c>
      <c r="K985" s="475"/>
      <c r="L985" s="465"/>
      <c r="N985" s="465"/>
      <c r="O985" s="465"/>
    </row>
    <row r="986" spans="1:15" s="513" customFormat="1" ht="31.5" x14ac:dyDescent="0.25">
      <c r="A986" s="628" t="s">
        <v>1342</v>
      </c>
      <c r="B986" s="613">
        <v>11</v>
      </c>
      <c r="C986" s="235" t="s">
        <v>567</v>
      </c>
      <c r="D986" s="442" t="s">
        <v>2297</v>
      </c>
      <c r="E986" s="238">
        <v>600</v>
      </c>
      <c r="F986" s="292">
        <f>F987</f>
        <v>18448.2</v>
      </c>
      <c r="G986" s="475"/>
      <c r="H986" s="475">
        <f>H987</f>
        <v>18448.2</v>
      </c>
      <c r="I986" s="475"/>
      <c r="J986" s="475">
        <f>J987</f>
        <v>18448.2</v>
      </c>
      <c r="K986" s="475"/>
      <c r="L986" s="465"/>
      <c r="N986" s="465"/>
      <c r="O986" s="465"/>
    </row>
    <row r="987" spans="1:15" s="513" customFormat="1" x14ac:dyDescent="0.25">
      <c r="A987" s="623" t="s">
        <v>1343</v>
      </c>
      <c r="B987" s="613">
        <v>11</v>
      </c>
      <c r="C987" s="235" t="s">
        <v>567</v>
      </c>
      <c r="D987" s="442" t="s">
        <v>2297</v>
      </c>
      <c r="E987" s="238">
        <v>610</v>
      </c>
      <c r="F987" s="292">
        <f>'ведом. 2021-2023'!AD547</f>
        <v>18448.2</v>
      </c>
      <c r="G987" s="475"/>
      <c r="H987" s="475">
        <f>'ведом. 2021-2023'!AE547</f>
        <v>18448.2</v>
      </c>
      <c r="I987" s="475"/>
      <c r="J987" s="475">
        <f>'ведом. 2021-2023'!AF547</f>
        <v>18448.2</v>
      </c>
      <c r="K987" s="475"/>
      <c r="L987" s="465"/>
      <c r="N987" s="465"/>
      <c r="O987" s="465"/>
    </row>
    <row r="988" spans="1:15" s="441" customFormat="1" x14ac:dyDescent="0.25">
      <c r="A988" s="607" t="s">
        <v>1640</v>
      </c>
      <c r="B988" s="574">
        <v>13</v>
      </c>
      <c r="C988" s="247"/>
      <c r="D988" s="271"/>
      <c r="E988" s="575"/>
      <c r="F988" s="733">
        <f>F990</f>
        <v>15321.500000000002</v>
      </c>
      <c r="G988" s="478"/>
      <c r="H988" s="478">
        <f>H990</f>
        <v>25000</v>
      </c>
      <c r="I988" s="478"/>
      <c r="J988" s="478">
        <f>J990</f>
        <v>25000</v>
      </c>
      <c r="K988" s="478"/>
      <c r="L988" s="465"/>
      <c r="N988" s="465"/>
      <c r="O988" s="465"/>
    </row>
    <row r="989" spans="1:15" s="513" customFormat="1" x14ac:dyDescent="0.25">
      <c r="A989" s="519" t="s">
        <v>2300</v>
      </c>
      <c r="B989" s="246">
        <v>13</v>
      </c>
      <c r="C989" s="235" t="s">
        <v>566</v>
      </c>
      <c r="D989" s="442"/>
      <c r="E989" s="575"/>
      <c r="F989" s="292">
        <f>F990</f>
        <v>15321.500000000002</v>
      </c>
      <c r="G989" s="475"/>
      <c r="H989" s="475">
        <f>H990</f>
        <v>25000</v>
      </c>
      <c r="I989" s="475"/>
      <c r="J989" s="475">
        <f>J990</f>
        <v>25000</v>
      </c>
      <c r="K989" s="478"/>
      <c r="L989" s="465"/>
      <c r="N989" s="465"/>
      <c r="O989" s="465"/>
    </row>
    <row r="990" spans="1:15" s="441" customFormat="1" x14ac:dyDescent="0.25">
      <c r="A990" s="520" t="s">
        <v>1898</v>
      </c>
      <c r="B990" s="246">
        <v>13</v>
      </c>
      <c r="C990" s="235" t="s">
        <v>566</v>
      </c>
      <c r="D990" s="442" t="s">
        <v>1771</v>
      </c>
      <c r="E990" s="238"/>
      <c r="F990" s="292">
        <f>F994</f>
        <v>15321.500000000002</v>
      </c>
      <c r="G990" s="475"/>
      <c r="H990" s="475">
        <f>H994</f>
        <v>25000</v>
      </c>
      <c r="I990" s="475"/>
      <c r="J990" s="475">
        <f>J994</f>
        <v>25000</v>
      </c>
      <c r="K990" s="475"/>
      <c r="L990" s="465"/>
      <c r="N990" s="465"/>
      <c r="O990" s="465"/>
    </row>
    <row r="991" spans="1:15" s="441" customFormat="1" x14ac:dyDescent="0.25">
      <c r="A991" s="520" t="s">
        <v>1902</v>
      </c>
      <c r="B991" s="246">
        <v>13</v>
      </c>
      <c r="C991" s="235" t="s">
        <v>566</v>
      </c>
      <c r="D991" s="442" t="s">
        <v>1807</v>
      </c>
      <c r="E991" s="238"/>
      <c r="F991" s="292">
        <f>F994</f>
        <v>15321.500000000002</v>
      </c>
      <c r="G991" s="475"/>
      <c r="H991" s="475">
        <f>H994</f>
        <v>25000</v>
      </c>
      <c r="I991" s="475"/>
      <c r="J991" s="475">
        <f>J994</f>
        <v>25000</v>
      </c>
      <c r="K991" s="475"/>
      <c r="L991" s="465"/>
      <c r="N991" s="465"/>
      <c r="O991" s="465"/>
    </row>
    <row r="992" spans="1:15" s="441" customFormat="1" x14ac:dyDescent="0.25">
      <c r="A992" s="521" t="s">
        <v>1903</v>
      </c>
      <c r="B992" s="246">
        <v>13</v>
      </c>
      <c r="C992" s="235" t="s">
        <v>566</v>
      </c>
      <c r="D992" s="442" t="s">
        <v>1904</v>
      </c>
      <c r="E992" s="238"/>
      <c r="F992" s="292">
        <f>F993</f>
        <v>15321.500000000002</v>
      </c>
      <c r="G992" s="475"/>
      <c r="H992" s="475">
        <f>H993</f>
        <v>25000</v>
      </c>
      <c r="I992" s="475"/>
      <c r="J992" s="475">
        <f>J993</f>
        <v>25000</v>
      </c>
      <c r="K992" s="475"/>
      <c r="L992" s="465"/>
      <c r="N992" s="465"/>
      <c r="O992" s="465"/>
    </row>
    <row r="993" spans="1:15" s="441" customFormat="1" x14ac:dyDescent="0.25">
      <c r="A993" s="520" t="s">
        <v>1905</v>
      </c>
      <c r="B993" s="246">
        <v>13</v>
      </c>
      <c r="C993" s="235" t="s">
        <v>566</v>
      </c>
      <c r="D993" s="442" t="s">
        <v>1906</v>
      </c>
      <c r="E993" s="238"/>
      <c r="F993" s="292">
        <f>F994</f>
        <v>15321.500000000002</v>
      </c>
      <c r="G993" s="475"/>
      <c r="H993" s="475">
        <f>H994</f>
        <v>25000</v>
      </c>
      <c r="I993" s="475"/>
      <c r="J993" s="475">
        <f>J994</f>
        <v>25000</v>
      </c>
      <c r="K993" s="475"/>
      <c r="L993" s="465"/>
      <c r="N993" s="465"/>
      <c r="O993" s="465"/>
    </row>
    <row r="994" spans="1:15" s="441" customFormat="1" x14ac:dyDescent="0.25">
      <c r="A994" s="523" t="s">
        <v>1567</v>
      </c>
      <c r="B994" s="246">
        <v>13</v>
      </c>
      <c r="C994" s="235" t="s">
        <v>566</v>
      </c>
      <c r="D994" s="442" t="s">
        <v>1906</v>
      </c>
      <c r="E994" s="238">
        <v>700</v>
      </c>
      <c r="F994" s="292">
        <f>F995</f>
        <v>15321.500000000002</v>
      </c>
      <c r="G994" s="475"/>
      <c r="H994" s="475">
        <f>H995</f>
        <v>25000</v>
      </c>
      <c r="I994" s="475"/>
      <c r="J994" s="475">
        <f>J995</f>
        <v>25000</v>
      </c>
      <c r="K994" s="475"/>
      <c r="L994" s="465"/>
      <c r="N994" s="465"/>
      <c r="O994" s="465"/>
    </row>
    <row r="995" spans="1:15" s="441" customFormat="1" ht="17.25" thickBot="1" x14ac:dyDescent="0.3">
      <c r="A995" s="610" t="s">
        <v>2301</v>
      </c>
      <c r="B995" s="619">
        <v>13</v>
      </c>
      <c r="C995" s="491" t="s">
        <v>566</v>
      </c>
      <c r="D995" s="492" t="s">
        <v>1906</v>
      </c>
      <c r="E995" s="600">
        <v>730</v>
      </c>
      <c r="F995" s="742">
        <f>'ведом. 2021-2023'!AD554</f>
        <v>15321.500000000002</v>
      </c>
      <c r="G995" s="483"/>
      <c r="H995" s="483">
        <f>'ведом. 2021-2023'!AE554</f>
        <v>25000</v>
      </c>
      <c r="I995" s="483"/>
      <c r="J995" s="483">
        <f>'ведом. 2021-2023'!AF554</f>
        <v>25000</v>
      </c>
      <c r="K995" s="483"/>
      <c r="L995" s="465"/>
      <c r="N995" s="465"/>
      <c r="O995" s="465"/>
    </row>
    <row r="996" spans="1:15" s="441" customFormat="1" ht="17.25" thickBot="1" x14ac:dyDescent="0.3">
      <c r="A996" s="612" t="s">
        <v>1313</v>
      </c>
      <c r="B996" s="601"/>
      <c r="C996" s="493"/>
      <c r="D996" s="490"/>
      <c r="E996" s="497"/>
      <c r="F996" s="484">
        <f t="shared" ref="F996:K996" si="230">F988+F958+F911+F903+F847+F660+F446+F357+F287+F272+F15+F647</f>
        <v>3811600.8</v>
      </c>
      <c r="G996" s="484">
        <f t="shared" si="230"/>
        <v>2640787</v>
      </c>
      <c r="H996" s="484">
        <f t="shared" si="230"/>
        <v>2395728.2999999998</v>
      </c>
      <c r="I996" s="484">
        <f t="shared" si="230"/>
        <v>1461873.0999999999</v>
      </c>
      <c r="J996" s="484">
        <f t="shared" si="230"/>
        <v>1711223.6999999997</v>
      </c>
      <c r="K996" s="485">
        <f t="shared" si="230"/>
        <v>792283.60000000009</v>
      </c>
      <c r="L996" s="465"/>
      <c r="N996" s="465"/>
      <c r="O996" s="465"/>
    </row>
    <row r="997" spans="1:15" x14ac:dyDescent="0.25">
      <c r="K997" s="454"/>
      <c r="O997" s="454"/>
    </row>
    <row r="998" spans="1:15" x14ac:dyDescent="0.25">
      <c r="O998" s="454"/>
    </row>
    <row r="999" spans="1:15" x14ac:dyDescent="0.25">
      <c r="A999" s="502"/>
      <c r="B999" s="433"/>
      <c r="C999" s="433"/>
      <c r="D999" s="434"/>
      <c r="E999" s="433"/>
      <c r="F999" s="282">
        <f>F936+F927+F184</f>
        <v>39202.9</v>
      </c>
      <c r="G999" s="282">
        <f>G936+G927+G184</f>
        <v>36550.5</v>
      </c>
      <c r="H999" s="282">
        <f>H936+H927+H184</f>
        <v>39334</v>
      </c>
      <c r="I999" s="282">
        <f>I936+I927+I184</f>
        <v>37222</v>
      </c>
      <c r="J999" s="282">
        <f>J936+J927+J184</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92"/>
  <sheetViews>
    <sheetView view="pageBreakPreview" topLeftCell="A766" zoomScaleNormal="75" zoomScaleSheetLayoutView="100" workbookViewId="0">
      <selection activeCell="H11" sqref="H11"/>
    </sheetView>
  </sheetViews>
  <sheetFormatPr defaultColWidth="9.28515625" defaultRowHeight="15.75" x14ac:dyDescent="0.25"/>
  <cols>
    <col min="1" max="1" width="97" style="435" customWidth="1"/>
    <col min="2" max="2" width="19.85546875" style="501" customWidth="1"/>
    <col min="3" max="3" width="6.7109375" style="439" customWidth="1"/>
    <col min="4" max="5" width="12.85546875" style="440" customWidth="1"/>
    <col min="6" max="6" width="13.85546875" style="441" customWidth="1"/>
    <col min="7" max="7" width="20" style="441" customWidth="1"/>
    <col min="8" max="16384" width="9.28515625" style="441"/>
  </cols>
  <sheetData>
    <row r="1" spans="1:9" s="513" customFormat="1" x14ac:dyDescent="0.2">
      <c r="A1" s="435"/>
      <c r="B1" s="850" t="s">
        <v>2314</v>
      </c>
      <c r="C1" s="851"/>
      <c r="D1" s="851"/>
      <c r="E1" s="851"/>
      <c r="F1" s="851"/>
    </row>
    <row r="2" spans="1:9" s="513" customFormat="1" x14ac:dyDescent="0.25">
      <c r="A2" s="435"/>
      <c r="B2" s="719"/>
      <c r="C2" s="720"/>
      <c r="D2" s="720"/>
      <c r="E2" s="842" t="s">
        <v>2384</v>
      </c>
      <c r="F2" s="843"/>
    </row>
    <row r="3" spans="1:9" s="513" customFormat="1" x14ac:dyDescent="0.25">
      <c r="A3" s="435"/>
      <c r="B3" s="842" t="s">
        <v>2318</v>
      </c>
      <c r="C3" s="856"/>
      <c r="D3" s="856"/>
      <c r="E3" s="856"/>
      <c r="F3" s="851"/>
    </row>
    <row r="4" spans="1:9" s="513" customFormat="1" x14ac:dyDescent="0.25">
      <c r="A4" s="435"/>
      <c r="B4" s="853" t="s">
        <v>2319</v>
      </c>
      <c r="C4" s="855"/>
      <c r="D4" s="855"/>
      <c r="E4" s="855"/>
      <c r="F4" s="851"/>
    </row>
    <row r="5" spans="1:9" s="513" customFormat="1" x14ac:dyDescent="0.25">
      <c r="A5" s="435"/>
      <c r="B5" s="718"/>
      <c r="C5" s="723"/>
      <c r="D5" s="723"/>
      <c r="E5" s="723"/>
      <c r="F5" s="720"/>
    </row>
    <row r="6" spans="1:9" s="513" customFormat="1" x14ac:dyDescent="0.2">
      <c r="A6" s="435"/>
      <c r="B6" s="850" t="s">
        <v>2389</v>
      </c>
      <c r="C6" s="851"/>
      <c r="D6" s="851"/>
      <c r="E6" s="851"/>
      <c r="F6" s="851"/>
    </row>
    <row r="7" spans="1:9" s="513" customFormat="1" x14ac:dyDescent="0.25">
      <c r="A7" s="435"/>
      <c r="B7" s="842" t="s">
        <v>2318</v>
      </c>
      <c r="C7" s="856"/>
      <c r="D7" s="856"/>
      <c r="E7" s="856"/>
      <c r="F7" s="851"/>
    </row>
    <row r="8" spans="1:9" s="513" customFormat="1" x14ac:dyDescent="0.25">
      <c r="A8" s="435"/>
      <c r="B8" s="853" t="s">
        <v>2388</v>
      </c>
      <c r="C8" s="855"/>
      <c r="D8" s="855"/>
      <c r="E8" s="855"/>
      <c r="F8" s="851"/>
    </row>
    <row r="9" spans="1:9" s="513" customFormat="1" x14ac:dyDescent="0.25">
      <c r="A9" s="435"/>
      <c r="B9" s="498"/>
      <c r="C9" s="287"/>
      <c r="D9" s="288"/>
      <c r="E9" s="288"/>
    </row>
    <row r="10" spans="1:9" x14ac:dyDescent="0.2">
      <c r="B10" s="850"/>
      <c r="C10" s="851"/>
      <c r="D10" s="851"/>
      <c r="E10" s="851"/>
      <c r="F10" s="851"/>
    </row>
    <row r="11" spans="1:9" s="513" customFormat="1" x14ac:dyDescent="0.25">
      <c r="A11" s="435"/>
      <c r="B11" s="842"/>
      <c r="C11" s="856"/>
      <c r="D11" s="856"/>
      <c r="E11" s="856"/>
      <c r="F11" s="851"/>
    </row>
    <row r="12" spans="1:9" s="513" customFormat="1" x14ac:dyDescent="0.25">
      <c r="A12" s="435"/>
      <c r="B12" s="853"/>
      <c r="C12" s="855"/>
      <c r="D12" s="855"/>
      <c r="E12" s="855"/>
      <c r="F12" s="851"/>
    </row>
    <row r="13" spans="1:9" s="513" customFormat="1" x14ac:dyDescent="0.25">
      <c r="A13" s="435"/>
      <c r="B13" s="453"/>
      <c r="C13" s="433"/>
      <c r="D13" s="245"/>
      <c r="E13" s="245"/>
    </row>
    <row r="14" spans="1:9" s="513" customFormat="1" x14ac:dyDescent="0.25">
      <c r="A14" s="435"/>
      <c r="B14" s="453"/>
      <c r="C14" s="433"/>
      <c r="D14" s="245"/>
      <c r="E14" s="245"/>
    </row>
    <row r="15" spans="1:9" ht="77.45" customHeight="1" x14ac:dyDescent="0.2">
      <c r="A15" s="857" t="s">
        <v>2329</v>
      </c>
      <c r="B15" s="857"/>
      <c r="C15" s="857"/>
      <c r="D15" s="858"/>
      <c r="E15" s="858"/>
      <c r="F15" s="859"/>
    </row>
    <row r="16" spans="1:9" x14ac:dyDescent="0.25">
      <c r="A16" s="274"/>
      <c r="B16" s="498"/>
      <c r="C16" s="287"/>
      <c r="D16" s="288"/>
      <c r="E16" s="288"/>
      <c r="F16" s="649"/>
      <c r="G16" s="648"/>
      <c r="H16" s="648"/>
      <c r="I16" s="648"/>
    </row>
    <row r="17" spans="1:9" ht="16.5" thickBot="1" x14ac:dyDescent="0.3">
      <c r="A17" s="274"/>
      <c r="B17" s="498"/>
      <c r="C17" s="287"/>
      <c r="D17" s="288"/>
      <c r="E17" s="288"/>
      <c r="F17" s="288" t="s">
        <v>1832</v>
      </c>
      <c r="G17" s="685"/>
      <c r="H17" s="685"/>
      <c r="I17" s="685"/>
    </row>
    <row r="18" spans="1:9" ht="32.25" thickBot="1" x14ac:dyDescent="0.25">
      <c r="A18" s="515" t="s">
        <v>1600</v>
      </c>
      <c r="B18" s="273" t="s">
        <v>38</v>
      </c>
      <c r="C18" s="273" t="s">
        <v>1392</v>
      </c>
      <c r="D18" s="555" t="s">
        <v>2226</v>
      </c>
      <c r="E18" s="555" t="s">
        <v>2227</v>
      </c>
      <c r="F18" s="653" t="s">
        <v>2303</v>
      </c>
      <c r="G18" s="636"/>
      <c r="H18" s="636"/>
      <c r="I18" s="636"/>
    </row>
    <row r="19" spans="1:9" ht="16.5" thickBot="1" x14ac:dyDescent="0.3">
      <c r="A19" s="516">
        <v>1</v>
      </c>
      <c r="B19" s="499">
        <v>2</v>
      </c>
      <c r="C19" s="468">
        <v>3</v>
      </c>
      <c r="D19" s="494">
        <v>4</v>
      </c>
      <c r="E19" s="494">
        <v>5</v>
      </c>
      <c r="F19" s="494">
        <v>6</v>
      </c>
      <c r="G19" s="456"/>
      <c r="H19" s="458"/>
      <c r="I19" s="432"/>
    </row>
    <row r="20" spans="1:9" s="436" customFormat="1" x14ac:dyDescent="0.25">
      <c r="A20" s="775" t="s">
        <v>1840</v>
      </c>
      <c r="B20" s="798" t="s">
        <v>1757</v>
      </c>
      <c r="C20" s="748"/>
      <c r="D20" s="487">
        <f t="shared" ref="D20:F24" si="0">D21</f>
        <v>4880</v>
      </c>
      <c r="E20" s="487">
        <f t="shared" si="0"/>
        <v>3780</v>
      </c>
      <c r="F20" s="487">
        <f t="shared" si="0"/>
        <v>3780</v>
      </c>
      <c r="G20" s="461"/>
      <c r="H20" s="458"/>
      <c r="I20" s="432"/>
    </row>
    <row r="21" spans="1:9" x14ac:dyDescent="0.25">
      <c r="A21" s="517" t="s">
        <v>1841</v>
      </c>
      <c r="B21" s="467" t="s">
        <v>1758</v>
      </c>
      <c r="C21" s="749"/>
      <c r="D21" s="285">
        <f t="shared" si="0"/>
        <v>4880</v>
      </c>
      <c r="E21" s="285">
        <f t="shared" si="0"/>
        <v>3780</v>
      </c>
      <c r="F21" s="285">
        <f t="shared" si="0"/>
        <v>3780</v>
      </c>
      <c r="G21" s="461"/>
      <c r="H21" s="437"/>
      <c r="I21" s="437"/>
    </row>
    <row r="22" spans="1:9" x14ac:dyDescent="0.25">
      <c r="A22" s="517" t="s">
        <v>1842</v>
      </c>
      <c r="B22" s="467" t="s">
        <v>1843</v>
      </c>
      <c r="C22" s="749"/>
      <c r="D22" s="285">
        <f t="shared" si="0"/>
        <v>4880</v>
      </c>
      <c r="E22" s="285">
        <f t="shared" si="0"/>
        <v>3780</v>
      </c>
      <c r="F22" s="285">
        <f t="shared" si="0"/>
        <v>3780</v>
      </c>
      <c r="G22" s="461"/>
    </row>
    <row r="23" spans="1:9" ht="47.25" x14ac:dyDescent="0.25">
      <c r="A23" s="518" t="s">
        <v>1844</v>
      </c>
      <c r="B23" s="467" t="s">
        <v>1845</v>
      </c>
      <c r="C23" s="749"/>
      <c r="D23" s="285">
        <f t="shared" si="0"/>
        <v>4880</v>
      </c>
      <c r="E23" s="285">
        <f t="shared" si="0"/>
        <v>3780</v>
      </c>
      <c r="F23" s="285">
        <f t="shared" si="0"/>
        <v>3780</v>
      </c>
      <c r="G23" s="461"/>
    </row>
    <row r="24" spans="1:9" x14ac:dyDescent="0.25">
      <c r="A24" s="514" t="s">
        <v>1754</v>
      </c>
      <c r="B24" s="467" t="s">
        <v>1845</v>
      </c>
      <c r="C24" s="749">
        <v>300</v>
      </c>
      <c r="D24" s="285">
        <f t="shared" si="0"/>
        <v>4880</v>
      </c>
      <c r="E24" s="285">
        <f t="shared" si="0"/>
        <v>3780</v>
      </c>
      <c r="F24" s="285">
        <f t="shared" si="0"/>
        <v>3780</v>
      </c>
      <c r="G24" s="461"/>
    </row>
    <row r="25" spans="1:9" x14ac:dyDescent="0.25">
      <c r="A25" s="514" t="s">
        <v>868</v>
      </c>
      <c r="B25" s="467" t="s">
        <v>1845</v>
      </c>
      <c r="C25" s="749">
        <v>320</v>
      </c>
      <c r="D25" s="285">
        <f>'Функц. 2021-2023'!F910</f>
        <v>4880</v>
      </c>
      <c r="E25" s="285">
        <f>'Функц. 2021-2023'!H910</f>
        <v>3780</v>
      </c>
      <c r="F25" s="285">
        <f>'Функц. 2021-2023'!J910</f>
        <v>3780</v>
      </c>
      <c r="G25" s="461"/>
    </row>
    <row r="26" spans="1:9" s="436" customFormat="1" x14ac:dyDescent="0.25">
      <c r="A26" s="776" t="s">
        <v>1998</v>
      </c>
      <c r="B26" s="500" t="s">
        <v>1774</v>
      </c>
      <c r="C26" s="750"/>
      <c r="D26" s="289">
        <f>D27+D32+D43+D72+D62+D67</f>
        <v>176422.5</v>
      </c>
      <c r="E26" s="289">
        <f>E27+E32+E43+E72+E62+E67</f>
        <v>135103.5</v>
      </c>
      <c r="F26" s="289">
        <f>F27+F32+F43+F72+F62+F67</f>
        <v>135104.5</v>
      </c>
      <c r="G26" s="461"/>
    </row>
    <row r="27" spans="1:9" x14ac:dyDescent="0.25">
      <c r="A27" s="520" t="s">
        <v>2333</v>
      </c>
      <c r="B27" s="467" t="s">
        <v>2128</v>
      </c>
      <c r="C27" s="751"/>
      <c r="D27" s="285">
        <f t="shared" ref="D27:F30" si="1">D28</f>
        <v>16732.5</v>
      </c>
      <c r="E27" s="285">
        <f t="shared" si="1"/>
        <v>15732.5</v>
      </c>
      <c r="F27" s="285">
        <f t="shared" si="1"/>
        <v>15732.5</v>
      </c>
      <c r="G27" s="461"/>
    </row>
    <row r="28" spans="1:9" x14ac:dyDescent="0.25">
      <c r="A28" s="517" t="s">
        <v>2129</v>
      </c>
      <c r="B28" s="467" t="s">
        <v>2130</v>
      </c>
      <c r="C28" s="751"/>
      <c r="D28" s="285">
        <f t="shared" si="1"/>
        <v>16732.5</v>
      </c>
      <c r="E28" s="285">
        <f t="shared" si="1"/>
        <v>15732.5</v>
      </c>
      <c r="F28" s="285">
        <f t="shared" si="1"/>
        <v>15732.5</v>
      </c>
      <c r="G28" s="461"/>
    </row>
    <row r="29" spans="1:9" ht="31.5" x14ac:dyDescent="0.25">
      <c r="A29" s="777" t="s">
        <v>1999</v>
      </c>
      <c r="B29" s="467" t="s">
        <v>2000</v>
      </c>
      <c r="C29" s="751"/>
      <c r="D29" s="285">
        <f t="shared" si="1"/>
        <v>16732.5</v>
      </c>
      <c r="E29" s="285">
        <f t="shared" si="1"/>
        <v>15732.5</v>
      </c>
      <c r="F29" s="285">
        <f t="shared" si="1"/>
        <v>15732.5</v>
      </c>
      <c r="G29" s="461"/>
    </row>
    <row r="30" spans="1:9" ht="31.5" x14ac:dyDescent="0.25">
      <c r="A30" s="514" t="s">
        <v>1342</v>
      </c>
      <c r="B30" s="467" t="s">
        <v>2000</v>
      </c>
      <c r="C30" s="749">
        <v>600</v>
      </c>
      <c r="D30" s="285">
        <f t="shared" si="1"/>
        <v>16732.5</v>
      </c>
      <c r="E30" s="285">
        <f t="shared" si="1"/>
        <v>15732.5</v>
      </c>
      <c r="F30" s="285">
        <f t="shared" si="1"/>
        <v>15732.5</v>
      </c>
      <c r="G30" s="461"/>
    </row>
    <row r="31" spans="1:9" x14ac:dyDescent="0.25">
      <c r="A31" s="514" t="s">
        <v>1343</v>
      </c>
      <c r="B31" s="467" t="s">
        <v>2000</v>
      </c>
      <c r="C31" s="749">
        <v>610</v>
      </c>
      <c r="D31" s="285">
        <f>'Функц. 2021-2023'!F854</f>
        <v>16732.5</v>
      </c>
      <c r="E31" s="285">
        <f>'Функц. 2021-2023'!H854</f>
        <v>15732.5</v>
      </c>
      <c r="F31" s="285">
        <f>'Функц. 2021-2023'!J854</f>
        <v>15732.5</v>
      </c>
      <c r="G31" s="461"/>
    </row>
    <row r="32" spans="1:9" x14ac:dyDescent="0.25">
      <c r="A32" s="517" t="s">
        <v>2335</v>
      </c>
      <c r="B32" s="467" t="s">
        <v>1820</v>
      </c>
      <c r="C32" s="752"/>
      <c r="D32" s="285">
        <f>D33</f>
        <v>28335.899999999998</v>
      </c>
      <c r="E32" s="285">
        <f>E33</f>
        <v>23482.799999999999</v>
      </c>
      <c r="F32" s="285">
        <f>F33</f>
        <v>23482.799999999999</v>
      </c>
      <c r="G32" s="461"/>
    </row>
    <row r="33" spans="1:7" ht="31.5" x14ac:dyDescent="0.25">
      <c r="A33" s="517" t="s">
        <v>2001</v>
      </c>
      <c r="B33" s="467" t="s">
        <v>1821</v>
      </c>
      <c r="C33" s="749"/>
      <c r="D33" s="285">
        <f>D34+D37+D40</f>
        <v>28335.899999999998</v>
      </c>
      <c r="E33" s="285">
        <f t="shared" ref="E33:F33" si="2">E34+E37+E40</f>
        <v>23482.799999999999</v>
      </c>
      <c r="F33" s="285">
        <f t="shared" si="2"/>
        <v>23482.799999999999</v>
      </c>
      <c r="G33" s="461"/>
    </row>
    <row r="34" spans="1:7" ht="31.5" x14ac:dyDescent="0.25">
      <c r="A34" s="777" t="s">
        <v>2002</v>
      </c>
      <c r="B34" s="467" t="s">
        <v>2003</v>
      </c>
      <c r="C34" s="749"/>
      <c r="D34" s="285">
        <f t="shared" ref="D34:F35" si="3">D35</f>
        <v>1000</v>
      </c>
      <c r="E34" s="285">
        <f t="shared" si="3"/>
        <v>1000</v>
      </c>
      <c r="F34" s="285">
        <f t="shared" si="3"/>
        <v>1000</v>
      </c>
      <c r="G34" s="461"/>
    </row>
    <row r="35" spans="1:7" ht="31.5" x14ac:dyDescent="0.25">
      <c r="A35" s="514" t="s">
        <v>1342</v>
      </c>
      <c r="B35" s="467" t="s">
        <v>2003</v>
      </c>
      <c r="C35" s="749">
        <v>600</v>
      </c>
      <c r="D35" s="285">
        <f t="shared" si="3"/>
        <v>1000</v>
      </c>
      <c r="E35" s="285">
        <f t="shared" si="3"/>
        <v>1000</v>
      </c>
      <c r="F35" s="285">
        <f t="shared" si="3"/>
        <v>1000</v>
      </c>
      <c r="G35" s="461"/>
    </row>
    <row r="36" spans="1:7" x14ac:dyDescent="0.25">
      <c r="A36" s="514" t="s">
        <v>1343</v>
      </c>
      <c r="B36" s="467" t="s">
        <v>2003</v>
      </c>
      <c r="C36" s="749">
        <v>610</v>
      </c>
      <c r="D36" s="285">
        <f>'Функц. 2021-2023'!F859</f>
        <v>1000</v>
      </c>
      <c r="E36" s="285">
        <f>'Функц. 2021-2023'!H859</f>
        <v>1000</v>
      </c>
      <c r="F36" s="285">
        <f>'Функц. 2021-2023'!J859</f>
        <v>1000</v>
      </c>
      <c r="G36" s="461"/>
    </row>
    <row r="37" spans="1:7" ht="31.5" x14ac:dyDescent="0.25">
      <c r="A37" s="514" t="s">
        <v>2004</v>
      </c>
      <c r="B37" s="467" t="s">
        <v>2005</v>
      </c>
      <c r="C37" s="749"/>
      <c r="D37" s="285">
        <f t="shared" ref="D37:F38" si="4">D38</f>
        <v>26952.799999999999</v>
      </c>
      <c r="E37" s="285">
        <f t="shared" si="4"/>
        <v>22482.799999999999</v>
      </c>
      <c r="F37" s="285">
        <f t="shared" si="4"/>
        <v>22482.799999999999</v>
      </c>
      <c r="G37" s="461"/>
    </row>
    <row r="38" spans="1:7" ht="31.5" x14ac:dyDescent="0.25">
      <c r="A38" s="514" t="s">
        <v>1342</v>
      </c>
      <c r="B38" s="467" t="s">
        <v>2005</v>
      </c>
      <c r="C38" s="749">
        <v>600</v>
      </c>
      <c r="D38" s="285">
        <f t="shared" si="4"/>
        <v>26952.799999999999</v>
      </c>
      <c r="E38" s="285">
        <f t="shared" si="4"/>
        <v>22482.799999999999</v>
      </c>
      <c r="F38" s="285">
        <f t="shared" si="4"/>
        <v>22482.799999999999</v>
      </c>
      <c r="G38" s="461"/>
    </row>
    <row r="39" spans="1:7" x14ac:dyDescent="0.25">
      <c r="A39" s="514" t="s">
        <v>1343</v>
      </c>
      <c r="B39" s="467" t="s">
        <v>2005</v>
      </c>
      <c r="C39" s="749">
        <v>610</v>
      </c>
      <c r="D39" s="285">
        <f>'Функц. 2021-2023'!F862</f>
        <v>26952.799999999999</v>
      </c>
      <c r="E39" s="285">
        <f>'Функц. 2021-2023'!H862</f>
        <v>22482.799999999999</v>
      </c>
      <c r="F39" s="285">
        <f>'Функц. 2021-2023'!J862</f>
        <v>22482.799999999999</v>
      </c>
      <c r="G39" s="461"/>
    </row>
    <row r="40" spans="1:7" s="513" customFormat="1" ht="63" x14ac:dyDescent="0.25">
      <c r="A40" s="519" t="s">
        <v>2475</v>
      </c>
      <c r="B40" s="442" t="s">
        <v>2476</v>
      </c>
      <c r="C40" s="238"/>
      <c r="D40" s="285">
        <f>D41</f>
        <v>383.1</v>
      </c>
      <c r="E40" s="285">
        <f t="shared" ref="E40:F40" si="5">E41</f>
        <v>0</v>
      </c>
      <c r="F40" s="285">
        <f t="shared" si="5"/>
        <v>0</v>
      </c>
      <c r="G40" s="461"/>
    </row>
    <row r="41" spans="1:7" s="513" customFormat="1" ht="31.5" x14ac:dyDescent="0.25">
      <c r="A41" s="519" t="s">
        <v>1342</v>
      </c>
      <c r="B41" s="442" t="s">
        <v>2476</v>
      </c>
      <c r="C41" s="238">
        <v>600</v>
      </c>
      <c r="D41" s="285">
        <f>D42</f>
        <v>383.1</v>
      </c>
      <c r="E41" s="285">
        <f t="shared" ref="E41:F41" si="6">E42</f>
        <v>0</v>
      </c>
      <c r="F41" s="285">
        <f t="shared" si="6"/>
        <v>0</v>
      </c>
      <c r="G41" s="461"/>
    </row>
    <row r="42" spans="1:7" s="513" customFormat="1" x14ac:dyDescent="0.25">
      <c r="A42" s="519" t="s">
        <v>1343</v>
      </c>
      <c r="B42" s="442" t="s">
        <v>2476</v>
      </c>
      <c r="C42" s="238">
        <v>610</v>
      </c>
      <c r="D42" s="285">
        <f>'Функц. 2021-2023'!F865</f>
        <v>383.1</v>
      </c>
      <c r="E42" s="285">
        <f>'Функц. 2021-2023'!H865</f>
        <v>0</v>
      </c>
      <c r="F42" s="285">
        <f>'Функц. 2021-2023'!J865</f>
        <v>0</v>
      </c>
      <c r="G42" s="461"/>
    </row>
    <row r="43" spans="1:7" ht="31.5" x14ac:dyDescent="0.25">
      <c r="A43" s="520" t="s">
        <v>2338</v>
      </c>
      <c r="B43" s="467" t="s">
        <v>2006</v>
      </c>
      <c r="C43" s="749"/>
      <c r="D43" s="285">
        <f>D44+D54</f>
        <v>66528.600000000006</v>
      </c>
      <c r="E43" s="285">
        <f>E44+E54</f>
        <v>50320.7</v>
      </c>
      <c r="F43" s="285">
        <f>F44+F54</f>
        <v>50320.7</v>
      </c>
      <c r="G43" s="461"/>
    </row>
    <row r="44" spans="1:7" ht="31.5" x14ac:dyDescent="0.25">
      <c r="A44" s="520" t="s">
        <v>2339</v>
      </c>
      <c r="B44" s="467" t="s">
        <v>2007</v>
      </c>
      <c r="C44" s="749"/>
      <c r="D44" s="285">
        <f>D45</f>
        <v>11163.1</v>
      </c>
      <c r="E44" s="285">
        <f>E45</f>
        <v>3635.2</v>
      </c>
      <c r="F44" s="285">
        <f>F45</f>
        <v>3635.2</v>
      </c>
      <c r="G44" s="461"/>
    </row>
    <row r="45" spans="1:7" x14ac:dyDescent="0.25">
      <c r="A45" s="777" t="s">
        <v>2008</v>
      </c>
      <c r="B45" s="467" t="s">
        <v>2009</v>
      </c>
      <c r="C45" s="749"/>
      <c r="D45" s="285">
        <f>D46+D51</f>
        <v>11163.1</v>
      </c>
      <c r="E45" s="285">
        <f>E46+E51</f>
        <v>3635.2</v>
      </c>
      <c r="F45" s="285">
        <f>F46+F51</f>
        <v>3635.2</v>
      </c>
      <c r="G45" s="461"/>
    </row>
    <row r="46" spans="1:7" ht="31.5" x14ac:dyDescent="0.25">
      <c r="A46" s="514" t="s">
        <v>2010</v>
      </c>
      <c r="B46" s="467" t="s">
        <v>2011</v>
      </c>
      <c r="C46" s="749"/>
      <c r="D46" s="285">
        <f>D49+D47</f>
        <v>10217.9</v>
      </c>
      <c r="E46" s="285">
        <f>E49+E47</f>
        <v>3200</v>
      </c>
      <c r="F46" s="285">
        <f>F49+F47</f>
        <v>3200</v>
      </c>
      <c r="G46" s="461"/>
    </row>
    <row r="47" spans="1:7" s="513" customFormat="1" x14ac:dyDescent="0.25">
      <c r="A47" s="514" t="s">
        <v>1781</v>
      </c>
      <c r="B47" s="467" t="s">
        <v>2011</v>
      </c>
      <c r="C47" s="749">
        <v>200</v>
      </c>
      <c r="D47" s="285">
        <f>D48</f>
        <v>1540.9</v>
      </c>
      <c r="E47" s="285">
        <f>E48</f>
        <v>500</v>
      </c>
      <c r="F47" s="285">
        <f>F48</f>
        <v>500</v>
      </c>
      <c r="G47" s="461"/>
    </row>
    <row r="48" spans="1:7" s="513" customFormat="1" x14ac:dyDescent="0.25">
      <c r="A48" s="514" t="s">
        <v>1273</v>
      </c>
      <c r="B48" s="467" t="s">
        <v>2011</v>
      </c>
      <c r="C48" s="749">
        <v>240</v>
      </c>
      <c r="D48" s="285">
        <f>'Функц. 2021-2023'!F871</f>
        <v>1540.9</v>
      </c>
      <c r="E48" s="285">
        <f>'Функц. 2021-2023'!H871</f>
        <v>500</v>
      </c>
      <c r="F48" s="285">
        <f>'Функц. 2021-2023'!J871</f>
        <v>500</v>
      </c>
      <c r="G48" s="461"/>
    </row>
    <row r="49" spans="1:7" ht="31.5" x14ac:dyDescent="0.25">
      <c r="A49" s="514" t="s">
        <v>1342</v>
      </c>
      <c r="B49" s="467" t="s">
        <v>2011</v>
      </c>
      <c r="C49" s="749">
        <v>600</v>
      </c>
      <c r="D49" s="285">
        <f>D50</f>
        <v>8677</v>
      </c>
      <c r="E49" s="285">
        <f>E50</f>
        <v>2700</v>
      </c>
      <c r="F49" s="285">
        <f>F50</f>
        <v>2700</v>
      </c>
      <c r="G49" s="461"/>
    </row>
    <row r="50" spans="1:7" x14ac:dyDescent="0.25">
      <c r="A50" s="514" t="s">
        <v>1343</v>
      </c>
      <c r="B50" s="467" t="s">
        <v>2011</v>
      </c>
      <c r="C50" s="749">
        <v>610</v>
      </c>
      <c r="D50" s="285">
        <f>'Функц. 2021-2023'!F873</f>
        <v>8677</v>
      </c>
      <c r="E50" s="285">
        <f>'Функц. 2021-2023'!H873</f>
        <v>2700</v>
      </c>
      <c r="F50" s="285">
        <f>'Функц. 2021-2023'!J873</f>
        <v>2700</v>
      </c>
      <c r="G50" s="461"/>
    </row>
    <row r="51" spans="1:7" ht="31.5" x14ac:dyDescent="0.25">
      <c r="A51" s="519" t="s">
        <v>2012</v>
      </c>
      <c r="B51" s="467" t="s">
        <v>2013</v>
      </c>
      <c r="C51" s="749"/>
      <c r="D51" s="285">
        <f t="shared" ref="D51:F52" si="7">D52</f>
        <v>945.2</v>
      </c>
      <c r="E51" s="285">
        <f t="shared" si="7"/>
        <v>435.2</v>
      </c>
      <c r="F51" s="285">
        <f t="shared" si="7"/>
        <v>435.2</v>
      </c>
      <c r="G51" s="461"/>
    </row>
    <row r="52" spans="1:7" ht="31.5" x14ac:dyDescent="0.25">
      <c r="A52" s="514" t="s">
        <v>1342</v>
      </c>
      <c r="B52" s="467" t="s">
        <v>2013</v>
      </c>
      <c r="C52" s="749">
        <v>600</v>
      </c>
      <c r="D52" s="285">
        <f t="shared" si="7"/>
        <v>945.2</v>
      </c>
      <c r="E52" s="285">
        <f t="shared" si="7"/>
        <v>435.2</v>
      </c>
      <c r="F52" s="285">
        <f t="shared" si="7"/>
        <v>435.2</v>
      </c>
      <c r="G52" s="461"/>
    </row>
    <row r="53" spans="1:7" x14ac:dyDescent="0.25">
      <c r="A53" s="514" t="s">
        <v>1343</v>
      </c>
      <c r="B53" s="467" t="s">
        <v>2013</v>
      </c>
      <c r="C53" s="749">
        <v>610</v>
      </c>
      <c r="D53" s="285">
        <f>'Функц. 2021-2023'!F876</f>
        <v>945.2</v>
      </c>
      <c r="E53" s="285">
        <f>'Функц. 2021-2023'!H876</f>
        <v>435.2</v>
      </c>
      <c r="F53" s="285">
        <f>'Функц. 2021-2023'!J876</f>
        <v>435.2</v>
      </c>
      <c r="G53" s="461"/>
    </row>
    <row r="54" spans="1:7" x14ac:dyDescent="0.25">
      <c r="A54" s="520" t="s">
        <v>2250</v>
      </c>
      <c r="B54" s="467" t="s">
        <v>2249</v>
      </c>
      <c r="C54" s="749"/>
      <c r="D54" s="285">
        <f>D55</f>
        <v>55365.5</v>
      </c>
      <c r="E54" s="285">
        <f>E55</f>
        <v>46685.5</v>
      </c>
      <c r="F54" s="285">
        <f>F55</f>
        <v>46685.5</v>
      </c>
      <c r="G54" s="461"/>
    </row>
    <row r="55" spans="1:7" ht="31.5" x14ac:dyDescent="0.25">
      <c r="A55" s="521" t="s">
        <v>2251</v>
      </c>
      <c r="B55" s="467" t="s">
        <v>2252</v>
      </c>
      <c r="C55" s="749"/>
      <c r="D55" s="285">
        <f>D56+D59</f>
        <v>55365.5</v>
      </c>
      <c r="E55" s="285">
        <f>E56+E59</f>
        <v>46685.5</v>
      </c>
      <c r="F55" s="285">
        <f>F56+F59</f>
        <v>46685.5</v>
      </c>
      <c r="G55" s="461"/>
    </row>
    <row r="56" spans="1:7" s="513" customFormat="1" ht="47.25" x14ac:dyDescent="0.25">
      <c r="A56" s="519" t="str">
        <f>'Функц. 2021-2023'!A879</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56" s="799" t="str">
        <f>'ведом. 2021-2023'!AB474</f>
        <v>02 4 05 06111</v>
      </c>
      <c r="C56" s="749"/>
      <c r="D56" s="285">
        <f t="shared" ref="D56:F57" si="8">D57</f>
        <v>30030.3</v>
      </c>
      <c r="E56" s="285">
        <f t="shared" si="8"/>
        <v>25630.3</v>
      </c>
      <c r="F56" s="285">
        <f t="shared" si="8"/>
        <v>25630.3</v>
      </c>
      <c r="G56" s="461"/>
    </row>
    <row r="57" spans="1:7" s="513" customFormat="1" ht="31.5" x14ac:dyDescent="0.25">
      <c r="A57" s="519" t="str">
        <f>'Функц. 2021-2023'!A880</f>
        <v>Предоставление субсидий бюджетным, автономным учреждениям и иным некоммерческим организациям</v>
      </c>
      <c r="B57" s="799" t="str">
        <f>'ведом. 2021-2023'!AB475</f>
        <v>02 4 05 06111</v>
      </c>
      <c r="C57" s="749">
        <v>600</v>
      </c>
      <c r="D57" s="285">
        <f t="shared" si="8"/>
        <v>30030.3</v>
      </c>
      <c r="E57" s="285">
        <f t="shared" si="8"/>
        <v>25630.3</v>
      </c>
      <c r="F57" s="285">
        <f t="shared" si="8"/>
        <v>25630.3</v>
      </c>
      <c r="G57" s="461"/>
    </row>
    <row r="58" spans="1:7" s="513" customFormat="1" x14ac:dyDescent="0.25">
      <c r="A58" s="519" t="str">
        <f>'Функц. 2021-2023'!A881</f>
        <v>Субсидии бюджетным учреждениям</v>
      </c>
      <c r="B58" s="799" t="str">
        <f>'ведом. 2021-2023'!AB476</f>
        <v>02 4 05 06111</v>
      </c>
      <c r="C58" s="749">
        <v>610</v>
      </c>
      <c r="D58" s="285">
        <f>'ведом. 2021-2023'!AD476</f>
        <v>30030.3</v>
      </c>
      <c r="E58" s="285">
        <f>'ведом. 2021-2023'!AE476</f>
        <v>25630.3</v>
      </c>
      <c r="F58" s="285">
        <f>'ведом. 2021-2023'!AF476</f>
        <v>25630.3</v>
      </c>
      <c r="G58" s="461"/>
    </row>
    <row r="59" spans="1:7" s="513" customFormat="1" ht="47.25" x14ac:dyDescent="0.25">
      <c r="A59" s="519" t="str">
        <f>'Функц. 2021-2023'!A882</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59" s="799" t="str">
        <f>'ведом. 2021-2023'!AB477</f>
        <v>02 4 05 06112</v>
      </c>
      <c r="C59" s="749"/>
      <c r="D59" s="285">
        <f t="shared" ref="D59:F60" si="9">D60</f>
        <v>25335.200000000001</v>
      </c>
      <c r="E59" s="285">
        <f t="shared" si="9"/>
        <v>21055.200000000001</v>
      </c>
      <c r="F59" s="285">
        <f t="shared" si="9"/>
        <v>21055.200000000001</v>
      </c>
      <c r="G59" s="461"/>
    </row>
    <row r="60" spans="1:7" s="513" customFormat="1" ht="31.5" x14ac:dyDescent="0.25">
      <c r="A60" s="519" t="str">
        <f>'Функц. 2021-2023'!A883</f>
        <v>Предоставление субсидий бюджетным, автономным учреждениям и иным некоммерческим организациям</v>
      </c>
      <c r="B60" s="799" t="str">
        <f>'ведом. 2021-2023'!AB478</f>
        <v>02 4 05 06112</v>
      </c>
      <c r="C60" s="749">
        <v>600</v>
      </c>
      <c r="D60" s="285">
        <f t="shared" si="9"/>
        <v>25335.200000000001</v>
      </c>
      <c r="E60" s="285">
        <f t="shared" si="9"/>
        <v>21055.200000000001</v>
      </c>
      <c r="F60" s="285">
        <f t="shared" si="9"/>
        <v>21055.200000000001</v>
      </c>
      <c r="G60" s="461"/>
    </row>
    <row r="61" spans="1:7" s="513" customFormat="1" x14ac:dyDescent="0.25">
      <c r="A61" s="519" t="str">
        <f>'Функц. 2021-2023'!A884</f>
        <v>Субсидии бюджетным учреждениям</v>
      </c>
      <c r="B61" s="799" t="str">
        <f>'ведом. 2021-2023'!AB479</f>
        <v>02 4 05 06112</v>
      </c>
      <c r="C61" s="749">
        <v>610</v>
      </c>
      <c r="D61" s="285">
        <f>'ведом. 2021-2023'!AD479</f>
        <v>25335.200000000001</v>
      </c>
      <c r="E61" s="285">
        <f>'ведом. 2021-2023'!AE479</f>
        <v>21055.200000000001</v>
      </c>
      <c r="F61" s="285">
        <f>'ведом. 2021-2023'!AF479</f>
        <v>21055.200000000001</v>
      </c>
      <c r="G61" s="461"/>
    </row>
    <row r="62" spans="1:7" s="513" customFormat="1" ht="33.6" customHeight="1" x14ac:dyDescent="0.25">
      <c r="A62" s="603" t="s">
        <v>2415</v>
      </c>
      <c r="B62" s="467" t="s">
        <v>2267</v>
      </c>
      <c r="C62" s="749"/>
      <c r="D62" s="285">
        <f>D63</f>
        <v>14250</v>
      </c>
      <c r="E62" s="285">
        <f>E63</f>
        <v>0</v>
      </c>
      <c r="F62" s="285">
        <f>F63</f>
        <v>0</v>
      </c>
      <c r="G62" s="461"/>
    </row>
    <row r="63" spans="1:7" s="513" customFormat="1" x14ac:dyDescent="0.25">
      <c r="A63" s="778" t="s">
        <v>2218</v>
      </c>
      <c r="B63" s="467" t="s">
        <v>2321</v>
      </c>
      <c r="C63" s="751"/>
      <c r="D63" s="285">
        <f t="shared" ref="D63:F65" si="10">D64</f>
        <v>14250</v>
      </c>
      <c r="E63" s="285">
        <f t="shared" si="10"/>
        <v>0</v>
      </c>
      <c r="F63" s="285">
        <f t="shared" si="10"/>
        <v>0</v>
      </c>
      <c r="G63" s="461"/>
    </row>
    <row r="64" spans="1:7" s="513" customFormat="1" ht="31.5" x14ac:dyDescent="0.25">
      <c r="A64" s="523" t="s">
        <v>2219</v>
      </c>
      <c r="B64" s="467" t="s">
        <v>2322</v>
      </c>
      <c r="C64" s="751"/>
      <c r="D64" s="285">
        <f t="shared" si="10"/>
        <v>14250</v>
      </c>
      <c r="E64" s="285">
        <f t="shared" si="10"/>
        <v>0</v>
      </c>
      <c r="F64" s="285">
        <f t="shared" si="10"/>
        <v>0</v>
      </c>
      <c r="G64" s="461"/>
    </row>
    <row r="65" spans="1:7" s="513" customFormat="1" ht="31.5" x14ac:dyDescent="0.25">
      <c r="A65" s="519" t="s">
        <v>1342</v>
      </c>
      <c r="B65" s="467" t="s">
        <v>2322</v>
      </c>
      <c r="C65" s="751">
        <v>600</v>
      </c>
      <c r="D65" s="285">
        <f t="shared" si="10"/>
        <v>14250</v>
      </c>
      <c r="E65" s="285">
        <f t="shared" si="10"/>
        <v>0</v>
      </c>
      <c r="F65" s="285">
        <f t="shared" si="10"/>
        <v>0</v>
      </c>
      <c r="G65" s="461"/>
    </row>
    <row r="66" spans="1:7" s="513" customFormat="1" x14ac:dyDescent="0.25">
      <c r="A66" s="519" t="s">
        <v>1343</v>
      </c>
      <c r="B66" s="467" t="s">
        <v>2322</v>
      </c>
      <c r="C66" s="751">
        <v>610</v>
      </c>
      <c r="D66" s="285">
        <f>'Функц. 2021-2023'!F736</f>
        <v>14250</v>
      </c>
      <c r="E66" s="285">
        <f>'Функц. 2021-2023'!H736</f>
        <v>0</v>
      </c>
      <c r="F66" s="285">
        <f>'Функц. 2021-2023'!J736</f>
        <v>0</v>
      </c>
      <c r="G66" s="461"/>
    </row>
    <row r="67" spans="1:7" s="513" customFormat="1" x14ac:dyDescent="0.25">
      <c r="A67" s="519" t="s">
        <v>2364</v>
      </c>
      <c r="B67" s="467" t="s">
        <v>2365</v>
      </c>
      <c r="C67" s="751"/>
      <c r="D67" s="285">
        <f t="shared" ref="D67:F70" si="11">D68</f>
        <v>48445.5</v>
      </c>
      <c r="E67" s="285">
        <f t="shared" si="11"/>
        <v>43445.5</v>
      </c>
      <c r="F67" s="285">
        <f t="shared" si="11"/>
        <v>43445.5</v>
      </c>
      <c r="G67" s="461"/>
    </row>
    <row r="68" spans="1:7" s="513" customFormat="1" ht="31.5" x14ac:dyDescent="0.25">
      <c r="A68" s="519" t="s">
        <v>2362</v>
      </c>
      <c r="B68" s="467" t="s">
        <v>2366</v>
      </c>
      <c r="C68" s="751"/>
      <c r="D68" s="285">
        <f t="shared" si="11"/>
        <v>48445.5</v>
      </c>
      <c r="E68" s="285">
        <f t="shared" si="11"/>
        <v>43445.5</v>
      </c>
      <c r="F68" s="285">
        <f t="shared" si="11"/>
        <v>43445.5</v>
      </c>
      <c r="G68" s="461"/>
    </row>
    <row r="69" spans="1:7" s="513" customFormat="1" ht="31.5" x14ac:dyDescent="0.25">
      <c r="A69" s="779" t="s">
        <v>2363</v>
      </c>
      <c r="B69" s="467" t="s">
        <v>2367</v>
      </c>
      <c r="C69" s="751"/>
      <c r="D69" s="285">
        <f t="shared" si="11"/>
        <v>48445.5</v>
      </c>
      <c r="E69" s="285">
        <f t="shared" si="11"/>
        <v>43445.5</v>
      </c>
      <c r="F69" s="285">
        <f t="shared" si="11"/>
        <v>43445.5</v>
      </c>
      <c r="G69" s="461"/>
    </row>
    <row r="70" spans="1:7" s="513" customFormat="1" ht="31.5" x14ac:dyDescent="0.25">
      <c r="A70" s="519" t="s">
        <v>1342</v>
      </c>
      <c r="B70" s="467" t="s">
        <v>2367</v>
      </c>
      <c r="C70" s="751">
        <v>600</v>
      </c>
      <c r="D70" s="285">
        <f t="shared" si="11"/>
        <v>48445.5</v>
      </c>
      <c r="E70" s="285">
        <f t="shared" si="11"/>
        <v>43445.5</v>
      </c>
      <c r="F70" s="285">
        <f t="shared" si="11"/>
        <v>43445.5</v>
      </c>
      <c r="G70" s="461"/>
    </row>
    <row r="71" spans="1:7" s="513" customFormat="1" x14ac:dyDescent="0.25">
      <c r="A71" s="519" t="s">
        <v>1343</v>
      </c>
      <c r="B71" s="467" t="s">
        <v>2367</v>
      </c>
      <c r="C71" s="751">
        <v>610</v>
      </c>
      <c r="D71" s="285">
        <f>'Функц. 2021-2023'!F741</f>
        <v>48445.5</v>
      </c>
      <c r="E71" s="285">
        <f>'Функц. 2021-2023'!H741</f>
        <v>43445.5</v>
      </c>
      <c r="F71" s="285">
        <f>'Функц. 2021-2023'!J741</f>
        <v>43445.5</v>
      </c>
      <c r="G71" s="461"/>
    </row>
    <row r="72" spans="1:7" x14ac:dyDescent="0.25">
      <c r="A72" s="517" t="s">
        <v>2337</v>
      </c>
      <c r="B72" s="467" t="s">
        <v>1801</v>
      </c>
      <c r="C72" s="751"/>
      <c r="D72" s="285">
        <f>D73+D77</f>
        <v>2130</v>
      </c>
      <c r="E72" s="285">
        <f>E73+E77</f>
        <v>2122</v>
      </c>
      <c r="F72" s="285">
        <f>F73+F77</f>
        <v>2123</v>
      </c>
      <c r="G72" s="461"/>
    </row>
    <row r="73" spans="1:7" ht="31.5" x14ac:dyDescent="0.25">
      <c r="A73" s="522" t="s">
        <v>2014</v>
      </c>
      <c r="B73" s="467" t="s">
        <v>1802</v>
      </c>
      <c r="C73" s="751"/>
      <c r="D73" s="285">
        <f t="shared" ref="D73:F75" si="12">D74</f>
        <v>521</v>
      </c>
      <c r="E73" s="285">
        <f t="shared" si="12"/>
        <v>521</v>
      </c>
      <c r="F73" s="285">
        <f t="shared" si="12"/>
        <v>521</v>
      </c>
      <c r="G73" s="461"/>
    </row>
    <row r="74" spans="1:7" x14ac:dyDescent="0.25">
      <c r="A74" s="522" t="s">
        <v>2015</v>
      </c>
      <c r="B74" s="467" t="s">
        <v>2016</v>
      </c>
      <c r="C74" s="751"/>
      <c r="D74" s="285">
        <f t="shared" si="12"/>
        <v>521</v>
      </c>
      <c r="E74" s="285">
        <f t="shared" si="12"/>
        <v>521</v>
      </c>
      <c r="F74" s="285">
        <f t="shared" si="12"/>
        <v>521</v>
      </c>
      <c r="G74" s="461"/>
    </row>
    <row r="75" spans="1:7" x14ac:dyDescent="0.25">
      <c r="A75" s="514" t="s">
        <v>1781</v>
      </c>
      <c r="B75" s="467" t="s">
        <v>2016</v>
      </c>
      <c r="C75" s="749">
        <v>200</v>
      </c>
      <c r="D75" s="285">
        <f t="shared" si="12"/>
        <v>521</v>
      </c>
      <c r="E75" s="285">
        <f t="shared" si="12"/>
        <v>521</v>
      </c>
      <c r="F75" s="285">
        <f t="shared" si="12"/>
        <v>521</v>
      </c>
      <c r="G75" s="461"/>
    </row>
    <row r="76" spans="1:7" x14ac:dyDescent="0.25">
      <c r="A76" s="514" t="s">
        <v>1273</v>
      </c>
      <c r="B76" s="467" t="s">
        <v>2016</v>
      </c>
      <c r="C76" s="749">
        <v>240</v>
      </c>
      <c r="D76" s="285">
        <f>'Функц. 2021-2023'!F62+'Функц. 2021-2023'!F106+'Функц. 2021-2023'!F176+'Функц. 2021-2023'!F589+'Функц. 2021-2023'!F30</f>
        <v>521</v>
      </c>
      <c r="E76" s="285">
        <f>'Функц. 2021-2023'!H62+'Функц. 2021-2023'!H106+'Функц. 2021-2023'!H589+'Функц. 2021-2023'!H176</f>
        <v>521</v>
      </c>
      <c r="F76" s="285">
        <f>'Функц. 2021-2023'!J62+'Функц. 2021-2023'!J30</f>
        <v>521</v>
      </c>
      <c r="G76" s="461"/>
    </row>
    <row r="77" spans="1:7" s="513" customFormat="1" ht="47.25" x14ac:dyDescent="0.25">
      <c r="A77" s="522" t="s">
        <v>2017</v>
      </c>
      <c r="B77" s="467" t="s">
        <v>2018</v>
      </c>
      <c r="C77" s="751"/>
      <c r="D77" s="285">
        <f>D78</f>
        <v>1609</v>
      </c>
      <c r="E77" s="285">
        <f>E78</f>
        <v>1601</v>
      </c>
      <c r="F77" s="285">
        <f>F78</f>
        <v>1602</v>
      </c>
      <c r="G77" s="461"/>
    </row>
    <row r="78" spans="1:7" s="513" customFormat="1" ht="47.25" x14ac:dyDescent="0.25">
      <c r="A78" s="522" t="s">
        <v>2019</v>
      </c>
      <c r="B78" s="467" t="s">
        <v>2020</v>
      </c>
      <c r="C78" s="751"/>
      <c r="D78" s="285">
        <f>D79+D81</f>
        <v>1609</v>
      </c>
      <c r="E78" s="285">
        <f>E79+E81</f>
        <v>1601</v>
      </c>
      <c r="F78" s="285">
        <f>F79+F81</f>
        <v>1602</v>
      </c>
      <c r="G78" s="461"/>
    </row>
    <row r="79" spans="1:7" s="513" customFormat="1" ht="47.25" x14ac:dyDescent="0.25">
      <c r="A79" s="514" t="s">
        <v>921</v>
      </c>
      <c r="B79" s="467" t="s">
        <v>2020</v>
      </c>
      <c r="C79" s="751">
        <v>100</v>
      </c>
      <c r="D79" s="285">
        <f>D80</f>
        <v>1529.5</v>
      </c>
      <c r="E79" s="285">
        <f>E80</f>
        <v>1529.5</v>
      </c>
      <c r="F79" s="285">
        <f>F80</f>
        <v>1529.5</v>
      </c>
      <c r="G79" s="461"/>
    </row>
    <row r="80" spans="1:7" s="513" customFormat="1" x14ac:dyDescent="0.25">
      <c r="A80" s="514" t="s">
        <v>1747</v>
      </c>
      <c r="B80" s="467" t="s">
        <v>2020</v>
      </c>
      <c r="C80" s="751">
        <v>120</v>
      </c>
      <c r="D80" s="285">
        <f>'Функц. 2021-2023'!F66</f>
        <v>1529.5</v>
      </c>
      <c r="E80" s="285">
        <f>'Функц. 2021-2023'!H66</f>
        <v>1529.5</v>
      </c>
      <c r="F80" s="285">
        <f>'Функц. 2021-2023'!J66</f>
        <v>1529.5</v>
      </c>
      <c r="G80" s="461"/>
    </row>
    <row r="81" spans="1:7" s="513" customFormat="1" x14ac:dyDescent="0.25">
      <c r="A81" s="514" t="s">
        <v>1781</v>
      </c>
      <c r="B81" s="467" t="s">
        <v>2020</v>
      </c>
      <c r="C81" s="749">
        <v>200</v>
      </c>
      <c r="D81" s="285">
        <f>D82</f>
        <v>79.5</v>
      </c>
      <c r="E81" s="285">
        <f>E82</f>
        <v>71.5</v>
      </c>
      <c r="F81" s="285">
        <f>F82</f>
        <v>72.5</v>
      </c>
      <c r="G81" s="461"/>
    </row>
    <row r="82" spans="1:7" s="513" customFormat="1" x14ac:dyDescent="0.25">
      <c r="A82" s="514" t="s">
        <v>1273</v>
      </c>
      <c r="B82" s="467" t="s">
        <v>2020</v>
      </c>
      <c r="C82" s="749">
        <v>240</v>
      </c>
      <c r="D82" s="285">
        <f>'Функц. 2021-2023'!F68</f>
        <v>79.5</v>
      </c>
      <c r="E82" s="285">
        <f>'Функц. 2021-2023'!H68</f>
        <v>71.5</v>
      </c>
      <c r="F82" s="285">
        <f>'Функц. 2021-2023'!J68</f>
        <v>72.5</v>
      </c>
      <c r="G82" s="461"/>
    </row>
    <row r="83" spans="1:7" s="436" customFormat="1" x14ac:dyDescent="0.25">
      <c r="A83" s="780" t="s">
        <v>2021</v>
      </c>
      <c r="B83" s="500" t="s">
        <v>1759</v>
      </c>
      <c r="C83" s="750"/>
      <c r="D83" s="289">
        <f>D84+D103+D137+D154</f>
        <v>1061048.6000000001</v>
      </c>
      <c r="E83" s="289">
        <f>E84+E103+E137+E154</f>
        <v>1042228.6000000001</v>
      </c>
      <c r="F83" s="289">
        <f>F84+F103+F137+F154</f>
        <v>1042234.6000000001</v>
      </c>
      <c r="G83" s="461"/>
    </row>
    <row r="84" spans="1:7" x14ac:dyDescent="0.25">
      <c r="A84" s="517" t="s">
        <v>2022</v>
      </c>
      <c r="B84" s="467" t="s">
        <v>1777</v>
      </c>
      <c r="C84" s="749"/>
      <c r="D84" s="285">
        <f>D85</f>
        <v>456995.8</v>
      </c>
      <c r="E84" s="285">
        <f>E85</f>
        <v>444026.9</v>
      </c>
      <c r="F84" s="285">
        <f>F85</f>
        <v>444026.9</v>
      </c>
      <c r="G84" s="461"/>
    </row>
    <row r="85" spans="1:7" ht="31.5" x14ac:dyDescent="0.25">
      <c r="A85" s="517" t="s">
        <v>2023</v>
      </c>
      <c r="B85" s="467" t="s">
        <v>1791</v>
      </c>
      <c r="C85" s="751"/>
      <c r="D85" s="285">
        <f>D86+D93+D96</f>
        <v>456995.8</v>
      </c>
      <c r="E85" s="285">
        <f>E86+E93+E96</f>
        <v>444026.9</v>
      </c>
      <c r="F85" s="285">
        <f>F86+F93+F96</f>
        <v>444026.9</v>
      </c>
      <c r="G85" s="461"/>
    </row>
    <row r="86" spans="1:7" ht="31.5" x14ac:dyDescent="0.25">
      <c r="A86" s="460" t="s">
        <v>2026</v>
      </c>
      <c r="B86" s="467" t="s">
        <v>2161</v>
      </c>
      <c r="C86" s="753"/>
      <c r="D86" s="285">
        <f>D87+D90</f>
        <v>154770.79999999999</v>
      </c>
      <c r="E86" s="285">
        <f>E87+E90</f>
        <v>147524.9</v>
      </c>
      <c r="F86" s="285">
        <f>F87+F90</f>
        <v>147524.9</v>
      </c>
      <c r="G86" s="461"/>
    </row>
    <row r="87" spans="1:7" ht="31.5" x14ac:dyDescent="0.25">
      <c r="A87" s="460" t="s">
        <v>2202</v>
      </c>
      <c r="B87" s="467" t="s">
        <v>2162</v>
      </c>
      <c r="C87" s="749"/>
      <c r="D87" s="285">
        <f t="shared" ref="D87:F88" si="13">D88</f>
        <v>148701.5</v>
      </c>
      <c r="E87" s="285">
        <f t="shared" si="13"/>
        <v>145755.6</v>
      </c>
      <c r="F87" s="285">
        <f t="shared" si="13"/>
        <v>145755.6</v>
      </c>
      <c r="G87" s="461"/>
    </row>
    <row r="88" spans="1:7" ht="31.5" x14ac:dyDescent="0.25">
      <c r="A88" s="514" t="s">
        <v>1342</v>
      </c>
      <c r="B88" s="467" t="s">
        <v>2162</v>
      </c>
      <c r="C88" s="749">
        <v>600</v>
      </c>
      <c r="D88" s="285">
        <f t="shared" si="13"/>
        <v>148701.5</v>
      </c>
      <c r="E88" s="285">
        <f t="shared" si="13"/>
        <v>145755.6</v>
      </c>
      <c r="F88" s="285">
        <f t="shared" si="13"/>
        <v>145755.6</v>
      </c>
      <c r="G88" s="461"/>
    </row>
    <row r="89" spans="1:7" x14ac:dyDescent="0.25">
      <c r="A89" s="514" t="s">
        <v>1343</v>
      </c>
      <c r="B89" s="467" t="s">
        <v>2162</v>
      </c>
      <c r="C89" s="749">
        <v>610</v>
      </c>
      <c r="D89" s="285">
        <f>'Функц. 2021-2023'!F668</f>
        <v>148701.5</v>
      </c>
      <c r="E89" s="285">
        <f>'Функц. 2021-2023'!H668</f>
        <v>145755.6</v>
      </c>
      <c r="F89" s="285">
        <f>'Функц. 2021-2023'!J668</f>
        <v>145755.6</v>
      </c>
      <c r="G89" s="461"/>
    </row>
    <row r="90" spans="1:7" ht="31.5" x14ac:dyDescent="0.25">
      <c r="A90" s="514" t="s">
        <v>2027</v>
      </c>
      <c r="B90" s="467" t="s">
        <v>2163</v>
      </c>
      <c r="C90" s="749"/>
      <c r="D90" s="285">
        <f t="shared" ref="D90:F91" si="14">D91</f>
        <v>6069.3</v>
      </c>
      <c r="E90" s="285">
        <f t="shared" si="14"/>
        <v>1769.3</v>
      </c>
      <c r="F90" s="285">
        <f t="shared" si="14"/>
        <v>1769.3</v>
      </c>
      <c r="G90" s="461"/>
    </row>
    <row r="91" spans="1:7" ht="31.5" x14ac:dyDescent="0.25">
      <c r="A91" s="514" t="s">
        <v>1342</v>
      </c>
      <c r="B91" s="467" t="s">
        <v>2163</v>
      </c>
      <c r="C91" s="749">
        <v>600</v>
      </c>
      <c r="D91" s="285">
        <f t="shared" si="14"/>
        <v>6069.3</v>
      </c>
      <c r="E91" s="285">
        <f t="shared" si="14"/>
        <v>1769.3</v>
      </c>
      <c r="F91" s="285">
        <f t="shared" si="14"/>
        <v>1769.3</v>
      </c>
      <c r="G91" s="461"/>
    </row>
    <row r="92" spans="1:7" x14ac:dyDescent="0.25">
      <c r="A92" s="514" t="s">
        <v>1343</v>
      </c>
      <c r="B92" s="467" t="s">
        <v>2163</v>
      </c>
      <c r="C92" s="749">
        <v>610</v>
      </c>
      <c r="D92" s="285">
        <f>'Функц. 2021-2023'!F671</f>
        <v>6069.3</v>
      </c>
      <c r="E92" s="285">
        <f>'Функц. 2021-2023'!H671</f>
        <v>1769.3</v>
      </c>
      <c r="F92" s="285">
        <f>'Функц. 2021-2023'!J671</f>
        <v>1769.3</v>
      </c>
      <c r="G92" s="461"/>
    </row>
    <row r="93" spans="1:7" ht="78.75" x14ac:dyDescent="0.25">
      <c r="A93" s="522" t="s">
        <v>2024</v>
      </c>
      <c r="B93" s="467" t="s">
        <v>2164</v>
      </c>
      <c r="C93" s="753"/>
      <c r="D93" s="285">
        <f t="shared" ref="D93:F94" si="15">D94</f>
        <v>283550</v>
      </c>
      <c r="E93" s="285">
        <f t="shared" si="15"/>
        <v>277827</v>
      </c>
      <c r="F93" s="285">
        <f t="shared" si="15"/>
        <v>277827</v>
      </c>
      <c r="G93" s="461"/>
    </row>
    <row r="94" spans="1:7" ht="31.5" x14ac:dyDescent="0.25">
      <c r="A94" s="514" t="s">
        <v>1342</v>
      </c>
      <c r="B94" s="467" t="s">
        <v>2164</v>
      </c>
      <c r="C94" s="751">
        <v>600</v>
      </c>
      <c r="D94" s="285">
        <f t="shared" si="15"/>
        <v>283550</v>
      </c>
      <c r="E94" s="285">
        <f t="shared" si="15"/>
        <v>277827</v>
      </c>
      <c r="F94" s="285">
        <f t="shared" si="15"/>
        <v>277827</v>
      </c>
      <c r="G94" s="461"/>
    </row>
    <row r="95" spans="1:7" x14ac:dyDescent="0.25">
      <c r="A95" s="514" t="s">
        <v>1343</v>
      </c>
      <c r="B95" s="467" t="s">
        <v>2164</v>
      </c>
      <c r="C95" s="751">
        <v>610</v>
      </c>
      <c r="D95" s="285">
        <f>'Функц. 2021-2023'!F674</f>
        <v>283550</v>
      </c>
      <c r="E95" s="285">
        <f>'Функц. 2021-2023'!H674</f>
        <v>277827</v>
      </c>
      <c r="F95" s="285">
        <f>'Функц. 2021-2023'!J674</f>
        <v>277827</v>
      </c>
      <c r="G95" s="461"/>
    </row>
    <row r="96" spans="1:7" ht="47.25" x14ac:dyDescent="0.25">
      <c r="A96" s="514" t="s">
        <v>1784</v>
      </c>
      <c r="B96" s="467" t="s">
        <v>2165</v>
      </c>
      <c r="C96" s="749"/>
      <c r="D96" s="285">
        <f>D99+D97+D101</f>
        <v>18675</v>
      </c>
      <c r="E96" s="285">
        <f>E99+E97+E101</f>
        <v>18675</v>
      </c>
      <c r="F96" s="285">
        <f>F99+F97+F101</f>
        <v>18675</v>
      </c>
      <c r="G96" s="461"/>
    </row>
    <row r="97" spans="1:7" x14ac:dyDescent="0.25">
      <c r="A97" s="781" t="s">
        <v>1781</v>
      </c>
      <c r="B97" s="467" t="s">
        <v>2165</v>
      </c>
      <c r="C97" s="749">
        <v>200</v>
      </c>
      <c r="D97" s="285">
        <f>D98</f>
        <v>176</v>
      </c>
      <c r="E97" s="285">
        <f>E98</f>
        <v>176</v>
      </c>
      <c r="F97" s="285">
        <f>F98</f>
        <v>176</v>
      </c>
      <c r="G97" s="461"/>
    </row>
    <row r="98" spans="1:7" x14ac:dyDescent="0.25">
      <c r="A98" s="519" t="s">
        <v>1273</v>
      </c>
      <c r="B98" s="467" t="s">
        <v>2165</v>
      </c>
      <c r="C98" s="749">
        <v>240</v>
      </c>
      <c r="D98" s="285">
        <f>'Функц. 2021-2023'!F934</f>
        <v>176</v>
      </c>
      <c r="E98" s="285">
        <f>'Функц. 2021-2023'!H934</f>
        <v>176</v>
      </c>
      <c r="F98" s="285">
        <f>'Функц. 2021-2023'!J934</f>
        <v>176</v>
      </c>
      <c r="G98" s="461"/>
    </row>
    <row r="99" spans="1:7" x14ac:dyDescent="0.25">
      <c r="A99" s="514" t="s">
        <v>1754</v>
      </c>
      <c r="B99" s="467" t="s">
        <v>2165</v>
      </c>
      <c r="C99" s="749">
        <v>300</v>
      </c>
      <c r="D99" s="285">
        <f>D100</f>
        <v>17642</v>
      </c>
      <c r="E99" s="285">
        <f>E100</f>
        <v>17642</v>
      </c>
      <c r="F99" s="285">
        <f>F100</f>
        <v>17642</v>
      </c>
      <c r="G99" s="461"/>
    </row>
    <row r="100" spans="1:7" x14ac:dyDescent="0.25">
      <c r="A100" s="514" t="s">
        <v>1804</v>
      </c>
      <c r="B100" s="467" t="s">
        <v>2165</v>
      </c>
      <c r="C100" s="749">
        <v>310</v>
      </c>
      <c r="D100" s="285">
        <f>'Функц. 2021-2023'!F936</f>
        <v>17642</v>
      </c>
      <c r="E100" s="285">
        <f>'Функц. 2021-2023'!H936</f>
        <v>17642</v>
      </c>
      <c r="F100" s="285">
        <f>'Функц. 2021-2023'!J936</f>
        <v>17642</v>
      </c>
      <c r="G100" s="461"/>
    </row>
    <row r="101" spans="1:7" ht="31.5" x14ac:dyDescent="0.25">
      <c r="A101" s="514" t="s">
        <v>1342</v>
      </c>
      <c r="B101" s="467" t="s">
        <v>2165</v>
      </c>
      <c r="C101" s="749">
        <v>600</v>
      </c>
      <c r="D101" s="285">
        <f>D102</f>
        <v>857</v>
      </c>
      <c r="E101" s="285">
        <f>E102</f>
        <v>857</v>
      </c>
      <c r="F101" s="285">
        <f>F102</f>
        <v>857</v>
      </c>
      <c r="G101" s="461"/>
    </row>
    <row r="102" spans="1:7" x14ac:dyDescent="0.25">
      <c r="A102" s="514" t="s">
        <v>1343</v>
      </c>
      <c r="B102" s="467" t="s">
        <v>2165</v>
      </c>
      <c r="C102" s="749">
        <v>610</v>
      </c>
      <c r="D102" s="285">
        <f>'Функц. 2021-2023'!F791</f>
        <v>857</v>
      </c>
      <c r="E102" s="285">
        <f>'Функц. 2021-2023'!H791</f>
        <v>857</v>
      </c>
      <c r="F102" s="285">
        <f>'Функц. 2021-2023'!J791</f>
        <v>857</v>
      </c>
      <c r="G102" s="461"/>
    </row>
    <row r="103" spans="1:7" x14ac:dyDescent="0.25">
      <c r="A103" s="517" t="s">
        <v>2028</v>
      </c>
      <c r="B103" s="467" t="s">
        <v>1760</v>
      </c>
      <c r="C103" s="749"/>
      <c r="D103" s="285">
        <f>D104+D118+D133</f>
        <v>511493.4</v>
      </c>
      <c r="E103" s="285">
        <f>E104+E118+E133</f>
        <v>509984.39999999997</v>
      </c>
      <c r="F103" s="285">
        <f>F104+F118+F133</f>
        <v>509990.39999999997</v>
      </c>
      <c r="G103" s="461"/>
    </row>
    <row r="104" spans="1:7" ht="31.5" x14ac:dyDescent="0.25">
      <c r="A104" s="517" t="s">
        <v>2029</v>
      </c>
      <c r="B104" s="467" t="s">
        <v>1792</v>
      </c>
      <c r="C104" s="749"/>
      <c r="D104" s="285">
        <f>D105+D115+D112</f>
        <v>460947.20000000001</v>
      </c>
      <c r="E104" s="285">
        <f>E105+E115+E112</f>
        <v>457404.1</v>
      </c>
      <c r="F104" s="285">
        <f>F105+F115+F112</f>
        <v>457404.1</v>
      </c>
      <c r="G104" s="461"/>
    </row>
    <row r="105" spans="1:7" ht="31.5" x14ac:dyDescent="0.25">
      <c r="A105" s="517" t="s">
        <v>2030</v>
      </c>
      <c r="B105" s="467" t="s">
        <v>2031</v>
      </c>
      <c r="C105" s="749"/>
      <c r="D105" s="285">
        <f>D106+D109</f>
        <v>74778.2</v>
      </c>
      <c r="E105" s="285">
        <f>E106+E109</f>
        <v>71763.100000000006</v>
      </c>
      <c r="F105" s="285">
        <f>F106+F109</f>
        <v>71763.100000000006</v>
      </c>
      <c r="G105" s="461"/>
    </row>
    <row r="106" spans="1:7" ht="31.5" x14ac:dyDescent="0.25">
      <c r="A106" s="517" t="s">
        <v>2201</v>
      </c>
      <c r="B106" s="467" t="s">
        <v>2032</v>
      </c>
      <c r="C106" s="753"/>
      <c r="D106" s="285">
        <f t="shared" ref="D106:F107" si="16">D107</f>
        <v>69129</v>
      </c>
      <c r="E106" s="285">
        <f t="shared" si="16"/>
        <v>69929</v>
      </c>
      <c r="F106" s="285">
        <f t="shared" si="16"/>
        <v>69929</v>
      </c>
      <c r="G106" s="461"/>
    </row>
    <row r="107" spans="1:7" ht="31.5" x14ac:dyDescent="0.25">
      <c r="A107" s="514" t="s">
        <v>1342</v>
      </c>
      <c r="B107" s="467" t="s">
        <v>2032</v>
      </c>
      <c r="C107" s="749">
        <v>600</v>
      </c>
      <c r="D107" s="285">
        <f t="shared" si="16"/>
        <v>69129</v>
      </c>
      <c r="E107" s="285">
        <f t="shared" si="16"/>
        <v>69929</v>
      </c>
      <c r="F107" s="285">
        <f t="shared" si="16"/>
        <v>69929</v>
      </c>
      <c r="G107" s="461"/>
    </row>
    <row r="108" spans="1:7" x14ac:dyDescent="0.25">
      <c r="A108" s="514" t="s">
        <v>1343</v>
      </c>
      <c r="B108" s="467" t="s">
        <v>2032</v>
      </c>
      <c r="C108" s="749">
        <v>610</v>
      </c>
      <c r="D108" s="285">
        <f>'Функц. 2021-2023'!F682</f>
        <v>69129</v>
      </c>
      <c r="E108" s="285">
        <f>'Функц. 2021-2023'!H682</f>
        <v>69929</v>
      </c>
      <c r="F108" s="285">
        <f>'Функц. 2021-2023'!J682</f>
        <v>69929</v>
      </c>
      <c r="G108" s="461"/>
    </row>
    <row r="109" spans="1:7" ht="31.5" x14ac:dyDescent="0.25">
      <c r="A109" s="514" t="s">
        <v>2034</v>
      </c>
      <c r="B109" s="467" t="s">
        <v>2033</v>
      </c>
      <c r="C109" s="749"/>
      <c r="D109" s="285">
        <f>D110</f>
        <v>5649.2</v>
      </c>
      <c r="E109" s="285">
        <f>E110</f>
        <v>1834.1</v>
      </c>
      <c r="F109" s="285">
        <f>F110</f>
        <v>1834.1</v>
      </c>
      <c r="G109" s="461"/>
    </row>
    <row r="110" spans="1:7" ht="31.5" x14ac:dyDescent="0.25">
      <c r="A110" s="514" t="s">
        <v>1342</v>
      </c>
      <c r="B110" s="467" t="s">
        <v>2033</v>
      </c>
      <c r="C110" s="749">
        <v>600</v>
      </c>
      <c r="D110" s="285">
        <f t="shared" ref="D110:F110" si="17">D111</f>
        <v>5649.2</v>
      </c>
      <c r="E110" s="285">
        <f t="shared" si="17"/>
        <v>1834.1</v>
      </c>
      <c r="F110" s="285">
        <f t="shared" si="17"/>
        <v>1834.1</v>
      </c>
      <c r="G110" s="461"/>
    </row>
    <row r="111" spans="1:7" x14ac:dyDescent="0.25">
      <c r="A111" s="514" t="s">
        <v>1343</v>
      </c>
      <c r="B111" s="467" t="s">
        <v>2033</v>
      </c>
      <c r="C111" s="749">
        <v>610</v>
      </c>
      <c r="D111" s="285">
        <f>'Функц. 2021-2023'!F685</f>
        <v>5649.2</v>
      </c>
      <c r="E111" s="285">
        <f>'Функц. 2021-2023'!H685</f>
        <v>1834.1</v>
      </c>
      <c r="F111" s="285">
        <f>'Функц. 2021-2023'!J685</f>
        <v>1834.1</v>
      </c>
      <c r="G111" s="461"/>
    </row>
    <row r="112" spans="1:7" s="513" customFormat="1" ht="141.75" x14ac:dyDescent="0.25">
      <c r="A112" s="514" t="s">
        <v>2287</v>
      </c>
      <c r="B112" s="284" t="s">
        <v>2288</v>
      </c>
      <c r="C112" s="749"/>
      <c r="D112" s="285">
        <f t="shared" ref="D112:F113" si="18">D113</f>
        <v>18358</v>
      </c>
      <c r="E112" s="285">
        <f t="shared" si="18"/>
        <v>18358</v>
      </c>
      <c r="F112" s="285">
        <f t="shared" si="18"/>
        <v>18358</v>
      </c>
      <c r="G112" s="461"/>
    </row>
    <row r="113" spans="1:7" s="513" customFormat="1" ht="31.5" x14ac:dyDescent="0.25">
      <c r="A113" s="519" t="s">
        <v>1342</v>
      </c>
      <c r="B113" s="284" t="s">
        <v>2288</v>
      </c>
      <c r="C113" s="749">
        <v>600</v>
      </c>
      <c r="D113" s="285">
        <f t="shared" si="18"/>
        <v>18358</v>
      </c>
      <c r="E113" s="285">
        <f t="shared" si="18"/>
        <v>18358</v>
      </c>
      <c r="F113" s="285">
        <f t="shared" si="18"/>
        <v>18358</v>
      </c>
      <c r="G113" s="461"/>
    </row>
    <row r="114" spans="1:7" s="513" customFormat="1" x14ac:dyDescent="0.25">
      <c r="A114" s="519" t="s">
        <v>1343</v>
      </c>
      <c r="B114" s="284" t="s">
        <v>2288</v>
      </c>
      <c r="C114" s="749">
        <v>610</v>
      </c>
      <c r="D114" s="285">
        <f>'Функц. 2021-2023'!G688</f>
        <v>18358</v>
      </c>
      <c r="E114" s="285">
        <f>'Функц. 2021-2023'!H688</f>
        <v>18358</v>
      </c>
      <c r="F114" s="285">
        <f>'Функц. 2021-2023'!J688</f>
        <v>18358</v>
      </c>
      <c r="G114" s="461"/>
    </row>
    <row r="115" spans="1:7" ht="110.25" x14ac:dyDescent="0.25">
      <c r="A115" s="522" t="s">
        <v>2035</v>
      </c>
      <c r="B115" s="284" t="s">
        <v>1793</v>
      </c>
      <c r="C115" s="751"/>
      <c r="D115" s="285">
        <f t="shared" ref="D115:F116" si="19">D116</f>
        <v>367811</v>
      </c>
      <c r="E115" s="285">
        <f t="shared" si="19"/>
        <v>367283</v>
      </c>
      <c r="F115" s="285">
        <f t="shared" si="19"/>
        <v>367283</v>
      </c>
      <c r="G115" s="461"/>
    </row>
    <row r="116" spans="1:7" ht="31.5" x14ac:dyDescent="0.25">
      <c r="A116" s="514" t="s">
        <v>1342</v>
      </c>
      <c r="B116" s="284" t="s">
        <v>1793</v>
      </c>
      <c r="C116" s="749">
        <v>600</v>
      </c>
      <c r="D116" s="285">
        <f t="shared" si="19"/>
        <v>367811</v>
      </c>
      <c r="E116" s="285">
        <f t="shared" si="19"/>
        <v>367283</v>
      </c>
      <c r="F116" s="285">
        <f t="shared" si="19"/>
        <v>367283</v>
      </c>
      <c r="G116" s="461"/>
    </row>
    <row r="117" spans="1:7" x14ac:dyDescent="0.25">
      <c r="A117" s="514" t="s">
        <v>1343</v>
      </c>
      <c r="B117" s="284" t="s">
        <v>1793</v>
      </c>
      <c r="C117" s="749">
        <v>610</v>
      </c>
      <c r="D117" s="285">
        <f>'Функц. 2021-2023'!F691</f>
        <v>367811</v>
      </c>
      <c r="E117" s="285">
        <f>'Функц. 2021-2023'!H691</f>
        <v>367283</v>
      </c>
      <c r="F117" s="285">
        <f>'Функц. 2021-2023'!J691</f>
        <v>367283</v>
      </c>
      <c r="G117" s="461"/>
    </row>
    <row r="118" spans="1:7" ht="47.25" x14ac:dyDescent="0.25">
      <c r="A118" s="517" t="s">
        <v>2036</v>
      </c>
      <c r="B118" s="467" t="s">
        <v>1794</v>
      </c>
      <c r="C118" s="749"/>
      <c r="D118" s="285">
        <f>D124+D119+D127+D130</f>
        <v>49527.4</v>
      </c>
      <c r="E118" s="285">
        <f>E124+E119+E127+E130</f>
        <v>51554</v>
      </c>
      <c r="F118" s="285">
        <f>F124+F119+F127+F130</f>
        <v>51560</v>
      </c>
      <c r="G118" s="461"/>
    </row>
    <row r="119" spans="1:7" ht="47.25" x14ac:dyDescent="0.25">
      <c r="A119" s="514" t="s">
        <v>2278</v>
      </c>
      <c r="B119" s="284" t="s">
        <v>1796</v>
      </c>
      <c r="C119" s="749"/>
      <c r="D119" s="285">
        <f>D120+D122</f>
        <v>2195</v>
      </c>
      <c r="E119" s="285">
        <f>E120+E122</f>
        <v>2195</v>
      </c>
      <c r="F119" s="285">
        <f>F120+F122</f>
        <v>2195</v>
      </c>
      <c r="G119" s="461"/>
    </row>
    <row r="120" spans="1:7" ht="47.25" x14ac:dyDescent="0.25">
      <c r="A120" s="514" t="s">
        <v>921</v>
      </c>
      <c r="B120" s="467" t="s">
        <v>1796</v>
      </c>
      <c r="C120" s="751">
        <v>100</v>
      </c>
      <c r="D120" s="285">
        <f>D121</f>
        <v>1878</v>
      </c>
      <c r="E120" s="285">
        <f>E121</f>
        <v>1878</v>
      </c>
      <c r="F120" s="285">
        <f>F121</f>
        <v>1878</v>
      </c>
      <c r="G120" s="461"/>
    </row>
    <row r="121" spans="1:7" x14ac:dyDescent="0.25">
      <c r="A121" s="514" t="s">
        <v>1747</v>
      </c>
      <c r="B121" s="284" t="s">
        <v>1796</v>
      </c>
      <c r="C121" s="749">
        <v>120</v>
      </c>
      <c r="D121" s="285">
        <f>'Функц. 2021-2023'!F74</f>
        <v>1878</v>
      </c>
      <c r="E121" s="285">
        <f>'Функц. 2021-2023'!H74</f>
        <v>1878</v>
      </c>
      <c r="F121" s="285">
        <f>'Функц. 2021-2023'!J74</f>
        <v>1878</v>
      </c>
      <c r="G121" s="461"/>
    </row>
    <row r="122" spans="1:7" x14ac:dyDescent="0.25">
      <c r="A122" s="514" t="s">
        <v>1781</v>
      </c>
      <c r="B122" s="284" t="s">
        <v>1796</v>
      </c>
      <c r="C122" s="749">
        <v>200</v>
      </c>
      <c r="D122" s="285">
        <f>D123</f>
        <v>317</v>
      </c>
      <c r="E122" s="285">
        <f>E123</f>
        <v>317</v>
      </c>
      <c r="F122" s="285">
        <f>F123</f>
        <v>317</v>
      </c>
      <c r="G122" s="461"/>
    </row>
    <row r="123" spans="1:7" x14ac:dyDescent="0.25">
      <c r="A123" s="514" t="s">
        <v>1273</v>
      </c>
      <c r="B123" s="284" t="s">
        <v>1796</v>
      </c>
      <c r="C123" s="749">
        <v>240</v>
      </c>
      <c r="D123" s="285">
        <f>'Функц. 2021-2023'!F76</f>
        <v>317</v>
      </c>
      <c r="E123" s="285">
        <f>'Функц. 2021-2023'!H76</f>
        <v>317</v>
      </c>
      <c r="F123" s="285">
        <f>'Функц. 2021-2023'!J76</f>
        <v>317</v>
      </c>
      <c r="G123" s="461"/>
    </row>
    <row r="124" spans="1:7" ht="47.25" x14ac:dyDescent="0.25">
      <c r="A124" s="514" t="s">
        <v>2037</v>
      </c>
      <c r="B124" s="467" t="s">
        <v>1795</v>
      </c>
      <c r="C124" s="749"/>
      <c r="D124" s="285">
        <f t="shared" ref="D124:F125" si="20">D125</f>
        <v>69</v>
      </c>
      <c r="E124" s="285">
        <f t="shared" si="20"/>
        <v>69</v>
      </c>
      <c r="F124" s="285">
        <f t="shared" si="20"/>
        <v>69</v>
      </c>
      <c r="G124" s="461"/>
    </row>
    <row r="125" spans="1:7" ht="31.5" x14ac:dyDescent="0.25">
      <c r="A125" s="514" t="s">
        <v>1342</v>
      </c>
      <c r="B125" s="284" t="str">
        <f>B126</f>
        <v>03 2 03 62230</v>
      </c>
      <c r="C125" s="751">
        <v>600</v>
      </c>
      <c r="D125" s="285">
        <f t="shared" si="20"/>
        <v>69</v>
      </c>
      <c r="E125" s="285">
        <f t="shared" si="20"/>
        <v>69</v>
      </c>
      <c r="F125" s="285">
        <f t="shared" si="20"/>
        <v>69</v>
      </c>
      <c r="G125" s="461"/>
    </row>
    <row r="126" spans="1:7" x14ac:dyDescent="0.25">
      <c r="A126" s="514" t="s">
        <v>1343</v>
      </c>
      <c r="B126" s="284" t="s">
        <v>1795</v>
      </c>
      <c r="C126" s="751">
        <v>610</v>
      </c>
      <c r="D126" s="285">
        <f>'Функц. 2021-2023'!F695</f>
        <v>69</v>
      </c>
      <c r="E126" s="285">
        <f>'Функц. 2021-2023'!H695</f>
        <v>69</v>
      </c>
      <c r="F126" s="285">
        <f>'Функц. 2021-2023'!J695</f>
        <v>69</v>
      </c>
      <c r="G126" s="461"/>
    </row>
    <row r="127" spans="1:7" s="513" customFormat="1" ht="31.5" x14ac:dyDescent="0.25">
      <c r="A127" s="519" t="s">
        <v>2283</v>
      </c>
      <c r="B127" s="284" t="s">
        <v>2284</v>
      </c>
      <c r="C127" s="749"/>
      <c r="D127" s="285">
        <f t="shared" ref="D127:F128" si="21">D128</f>
        <v>29567.4</v>
      </c>
      <c r="E127" s="285">
        <f t="shared" si="21"/>
        <v>30942.999999999996</v>
      </c>
      <c r="F127" s="285">
        <f t="shared" si="21"/>
        <v>30948.999999999996</v>
      </c>
      <c r="G127" s="461"/>
    </row>
    <row r="128" spans="1:7" s="513" customFormat="1" x14ac:dyDescent="0.25">
      <c r="A128" s="514" t="s">
        <v>1781</v>
      </c>
      <c r="B128" s="284" t="s">
        <v>2284</v>
      </c>
      <c r="C128" s="749">
        <v>200</v>
      </c>
      <c r="D128" s="285">
        <f t="shared" si="21"/>
        <v>29567.4</v>
      </c>
      <c r="E128" s="285">
        <f t="shared" si="21"/>
        <v>30942.999999999996</v>
      </c>
      <c r="F128" s="285">
        <f t="shared" si="21"/>
        <v>30948.999999999996</v>
      </c>
      <c r="G128" s="461"/>
    </row>
    <row r="129" spans="1:7" s="513" customFormat="1" x14ac:dyDescent="0.25">
      <c r="A129" s="514" t="s">
        <v>1273</v>
      </c>
      <c r="B129" s="284" t="s">
        <v>2284</v>
      </c>
      <c r="C129" s="749">
        <v>240</v>
      </c>
      <c r="D129" s="285">
        <f>'Функц. 2021-2023'!F698</f>
        <v>29567.4</v>
      </c>
      <c r="E129" s="285">
        <f>'Функц. 2021-2023'!H698</f>
        <v>30942.999999999996</v>
      </c>
      <c r="F129" s="285">
        <f>'Функц. 2021-2023'!J698</f>
        <v>30948.999999999996</v>
      </c>
      <c r="G129" s="461"/>
    </row>
    <row r="130" spans="1:7" s="513" customFormat="1" ht="47.25" x14ac:dyDescent="0.25">
      <c r="A130" s="521" t="s">
        <v>2370</v>
      </c>
      <c r="B130" s="467" t="s">
        <v>2323</v>
      </c>
      <c r="C130" s="750"/>
      <c r="D130" s="285">
        <f t="shared" ref="D130:F131" si="22">D131</f>
        <v>17696</v>
      </c>
      <c r="E130" s="285">
        <f t="shared" si="22"/>
        <v>18347</v>
      </c>
      <c r="F130" s="285">
        <f t="shared" si="22"/>
        <v>18347</v>
      </c>
      <c r="G130" s="461"/>
    </row>
    <row r="131" spans="1:7" s="513" customFormat="1" x14ac:dyDescent="0.25">
      <c r="A131" s="514" t="s">
        <v>1781</v>
      </c>
      <c r="B131" s="467" t="s">
        <v>2323</v>
      </c>
      <c r="C131" s="749">
        <v>200</v>
      </c>
      <c r="D131" s="285">
        <f t="shared" si="22"/>
        <v>17696</v>
      </c>
      <c r="E131" s="285">
        <f t="shared" si="22"/>
        <v>18347</v>
      </c>
      <c r="F131" s="285">
        <f t="shared" si="22"/>
        <v>18347</v>
      </c>
      <c r="G131" s="461"/>
    </row>
    <row r="132" spans="1:7" s="513" customFormat="1" x14ac:dyDescent="0.25">
      <c r="A132" s="514" t="s">
        <v>1273</v>
      </c>
      <c r="B132" s="467" t="s">
        <v>2323</v>
      </c>
      <c r="C132" s="749">
        <v>240</v>
      </c>
      <c r="D132" s="285">
        <f>'Функц. 2021-2023'!F701</f>
        <v>17696</v>
      </c>
      <c r="E132" s="285">
        <f>'Функц. 2021-2023'!H701</f>
        <v>18347</v>
      </c>
      <c r="F132" s="285">
        <f>'Функц. 2021-2023'!J701</f>
        <v>18347</v>
      </c>
      <c r="G132" s="461"/>
    </row>
    <row r="133" spans="1:7" ht="47.25" x14ac:dyDescent="0.25">
      <c r="A133" s="517" t="s">
        <v>2127</v>
      </c>
      <c r="B133" s="467" t="s">
        <v>2166</v>
      </c>
      <c r="C133" s="751"/>
      <c r="D133" s="285">
        <f t="shared" ref="D133:F135" si="23">D134</f>
        <v>1018.8</v>
      </c>
      <c r="E133" s="285">
        <f t="shared" si="23"/>
        <v>1026.3</v>
      </c>
      <c r="F133" s="285">
        <f t="shared" si="23"/>
        <v>1026.3</v>
      </c>
      <c r="G133" s="461"/>
    </row>
    <row r="134" spans="1:7" ht="31.5" x14ac:dyDescent="0.25">
      <c r="A134" s="517" t="s">
        <v>2030</v>
      </c>
      <c r="B134" s="467" t="s">
        <v>2167</v>
      </c>
      <c r="C134" s="751"/>
      <c r="D134" s="285">
        <f t="shared" si="23"/>
        <v>1018.8</v>
      </c>
      <c r="E134" s="285">
        <f t="shared" si="23"/>
        <v>1026.3</v>
      </c>
      <c r="F134" s="285">
        <f t="shared" si="23"/>
        <v>1026.3</v>
      </c>
      <c r="G134" s="461"/>
    </row>
    <row r="135" spans="1:7" ht="31.5" x14ac:dyDescent="0.25">
      <c r="A135" s="514" t="s">
        <v>1342</v>
      </c>
      <c r="B135" s="467" t="s">
        <v>2167</v>
      </c>
      <c r="C135" s="751">
        <v>600</v>
      </c>
      <c r="D135" s="285">
        <f t="shared" si="23"/>
        <v>1018.8</v>
      </c>
      <c r="E135" s="285">
        <f t="shared" si="23"/>
        <v>1026.3</v>
      </c>
      <c r="F135" s="285">
        <f t="shared" si="23"/>
        <v>1026.3</v>
      </c>
      <c r="G135" s="461"/>
    </row>
    <row r="136" spans="1:7" x14ac:dyDescent="0.25">
      <c r="A136" s="514" t="s">
        <v>1343</v>
      </c>
      <c r="B136" s="467" t="s">
        <v>2167</v>
      </c>
      <c r="C136" s="751">
        <v>610</v>
      </c>
      <c r="D136" s="285">
        <f>'Функц. 2021-2023'!F705</f>
        <v>1018.8</v>
      </c>
      <c r="E136" s="285">
        <f>'Функц. 2021-2023'!H705</f>
        <v>1026.3</v>
      </c>
      <c r="F136" s="285">
        <f>'Функц. 2021-2023'!J705</f>
        <v>1026.3</v>
      </c>
      <c r="G136" s="461"/>
    </row>
    <row r="137" spans="1:7" ht="31.5" x14ac:dyDescent="0.25">
      <c r="A137" s="517" t="s">
        <v>2038</v>
      </c>
      <c r="B137" s="467" t="s">
        <v>1778</v>
      </c>
      <c r="C137" s="754"/>
      <c r="D137" s="285">
        <f>D138+D146</f>
        <v>76114.899999999994</v>
      </c>
      <c r="E137" s="285">
        <f>E138+E146</f>
        <v>72184.899999999994</v>
      </c>
      <c r="F137" s="285">
        <f>F138+F146</f>
        <v>72184.899999999994</v>
      </c>
      <c r="G137" s="461"/>
    </row>
    <row r="138" spans="1:7" ht="31.5" x14ac:dyDescent="0.25">
      <c r="A138" s="517" t="s">
        <v>2039</v>
      </c>
      <c r="B138" s="467" t="s">
        <v>2183</v>
      </c>
      <c r="C138" s="754"/>
      <c r="D138" s="285">
        <f>D139</f>
        <v>63922.5</v>
      </c>
      <c r="E138" s="285">
        <f>E139</f>
        <v>37407.800000000003</v>
      </c>
      <c r="F138" s="285">
        <f>F139</f>
        <v>37407.800000000003</v>
      </c>
      <c r="G138" s="461"/>
    </row>
    <row r="139" spans="1:7" ht="31.5" x14ac:dyDescent="0.25">
      <c r="A139" s="517" t="s">
        <v>2040</v>
      </c>
      <c r="B139" s="467" t="s">
        <v>2184</v>
      </c>
      <c r="C139" s="755"/>
      <c r="D139" s="285">
        <f>D143+D140</f>
        <v>63922.5</v>
      </c>
      <c r="E139" s="285">
        <f>E143+E140</f>
        <v>37407.800000000003</v>
      </c>
      <c r="F139" s="285">
        <f>F143+F140</f>
        <v>37407.800000000003</v>
      </c>
      <c r="G139" s="461"/>
    </row>
    <row r="140" spans="1:7" s="513" customFormat="1" ht="31.5" x14ac:dyDescent="0.25">
      <c r="A140" s="514" t="s">
        <v>2185</v>
      </c>
      <c r="B140" s="467" t="s">
        <v>2187</v>
      </c>
      <c r="C140" s="756"/>
      <c r="D140" s="285">
        <f>D142</f>
        <v>59737.5</v>
      </c>
      <c r="E140" s="285">
        <f>E142</f>
        <v>37152.800000000003</v>
      </c>
      <c r="F140" s="285">
        <f>F142</f>
        <v>37152.800000000003</v>
      </c>
      <c r="G140" s="461"/>
    </row>
    <row r="141" spans="1:7" s="513" customFormat="1" ht="31.5" x14ac:dyDescent="0.25">
      <c r="A141" s="514" t="s">
        <v>1342</v>
      </c>
      <c r="B141" s="467" t="s">
        <v>2187</v>
      </c>
      <c r="C141" s="749">
        <v>600</v>
      </c>
      <c r="D141" s="285">
        <f>D142</f>
        <v>59737.5</v>
      </c>
      <c r="E141" s="285">
        <f>E142</f>
        <v>37152.800000000003</v>
      </c>
      <c r="F141" s="285">
        <f>F142</f>
        <v>37152.800000000003</v>
      </c>
      <c r="G141" s="461"/>
    </row>
    <row r="142" spans="1:7" s="513" customFormat="1" x14ac:dyDescent="0.25">
      <c r="A142" s="514" t="s">
        <v>1343</v>
      </c>
      <c r="B142" s="467" t="s">
        <v>2187</v>
      </c>
      <c r="C142" s="749">
        <v>610</v>
      </c>
      <c r="D142" s="285">
        <f>'ведом. 2021-2023'!AD801</f>
        <v>59737.5</v>
      </c>
      <c r="E142" s="285">
        <f>'ведом. 2021-2023'!AE801</f>
        <v>37152.800000000003</v>
      </c>
      <c r="F142" s="285">
        <f>'Функц. 2021-2023'!J748</f>
        <v>37152.800000000003</v>
      </c>
      <c r="G142" s="461"/>
    </row>
    <row r="143" spans="1:7" ht="31.5" x14ac:dyDescent="0.25">
      <c r="A143" s="514" t="s">
        <v>2186</v>
      </c>
      <c r="B143" s="467" t="s">
        <v>2188</v>
      </c>
      <c r="C143" s="751"/>
      <c r="D143" s="285">
        <f t="shared" ref="D143:F144" si="24">D144</f>
        <v>4185</v>
      </c>
      <c r="E143" s="285">
        <f t="shared" si="24"/>
        <v>255</v>
      </c>
      <c r="F143" s="285">
        <f t="shared" si="24"/>
        <v>255</v>
      </c>
      <c r="G143" s="461"/>
    </row>
    <row r="144" spans="1:7" ht="31.5" x14ac:dyDescent="0.25">
      <c r="A144" s="514" t="s">
        <v>1342</v>
      </c>
      <c r="B144" s="467" t="s">
        <v>2188</v>
      </c>
      <c r="C144" s="751">
        <v>600</v>
      </c>
      <c r="D144" s="285">
        <f t="shared" si="24"/>
        <v>4185</v>
      </c>
      <c r="E144" s="285">
        <f t="shared" si="24"/>
        <v>255</v>
      </c>
      <c r="F144" s="285">
        <f t="shared" si="24"/>
        <v>255</v>
      </c>
      <c r="G144" s="461"/>
    </row>
    <row r="145" spans="1:7" x14ac:dyDescent="0.25">
      <c r="A145" s="514" t="s">
        <v>1343</v>
      </c>
      <c r="B145" s="467" t="s">
        <v>2188</v>
      </c>
      <c r="C145" s="751">
        <v>610</v>
      </c>
      <c r="D145" s="285">
        <f>'Функц. 2021-2023'!F751</f>
        <v>4185</v>
      </c>
      <c r="E145" s="285">
        <f>'Функц. 2021-2023'!H751</f>
        <v>255</v>
      </c>
      <c r="F145" s="285">
        <f>'Функц. 2021-2023'!J751</f>
        <v>255</v>
      </c>
      <c r="G145" s="461"/>
    </row>
    <row r="146" spans="1:7" s="486" customFormat="1" ht="31.5" x14ac:dyDescent="0.25">
      <c r="A146" s="517" t="s">
        <v>2041</v>
      </c>
      <c r="B146" s="467" t="s">
        <v>2285</v>
      </c>
      <c r="C146" s="749"/>
      <c r="D146" s="285">
        <f>D147</f>
        <v>12192.399999999998</v>
      </c>
      <c r="E146" s="285">
        <f>E147</f>
        <v>34777.1</v>
      </c>
      <c r="F146" s="285">
        <f>F147</f>
        <v>34777.1</v>
      </c>
      <c r="G146" s="461"/>
    </row>
    <row r="147" spans="1:7" s="486" customFormat="1" ht="31.5" x14ac:dyDescent="0.25">
      <c r="A147" s="522" t="s">
        <v>1839</v>
      </c>
      <c r="B147" s="467" t="s">
        <v>2286</v>
      </c>
      <c r="C147" s="749"/>
      <c r="D147" s="285">
        <f>D148+D152</f>
        <v>12192.399999999998</v>
      </c>
      <c r="E147" s="285">
        <f>E148+E152</f>
        <v>34777.1</v>
      </c>
      <c r="F147" s="285">
        <f>F148+F152</f>
        <v>34777.1</v>
      </c>
      <c r="G147" s="461"/>
    </row>
    <row r="148" spans="1:7" s="486" customFormat="1" ht="31.5" x14ac:dyDescent="0.25">
      <c r="A148" s="514" t="s">
        <v>1342</v>
      </c>
      <c r="B148" s="467" t="s">
        <v>2286</v>
      </c>
      <c r="C148" s="749">
        <v>600</v>
      </c>
      <c r="D148" s="285">
        <f>D149+D150+D151</f>
        <v>11792.399999999998</v>
      </c>
      <c r="E148" s="285">
        <f>E149+E150+E151</f>
        <v>34377.1</v>
      </c>
      <c r="F148" s="285">
        <f>F149+F150+F151</f>
        <v>34377.1</v>
      </c>
      <c r="G148" s="461"/>
    </row>
    <row r="149" spans="1:7" s="486" customFormat="1" x14ac:dyDescent="0.25">
      <c r="A149" s="514" t="s">
        <v>1343</v>
      </c>
      <c r="B149" s="467" t="s">
        <v>2286</v>
      </c>
      <c r="C149" s="749">
        <v>610</v>
      </c>
      <c r="D149" s="285">
        <f>'Функц. 2021-2023'!F755</f>
        <v>11292.399999999998</v>
      </c>
      <c r="E149" s="285">
        <f>'Функц. 2021-2023'!H755</f>
        <v>33877.1</v>
      </c>
      <c r="F149" s="285">
        <f>'Функц. 2021-2023'!J755</f>
        <v>33877.1</v>
      </c>
      <c r="G149" s="461"/>
    </row>
    <row r="150" spans="1:7" s="513" customFormat="1" x14ac:dyDescent="0.25">
      <c r="A150" s="519" t="s">
        <v>1800</v>
      </c>
      <c r="B150" s="467" t="s">
        <v>2286</v>
      </c>
      <c r="C150" s="749">
        <v>620</v>
      </c>
      <c r="D150" s="285">
        <f>'Функц. 2021-2023'!F756</f>
        <v>250</v>
      </c>
      <c r="E150" s="285">
        <f>'Функц. 2021-2023'!H756</f>
        <v>250</v>
      </c>
      <c r="F150" s="285">
        <f>'Функц. 2021-2023'!J756</f>
        <v>250</v>
      </c>
      <c r="G150" s="461"/>
    </row>
    <row r="151" spans="1:7" s="513" customFormat="1" ht="31.5" x14ac:dyDescent="0.25">
      <c r="A151" s="519" t="s">
        <v>2299</v>
      </c>
      <c r="B151" s="467" t="s">
        <v>2286</v>
      </c>
      <c r="C151" s="749">
        <v>630</v>
      </c>
      <c r="D151" s="285">
        <f>'Функц. 2021-2023'!F757</f>
        <v>250</v>
      </c>
      <c r="E151" s="285">
        <f>'Функц. 2021-2023'!H757</f>
        <v>250</v>
      </c>
      <c r="F151" s="285">
        <f>'Функц. 2021-2023'!J757</f>
        <v>250</v>
      </c>
      <c r="G151" s="461"/>
    </row>
    <row r="152" spans="1:7" s="513" customFormat="1" x14ac:dyDescent="0.25">
      <c r="A152" s="519" t="s">
        <v>923</v>
      </c>
      <c r="B152" s="467" t="s">
        <v>2286</v>
      </c>
      <c r="C152" s="749">
        <v>800</v>
      </c>
      <c r="D152" s="285">
        <f>D153</f>
        <v>400</v>
      </c>
      <c r="E152" s="285">
        <f>E153</f>
        <v>400</v>
      </c>
      <c r="F152" s="285">
        <f>F153</f>
        <v>400</v>
      </c>
      <c r="G152" s="461"/>
    </row>
    <row r="153" spans="1:7" s="513" customFormat="1" ht="31.5" x14ac:dyDescent="0.25">
      <c r="A153" s="519" t="s">
        <v>1782</v>
      </c>
      <c r="B153" s="467" t="s">
        <v>2286</v>
      </c>
      <c r="C153" s="749">
        <v>810</v>
      </c>
      <c r="D153" s="285">
        <f>'Функц. 2021-2023'!F759</f>
        <v>400</v>
      </c>
      <c r="E153" s="285">
        <f>'Функц. 2021-2023'!H759</f>
        <v>400</v>
      </c>
      <c r="F153" s="285">
        <f>'Функц. 2021-2023'!J759</f>
        <v>400</v>
      </c>
      <c r="G153" s="461"/>
    </row>
    <row r="154" spans="1:7" x14ac:dyDescent="0.25">
      <c r="A154" s="520" t="s">
        <v>2290</v>
      </c>
      <c r="B154" s="467" t="s">
        <v>2126</v>
      </c>
      <c r="C154" s="749"/>
      <c r="D154" s="285">
        <f>D155</f>
        <v>16444.5</v>
      </c>
      <c r="E154" s="285">
        <f>E155</f>
        <v>16032.4</v>
      </c>
      <c r="F154" s="285">
        <f>F155</f>
        <v>16032.4</v>
      </c>
      <c r="G154" s="461"/>
    </row>
    <row r="155" spans="1:7" ht="31.5" x14ac:dyDescent="0.25">
      <c r="A155" s="517" t="s">
        <v>2042</v>
      </c>
      <c r="B155" s="467" t="s">
        <v>2125</v>
      </c>
      <c r="C155" s="749"/>
      <c r="D155" s="285">
        <f>D156+D168</f>
        <v>16444.5</v>
      </c>
      <c r="E155" s="285">
        <f>E156+E168</f>
        <v>16032.4</v>
      </c>
      <c r="F155" s="285">
        <f>F156+F168</f>
        <v>16032.4</v>
      </c>
      <c r="G155" s="461"/>
    </row>
    <row r="156" spans="1:7" x14ac:dyDescent="0.25">
      <c r="A156" s="522" t="s">
        <v>1923</v>
      </c>
      <c r="B156" s="467" t="s">
        <v>2189</v>
      </c>
      <c r="C156" s="749"/>
      <c r="D156" s="285">
        <f>D157+D162+D165</f>
        <v>16444.5</v>
      </c>
      <c r="E156" s="285">
        <f>E157+E162+E165</f>
        <v>15844.5</v>
      </c>
      <c r="F156" s="285">
        <f>F157+F162+F165</f>
        <v>15844.5</v>
      </c>
      <c r="G156" s="461"/>
    </row>
    <row r="157" spans="1:7" ht="31.5" x14ac:dyDescent="0.25">
      <c r="A157" s="514" t="s">
        <v>1924</v>
      </c>
      <c r="B157" s="467" t="s">
        <v>2190</v>
      </c>
      <c r="C157" s="749"/>
      <c r="D157" s="285">
        <f>D158+D160</f>
        <v>1870.1</v>
      </c>
      <c r="E157" s="285">
        <f>E158+E160</f>
        <v>1230.0999999999999</v>
      </c>
      <c r="F157" s="285">
        <f>F158+F160</f>
        <v>1230.0999999999999</v>
      </c>
      <c r="G157" s="461"/>
    </row>
    <row r="158" spans="1:7" x14ac:dyDescent="0.25">
      <c r="A158" s="514" t="s">
        <v>1781</v>
      </c>
      <c r="B158" s="467" t="s">
        <v>2190</v>
      </c>
      <c r="C158" s="749">
        <v>200</v>
      </c>
      <c r="D158" s="285">
        <f>D159</f>
        <v>1858.1</v>
      </c>
      <c r="E158" s="285">
        <f>E159</f>
        <v>1230.0999999999999</v>
      </c>
      <c r="F158" s="285">
        <f>F159</f>
        <v>1230.0999999999999</v>
      </c>
      <c r="G158" s="461"/>
    </row>
    <row r="159" spans="1:7" x14ac:dyDescent="0.25">
      <c r="A159" s="514" t="s">
        <v>1273</v>
      </c>
      <c r="B159" s="467" t="s">
        <v>2190</v>
      </c>
      <c r="C159" s="749">
        <v>240</v>
      </c>
      <c r="D159" s="285">
        <f>'Функц. 2021-2023'!F797</f>
        <v>1858.1</v>
      </c>
      <c r="E159" s="285">
        <f>'Функц. 2021-2023'!H797</f>
        <v>1230.0999999999999</v>
      </c>
      <c r="F159" s="285">
        <f>'Функц. 2021-2023'!J797</f>
        <v>1230.0999999999999</v>
      </c>
      <c r="G159" s="461"/>
    </row>
    <row r="160" spans="1:7" s="513" customFormat="1" x14ac:dyDescent="0.25">
      <c r="A160" s="519" t="s">
        <v>923</v>
      </c>
      <c r="B160" s="467" t="s">
        <v>2190</v>
      </c>
      <c r="C160" s="749">
        <v>800</v>
      </c>
      <c r="D160" s="285">
        <f>D161</f>
        <v>12</v>
      </c>
      <c r="E160" s="285">
        <f>E161</f>
        <v>0</v>
      </c>
      <c r="F160" s="285">
        <f>F161</f>
        <v>0</v>
      </c>
      <c r="G160" s="461"/>
    </row>
    <row r="161" spans="1:7" s="513" customFormat="1" x14ac:dyDescent="0.25">
      <c r="A161" s="519" t="s">
        <v>1319</v>
      </c>
      <c r="B161" s="467" t="s">
        <v>2190</v>
      </c>
      <c r="C161" s="749">
        <v>850</v>
      </c>
      <c r="D161" s="285">
        <f>'Функц. 2021-2023'!F799</f>
        <v>12</v>
      </c>
      <c r="E161" s="285">
        <f>'Функц. 2021-2023'!H799</f>
        <v>0</v>
      </c>
      <c r="F161" s="285">
        <f>'Функц. 2021-2023'!J799</f>
        <v>0</v>
      </c>
      <c r="G161" s="461"/>
    </row>
    <row r="162" spans="1:7" ht="31.5" x14ac:dyDescent="0.25">
      <c r="A162" s="514" t="s">
        <v>2245</v>
      </c>
      <c r="B162" s="467" t="s">
        <v>2191</v>
      </c>
      <c r="C162" s="749"/>
      <c r="D162" s="285">
        <f t="shared" ref="D162:F163" si="25">D163</f>
        <v>5937.5</v>
      </c>
      <c r="E162" s="285">
        <f t="shared" si="25"/>
        <v>5977.5</v>
      </c>
      <c r="F162" s="285">
        <f t="shared" si="25"/>
        <v>5977.5</v>
      </c>
      <c r="G162" s="461"/>
    </row>
    <row r="163" spans="1:7" ht="47.25" x14ac:dyDescent="0.25">
      <c r="A163" s="514" t="s">
        <v>921</v>
      </c>
      <c r="B163" s="467" t="s">
        <v>2191</v>
      </c>
      <c r="C163" s="749">
        <v>100</v>
      </c>
      <c r="D163" s="285">
        <f t="shared" si="25"/>
        <v>5937.5</v>
      </c>
      <c r="E163" s="285">
        <f t="shared" si="25"/>
        <v>5977.5</v>
      </c>
      <c r="F163" s="285">
        <f t="shared" si="25"/>
        <v>5977.5</v>
      </c>
      <c r="G163" s="461"/>
    </row>
    <row r="164" spans="1:7" x14ac:dyDescent="0.25">
      <c r="A164" s="514" t="s">
        <v>1747</v>
      </c>
      <c r="B164" s="467" t="s">
        <v>2191</v>
      </c>
      <c r="C164" s="749">
        <v>120</v>
      </c>
      <c r="D164" s="285">
        <f>'Функц. 2021-2023'!F802</f>
        <v>5937.5</v>
      </c>
      <c r="E164" s="285">
        <f>'Функц. 2021-2023'!H802</f>
        <v>5977.5</v>
      </c>
      <c r="F164" s="285">
        <f>'Функц. 2021-2023'!J802</f>
        <v>5977.5</v>
      </c>
      <c r="G164" s="461"/>
    </row>
    <row r="165" spans="1:7" ht="31.5" x14ac:dyDescent="0.25">
      <c r="A165" s="514" t="s">
        <v>2043</v>
      </c>
      <c r="B165" s="467" t="s">
        <v>2192</v>
      </c>
      <c r="C165" s="749"/>
      <c r="D165" s="285">
        <f t="shared" ref="D165:F166" si="26">D166</f>
        <v>8636.9</v>
      </c>
      <c r="E165" s="285">
        <f t="shared" si="26"/>
        <v>8636.9</v>
      </c>
      <c r="F165" s="285">
        <f t="shared" si="26"/>
        <v>8636.9</v>
      </c>
      <c r="G165" s="461"/>
    </row>
    <row r="166" spans="1:7" ht="47.25" x14ac:dyDescent="0.25">
      <c r="A166" s="514" t="s">
        <v>921</v>
      </c>
      <c r="B166" s="467" t="s">
        <v>2192</v>
      </c>
      <c r="C166" s="749">
        <v>100</v>
      </c>
      <c r="D166" s="285">
        <f t="shared" si="26"/>
        <v>8636.9</v>
      </c>
      <c r="E166" s="285">
        <f t="shared" si="26"/>
        <v>8636.9</v>
      </c>
      <c r="F166" s="285">
        <f t="shared" si="26"/>
        <v>8636.9</v>
      </c>
      <c r="G166" s="461"/>
    </row>
    <row r="167" spans="1:7" x14ac:dyDescent="0.25">
      <c r="A167" s="514" t="s">
        <v>1747</v>
      </c>
      <c r="B167" s="467" t="s">
        <v>2192</v>
      </c>
      <c r="C167" s="749">
        <v>120</v>
      </c>
      <c r="D167" s="285">
        <f>'Функц. 2021-2023'!F805</f>
        <v>8636.9</v>
      </c>
      <c r="E167" s="285">
        <f>'Функц. 2021-2023'!H805</f>
        <v>8636.9</v>
      </c>
      <c r="F167" s="285">
        <f>'Функц. 2021-2023'!J805</f>
        <v>8636.9</v>
      </c>
      <c r="G167" s="461"/>
    </row>
    <row r="168" spans="1:7" x14ac:dyDescent="0.25">
      <c r="A168" s="514" t="s">
        <v>2044</v>
      </c>
      <c r="B168" s="467" t="s">
        <v>2193</v>
      </c>
      <c r="C168" s="749"/>
      <c r="D168" s="285">
        <f t="shared" ref="D168:F169" si="27">D169</f>
        <v>0</v>
      </c>
      <c r="E168" s="285">
        <f t="shared" si="27"/>
        <v>187.9</v>
      </c>
      <c r="F168" s="285">
        <f t="shared" si="27"/>
        <v>187.9</v>
      </c>
      <c r="G168" s="461"/>
    </row>
    <row r="169" spans="1:7" x14ac:dyDescent="0.25">
      <c r="A169" s="514" t="s">
        <v>1781</v>
      </c>
      <c r="B169" s="467" t="s">
        <v>2193</v>
      </c>
      <c r="C169" s="749">
        <v>200</v>
      </c>
      <c r="D169" s="285">
        <f t="shared" si="27"/>
        <v>0</v>
      </c>
      <c r="E169" s="285">
        <f t="shared" si="27"/>
        <v>187.9</v>
      </c>
      <c r="F169" s="285">
        <f t="shared" si="27"/>
        <v>187.9</v>
      </c>
      <c r="G169" s="461"/>
    </row>
    <row r="170" spans="1:7" x14ac:dyDescent="0.25">
      <c r="A170" s="514" t="s">
        <v>1273</v>
      </c>
      <c r="B170" s="467" t="s">
        <v>2193</v>
      </c>
      <c r="C170" s="749">
        <v>240</v>
      </c>
      <c r="D170" s="285">
        <f>'Функц. 2021-2023'!F808</f>
        <v>0</v>
      </c>
      <c r="E170" s="285">
        <f>'Функц. 2021-2023'!H808</f>
        <v>187.9</v>
      </c>
      <c r="F170" s="285">
        <f>'Функц. 2021-2023'!J808</f>
        <v>187.9</v>
      </c>
      <c r="G170" s="461"/>
    </row>
    <row r="171" spans="1:7" s="436" customFormat="1" x14ac:dyDescent="0.25">
      <c r="A171" s="782" t="s">
        <v>2074</v>
      </c>
      <c r="B171" s="800" t="s">
        <v>1768</v>
      </c>
      <c r="C171" s="757"/>
      <c r="D171" s="289">
        <f>D172+D196+D212+D188</f>
        <v>35704.100000000006</v>
      </c>
      <c r="E171" s="289">
        <f>E172+E196+E212+E188</f>
        <v>35456.5</v>
      </c>
      <c r="F171" s="289">
        <f>F172+F196+F212+F188</f>
        <v>36164.600000000006</v>
      </c>
      <c r="G171" s="461"/>
    </row>
    <row r="172" spans="1:7" s="436" customFormat="1" x14ac:dyDescent="0.25">
      <c r="A172" s="524" t="s">
        <v>2075</v>
      </c>
      <c r="B172" s="801" t="s">
        <v>1779</v>
      </c>
      <c r="C172" s="758"/>
      <c r="D172" s="285">
        <f>D173+D184</f>
        <v>28863.800000000003</v>
      </c>
      <c r="E172" s="285">
        <f>E173+E184</f>
        <v>29544.600000000002</v>
      </c>
      <c r="F172" s="285">
        <f>F173+F184</f>
        <v>30275.600000000002</v>
      </c>
      <c r="G172" s="461"/>
    </row>
    <row r="173" spans="1:7" s="436" customFormat="1" ht="47.25" x14ac:dyDescent="0.25">
      <c r="A173" s="524" t="s">
        <v>2076</v>
      </c>
      <c r="B173" s="467" t="s">
        <v>2077</v>
      </c>
      <c r="C173" s="749"/>
      <c r="D173" s="285">
        <f>D174+D179</f>
        <v>21211</v>
      </c>
      <c r="E173" s="285">
        <f>E174+E179</f>
        <v>21896</v>
      </c>
      <c r="F173" s="285">
        <f>F174+F179</f>
        <v>22627</v>
      </c>
      <c r="G173" s="461"/>
    </row>
    <row r="174" spans="1:7" s="436" customFormat="1" x14ac:dyDescent="0.25">
      <c r="A174" s="525" t="s">
        <v>1783</v>
      </c>
      <c r="B174" s="467" t="s">
        <v>2078</v>
      </c>
      <c r="C174" s="749"/>
      <c r="D174" s="285">
        <f>D175+D177</f>
        <v>19062</v>
      </c>
      <c r="E174" s="285">
        <f>E175+E177</f>
        <v>19747</v>
      </c>
      <c r="F174" s="285">
        <f>F175+F177</f>
        <v>20478</v>
      </c>
      <c r="G174" s="461"/>
    </row>
    <row r="175" spans="1:7" s="436" customFormat="1" x14ac:dyDescent="0.25">
      <c r="A175" s="514" t="s">
        <v>1781</v>
      </c>
      <c r="B175" s="467" t="s">
        <v>2078</v>
      </c>
      <c r="C175" s="749">
        <v>200</v>
      </c>
      <c r="D175" s="285">
        <f>D176</f>
        <v>153.5</v>
      </c>
      <c r="E175" s="285">
        <f>E176</f>
        <v>167</v>
      </c>
      <c r="F175" s="285">
        <f>F176</f>
        <v>170</v>
      </c>
      <c r="G175" s="461"/>
    </row>
    <row r="176" spans="1:7" s="436" customFormat="1" x14ac:dyDescent="0.25">
      <c r="A176" s="514" t="s">
        <v>1273</v>
      </c>
      <c r="B176" s="467" t="s">
        <v>2078</v>
      </c>
      <c r="C176" s="749">
        <v>240</v>
      </c>
      <c r="D176" s="285">
        <f>'Функц. 2021-2023'!F925</f>
        <v>153.5</v>
      </c>
      <c r="E176" s="285">
        <f>'Функц. 2021-2023'!H925</f>
        <v>167</v>
      </c>
      <c r="F176" s="285">
        <f>'Функц. 2021-2023'!J925</f>
        <v>170</v>
      </c>
      <c r="G176" s="461"/>
    </row>
    <row r="177" spans="1:7" s="436" customFormat="1" x14ac:dyDescent="0.25">
      <c r="A177" s="514" t="s">
        <v>1754</v>
      </c>
      <c r="B177" s="467" t="s">
        <v>2078</v>
      </c>
      <c r="C177" s="749">
        <v>300</v>
      </c>
      <c r="D177" s="285">
        <f>D178</f>
        <v>18908.5</v>
      </c>
      <c r="E177" s="285">
        <f>E178</f>
        <v>19580</v>
      </c>
      <c r="F177" s="285">
        <f>F178</f>
        <v>20308</v>
      </c>
      <c r="G177" s="461"/>
    </row>
    <row r="178" spans="1:7" s="436" customFormat="1" x14ac:dyDescent="0.25">
      <c r="A178" s="514" t="s">
        <v>1804</v>
      </c>
      <c r="B178" s="467" t="s">
        <v>2078</v>
      </c>
      <c r="C178" s="749">
        <v>310</v>
      </c>
      <c r="D178" s="285">
        <f>'Функц. 2021-2023'!F927</f>
        <v>18908.5</v>
      </c>
      <c r="E178" s="285">
        <f>'Функц. 2021-2023'!H927</f>
        <v>19580</v>
      </c>
      <c r="F178" s="285">
        <f>'Функц. 2021-2023'!J927</f>
        <v>20308</v>
      </c>
      <c r="G178" s="461"/>
    </row>
    <row r="179" spans="1:7" s="436" customFormat="1" ht="31.5" x14ac:dyDescent="0.25">
      <c r="A179" s="525" t="s">
        <v>2079</v>
      </c>
      <c r="B179" s="467" t="s">
        <v>2080</v>
      </c>
      <c r="C179" s="749"/>
      <c r="D179" s="285">
        <f>D180+D182</f>
        <v>2149</v>
      </c>
      <c r="E179" s="285">
        <f>E180+E182</f>
        <v>2149</v>
      </c>
      <c r="F179" s="285">
        <f>F180+F182</f>
        <v>2149</v>
      </c>
      <c r="G179" s="461"/>
    </row>
    <row r="180" spans="1:7" s="436" customFormat="1" ht="47.25" x14ac:dyDescent="0.25">
      <c r="A180" s="514" t="s">
        <v>921</v>
      </c>
      <c r="B180" s="467" t="s">
        <v>2080</v>
      </c>
      <c r="C180" s="749">
        <v>100</v>
      </c>
      <c r="D180" s="285">
        <f>D181</f>
        <v>1943.1</v>
      </c>
      <c r="E180" s="285">
        <f>E181</f>
        <v>1943.1</v>
      </c>
      <c r="F180" s="285">
        <f>F181</f>
        <v>1943.1</v>
      </c>
      <c r="G180" s="461"/>
    </row>
    <row r="181" spans="1:7" s="436" customFormat="1" x14ac:dyDescent="0.25">
      <c r="A181" s="514" t="s">
        <v>1747</v>
      </c>
      <c r="B181" s="467" t="s">
        <v>2080</v>
      </c>
      <c r="C181" s="749">
        <v>120</v>
      </c>
      <c r="D181" s="285">
        <f>'Функц. 2021-2023'!F595</f>
        <v>1943.1</v>
      </c>
      <c r="E181" s="285">
        <f>'Функц. 2021-2023'!H595</f>
        <v>1943.1</v>
      </c>
      <c r="F181" s="285">
        <f>'Функц. 2021-2023'!J595</f>
        <v>1943.1</v>
      </c>
      <c r="G181" s="461"/>
    </row>
    <row r="182" spans="1:7" s="436" customFormat="1" x14ac:dyDescent="0.25">
      <c r="A182" s="514" t="s">
        <v>1781</v>
      </c>
      <c r="B182" s="467" t="s">
        <v>2080</v>
      </c>
      <c r="C182" s="749">
        <v>200</v>
      </c>
      <c r="D182" s="285">
        <f>D183</f>
        <v>205.9</v>
      </c>
      <c r="E182" s="285">
        <f>E183</f>
        <v>205.9</v>
      </c>
      <c r="F182" s="285">
        <f>F183</f>
        <v>205.9</v>
      </c>
      <c r="G182" s="461"/>
    </row>
    <row r="183" spans="1:7" s="436" customFormat="1" x14ac:dyDescent="0.25">
      <c r="A183" s="514" t="s">
        <v>1273</v>
      </c>
      <c r="B183" s="467" t="s">
        <v>2080</v>
      </c>
      <c r="C183" s="749">
        <v>240</v>
      </c>
      <c r="D183" s="285">
        <f>'Функц. 2021-2023'!F597</f>
        <v>205.9</v>
      </c>
      <c r="E183" s="285">
        <f>'Функц. 2021-2023'!H597</f>
        <v>205.9</v>
      </c>
      <c r="F183" s="285">
        <f>'Функц. 2021-2023'!J597</f>
        <v>205.9</v>
      </c>
      <c r="G183" s="461"/>
    </row>
    <row r="184" spans="1:7" s="436" customFormat="1" ht="31.5" x14ac:dyDescent="0.25">
      <c r="A184" s="524" t="s">
        <v>2081</v>
      </c>
      <c r="B184" s="467" t="s">
        <v>2082</v>
      </c>
      <c r="C184" s="759"/>
      <c r="D184" s="285">
        <f t="shared" ref="D184:F185" si="28">D185</f>
        <v>7652.8000000000011</v>
      </c>
      <c r="E184" s="285">
        <f t="shared" si="28"/>
        <v>7648.6000000000013</v>
      </c>
      <c r="F184" s="285">
        <f t="shared" si="28"/>
        <v>7648.6000000000013</v>
      </c>
      <c r="G184" s="461"/>
    </row>
    <row r="185" spans="1:7" s="436" customFormat="1" ht="31.5" x14ac:dyDescent="0.25">
      <c r="A185" s="526" t="s">
        <v>2083</v>
      </c>
      <c r="B185" s="467" t="s">
        <v>2084</v>
      </c>
      <c r="C185" s="759"/>
      <c r="D185" s="285">
        <f t="shared" si="28"/>
        <v>7652.8000000000011</v>
      </c>
      <c r="E185" s="285">
        <f t="shared" si="28"/>
        <v>7648.6000000000013</v>
      </c>
      <c r="F185" s="285">
        <f t="shared" si="28"/>
        <v>7648.6000000000013</v>
      </c>
      <c r="G185" s="461"/>
    </row>
    <row r="186" spans="1:7" s="436" customFormat="1" x14ac:dyDescent="0.25">
      <c r="A186" s="514" t="s">
        <v>1754</v>
      </c>
      <c r="B186" s="467" t="s">
        <v>2084</v>
      </c>
      <c r="C186" s="749">
        <v>300</v>
      </c>
      <c r="D186" s="285">
        <f>D187</f>
        <v>7652.8000000000011</v>
      </c>
      <c r="E186" s="285">
        <f>E187</f>
        <v>7648.6000000000013</v>
      </c>
      <c r="F186" s="285">
        <f>F187</f>
        <v>7648.6000000000013</v>
      </c>
      <c r="G186" s="461"/>
    </row>
    <row r="187" spans="1:7" s="436" customFormat="1" x14ac:dyDescent="0.25">
      <c r="A187" s="514" t="s">
        <v>868</v>
      </c>
      <c r="B187" s="467" t="s">
        <v>2084</v>
      </c>
      <c r="C187" s="749">
        <v>320</v>
      </c>
      <c r="D187" s="285">
        <f>'Функц. 2021-2023'!F918</f>
        <v>7652.8000000000011</v>
      </c>
      <c r="E187" s="285">
        <f>'Функц. 2021-2023'!H918</f>
        <v>7648.6000000000013</v>
      </c>
      <c r="F187" s="285">
        <f>'Функц. 2021-2023'!J918</f>
        <v>7648.6000000000013</v>
      </c>
      <c r="G187" s="461"/>
    </row>
    <row r="188" spans="1:7" x14ac:dyDescent="0.25">
      <c r="A188" s="524" t="s">
        <v>2085</v>
      </c>
      <c r="B188" s="467" t="s">
        <v>1769</v>
      </c>
      <c r="C188" s="749"/>
      <c r="D188" s="285">
        <f>D189</f>
        <v>1804</v>
      </c>
      <c r="E188" s="285">
        <f>E189</f>
        <v>950</v>
      </c>
      <c r="F188" s="285">
        <f>F189</f>
        <v>950</v>
      </c>
      <c r="G188" s="461"/>
    </row>
    <row r="189" spans="1:7" ht="31.5" x14ac:dyDescent="0.25">
      <c r="A189" s="525" t="s">
        <v>2259</v>
      </c>
      <c r="B189" s="467" t="s">
        <v>2101</v>
      </c>
      <c r="C189" s="749"/>
      <c r="D189" s="285">
        <f>D190+D193</f>
        <v>1804</v>
      </c>
      <c r="E189" s="285">
        <f>E190+E193</f>
        <v>950</v>
      </c>
      <c r="F189" s="285">
        <f>F190+F193</f>
        <v>950</v>
      </c>
      <c r="G189" s="461"/>
    </row>
    <row r="190" spans="1:7" ht="31.5" x14ac:dyDescent="0.25">
      <c r="A190" s="783" t="s">
        <v>2087</v>
      </c>
      <c r="B190" s="467" t="s">
        <v>2088</v>
      </c>
      <c r="C190" s="749"/>
      <c r="D190" s="285">
        <f t="shared" ref="D190:F191" si="29">D191</f>
        <v>950</v>
      </c>
      <c r="E190" s="285">
        <f t="shared" si="29"/>
        <v>950</v>
      </c>
      <c r="F190" s="285">
        <f t="shared" si="29"/>
        <v>950</v>
      </c>
      <c r="G190" s="461"/>
    </row>
    <row r="191" spans="1:7" ht="31.5" x14ac:dyDescent="0.25">
      <c r="A191" s="514" t="s">
        <v>1342</v>
      </c>
      <c r="B191" s="467" t="s">
        <v>2088</v>
      </c>
      <c r="C191" s="751">
        <v>600</v>
      </c>
      <c r="D191" s="285">
        <f t="shared" si="29"/>
        <v>950</v>
      </c>
      <c r="E191" s="285">
        <f t="shared" si="29"/>
        <v>950</v>
      </c>
      <c r="F191" s="285">
        <f t="shared" si="29"/>
        <v>950</v>
      </c>
      <c r="G191" s="461"/>
    </row>
    <row r="192" spans="1:7" x14ac:dyDescent="0.25">
      <c r="A192" s="514" t="s">
        <v>1343</v>
      </c>
      <c r="B192" s="467" t="s">
        <v>2088</v>
      </c>
      <c r="C192" s="751">
        <v>610</v>
      </c>
      <c r="D192" s="285">
        <f>'Функц. 2021-2023'!F712</f>
        <v>950</v>
      </c>
      <c r="E192" s="285">
        <f>'Функц. 2021-2023'!H712</f>
        <v>950</v>
      </c>
      <c r="F192" s="285">
        <f>'Функц. 2021-2023'!J712</f>
        <v>950</v>
      </c>
      <c r="G192" s="461"/>
    </row>
    <row r="193" spans="1:7" ht="47.25" x14ac:dyDescent="0.25">
      <c r="A193" s="519" t="s">
        <v>2260</v>
      </c>
      <c r="B193" s="467" t="s">
        <v>2221</v>
      </c>
      <c r="C193" s="749"/>
      <c r="D193" s="285">
        <f t="shared" ref="D193:F194" si="30">D194</f>
        <v>854</v>
      </c>
      <c r="E193" s="285">
        <f t="shared" si="30"/>
        <v>0</v>
      </c>
      <c r="F193" s="285">
        <f t="shared" si="30"/>
        <v>0</v>
      </c>
      <c r="G193" s="461"/>
    </row>
    <row r="194" spans="1:7" ht="31.5" x14ac:dyDescent="0.25">
      <c r="A194" s="519" t="s">
        <v>1342</v>
      </c>
      <c r="B194" s="467" t="s">
        <v>2221</v>
      </c>
      <c r="C194" s="749">
        <v>600</v>
      </c>
      <c r="D194" s="285">
        <f t="shared" si="30"/>
        <v>854</v>
      </c>
      <c r="E194" s="285">
        <f t="shared" si="30"/>
        <v>0</v>
      </c>
      <c r="F194" s="285">
        <f t="shared" si="30"/>
        <v>0</v>
      </c>
      <c r="G194" s="461"/>
    </row>
    <row r="195" spans="1:7" x14ac:dyDescent="0.25">
      <c r="A195" s="519" t="s">
        <v>1343</v>
      </c>
      <c r="B195" s="467" t="s">
        <v>2221</v>
      </c>
      <c r="C195" s="749">
        <v>610</v>
      </c>
      <c r="D195" s="285">
        <f>'Функц. 2021-2023'!F890</f>
        <v>854</v>
      </c>
      <c r="E195" s="285">
        <f>'Функц. 2021-2023'!H890</f>
        <v>0</v>
      </c>
      <c r="F195" s="285">
        <f>'Функц. 2021-2023'!J890</f>
        <v>0</v>
      </c>
      <c r="G195" s="461"/>
    </row>
    <row r="196" spans="1:7" x14ac:dyDescent="0.25">
      <c r="A196" s="524" t="s">
        <v>2089</v>
      </c>
      <c r="B196" s="467" t="s">
        <v>2090</v>
      </c>
      <c r="C196" s="749"/>
      <c r="D196" s="285">
        <f t="shared" ref="D196:F196" si="31">D197</f>
        <v>4896.2999999999993</v>
      </c>
      <c r="E196" s="285">
        <f t="shared" si="31"/>
        <v>4821.8999999999996</v>
      </c>
      <c r="F196" s="285">
        <f t="shared" si="31"/>
        <v>4799</v>
      </c>
      <c r="G196" s="461"/>
    </row>
    <row r="197" spans="1:7" ht="31.5" x14ac:dyDescent="0.25">
      <c r="A197" s="525" t="s">
        <v>2091</v>
      </c>
      <c r="B197" s="467" t="s">
        <v>2092</v>
      </c>
      <c r="C197" s="749"/>
      <c r="D197" s="285">
        <f>D201+D198</f>
        <v>4896.2999999999993</v>
      </c>
      <c r="E197" s="285">
        <f t="shared" ref="E197:F197" si="32">E201+E198</f>
        <v>4821.8999999999996</v>
      </c>
      <c r="F197" s="285">
        <f t="shared" si="32"/>
        <v>4799</v>
      </c>
      <c r="G197" s="461"/>
    </row>
    <row r="198" spans="1:7" s="513" customFormat="1" ht="48" customHeight="1" x14ac:dyDescent="0.25">
      <c r="A198" s="531" t="s">
        <v>2485</v>
      </c>
      <c r="B198" s="442" t="s">
        <v>2484</v>
      </c>
      <c r="C198" s="238"/>
      <c r="D198" s="285">
        <f>D199</f>
        <v>74.400000000000006</v>
      </c>
      <c r="E198" s="285">
        <f t="shared" ref="E198:F198" si="33">E199</f>
        <v>0</v>
      </c>
      <c r="F198" s="285">
        <f t="shared" si="33"/>
        <v>0</v>
      </c>
      <c r="G198" s="461"/>
    </row>
    <row r="199" spans="1:7" s="513" customFormat="1" x14ac:dyDescent="0.25">
      <c r="A199" s="519" t="s">
        <v>1754</v>
      </c>
      <c r="B199" s="442" t="s">
        <v>2484</v>
      </c>
      <c r="C199" s="238">
        <v>300</v>
      </c>
      <c r="D199" s="285">
        <f>D200</f>
        <v>74.400000000000006</v>
      </c>
      <c r="E199" s="285">
        <f t="shared" ref="E199:F199" si="34">E200</f>
        <v>0</v>
      </c>
      <c r="F199" s="285">
        <f t="shared" si="34"/>
        <v>0</v>
      </c>
      <c r="G199" s="461"/>
    </row>
    <row r="200" spans="1:7" s="513" customFormat="1" x14ac:dyDescent="0.25">
      <c r="A200" s="519" t="s">
        <v>868</v>
      </c>
      <c r="B200" s="442" t="s">
        <v>2484</v>
      </c>
      <c r="C200" s="238">
        <v>320</v>
      </c>
      <c r="D200" s="285">
        <f>'Функц. 2021-2023'!F814</f>
        <v>74.400000000000006</v>
      </c>
      <c r="E200" s="285">
        <f>'Функц. 2021-2023'!H814</f>
        <v>0</v>
      </c>
      <c r="F200" s="285">
        <f>'Функц. 2021-2023'!J814</f>
        <v>0</v>
      </c>
      <c r="G200" s="461"/>
    </row>
    <row r="201" spans="1:7" x14ac:dyDescent="0.25">
      <c r="A201" s="525" t="s">
        <v>2093</v>
      </c>
      <c r="B201" s="467" t="s">
        <v>2094</v>
      </c>
      <c r="C201" s="749"/>
      <c r="D201" s="285">
        <f>D202+D209</f>
        <v>4821.8999999999996</v>
      </c>
      <c r="E201" s="285">
        <f>E202+E209</f>
        <v>4821.8999999999996</v>
      </c>
      <c r="F201" s="285">
        <f>F202+F209</f>
        <v>4799</v>
      </c>
      <c r="G201" s="461"/>
    </row>
    <row r="202" spans="1:7" ht="47.25" x14ac:dyDescent="0.25">
      <c r="A202" s="525" t="s">
        <v>2134</v>
      </c>
      <c r="B202" s="467" t="s">
        <v>2135</v>
      </c>
      <c r="C202" s="749"/>
      <c r="D202" s="285">
        <f>D205+D203+D207</f>
        <v>3449.3999999999996</v>
      </c>
      <c r="E202" s="285">
        <f t="shared" ref="E202:F202" si="35">E205+E203+E207</f>
        <v>3411.8999999999996</v>
      </c>
      <c r="F202" s="285">
        <f t="shared" si="35"/>
        <v>3389</v>
      </c>
      <c r="G202" s="461"/>
    </row>
    <row r="203" spans="1:7" s="513" customFormat="1" x14ac:dyDescent="0.25">
      <c r="A203" s="514" t="s">
        <v>1781</v>
      </c>
      <c r="B203" s="467" t="s">
        <v>2135</v>
      </c>
      <c r="C203" s="749">
        <v>200</v>
      </c>
      <c r="D203" s="285">
        <f>D204</f>
        <v>1720.1</v>
      </c>
      <c r="E203" s="285">
        <f>E204</f>
        <v>120</v>
      </c>
      <c r="F203" s="285">
        <f>F204</f>
        <v>120</v>
      </c>
      <c r="G203" s="461"/>
    </row>
    <row r="204" spans="1:7" s="513" customFormat="1" x14ac:dyDescent="0.25">
      <c r="A204" s="514" t="s">
        <v>1273</v>
      </c>
      <c r="B204" s="467" t="s">
        <v>2135</v>
      </c>
      <c r="C204" s="749">
        <v>240</v>
      </c>
      <c r="D204" s="285">
        <f>'Функц. 2021-2023'!F818</f>
        <v>1720.1</v>
      </c>
      <c r="E204" s="285">
        <f>'Функц. 2021-2023'!H818</f>
        <v>120</v>
      </c>
      <c r="F204" s="285">
        <f>'Функц. 2021-2023'!J818</f>
        <v>120</v>
      </c>
      <c r="G204" s="461"/>
    </row>
    <row r="205" spans="1:7" x14ac:dyDescent="0.25">
      <c r="A205" s="514" t="s">
        <v>1754</v>
      </c>
      <c r="B205" s="467" t="s">
        <v>2135</v>
      </c>
      <c r="C205" s="749">
        <v>300</v>
      </c>
      <c r="D205" s="285">
        <f>D206</f>
        <v>346.89999999999964</v>
      </c>
      <c r="E205" s="285">
        <f>E206</f>
        <v>3291.8999999999996</v>
      </c>
      <c r="F205" s="285">
        <f>F206</f>
        <v>3269</v>
      </c>
      <c r="G205" s="461"/>
    </row>
    <row r="206" spans="1:7" x14ac:dyDescent="0.25">
      <c r="A206" s="514" t="s">
        <v>868</v>
      </c>
      <c r="B206" s="467" t="s">
        <v>2135</v>
      </c>
      <c r="C206" s="749">
        <v>320</v>
      </c>
      <c r="D206" s="285">
        <f>'Функц. 2021-2023'!F820</f>
        <v>346.89999999999964</v>
      </c>
      <c r="E206" s="285">
        <f>'Функц. 2021-2023'!H820</f>
        <v>3291.8999999999996</v>
      </c>
      <c r="F206" s="285">
        <f>'Функц. 2021-2023'!J820</f>
        <v>3269</v>
      </c>
      <c r="G206" s="461"/>
    </row>
    <row r="207" spans="1:7" s="513" customFormat="1" ht="31.5" x14ac:dyDescent="0.25">
      <c r="A207" s="514" t="s">
        <v>1342</v>
      </c>
      <c r="B207" s="442" t="s">
        <v>2135</v>
      </c>
      <c r="C207" s="238">
        <v>600</v>
      </c>
      <c r="D207" s="285">
        <f>D208</f>
        <v>1382.4</v>
      </c>
      <c r="E207" s="285">
        <f t="shared" ref="E207:F207" si="36">E208</f>
        <v>0</v>
      </c>
      <c r="F207" s="285">
        <f t="shared" si="36"/>
        <v>0</v>
      </c>
      <c r="G207" s="461"/>
    </row>
    <row r="208" spans="1:7" s="513" customFormat="1" x14ac:dyDescent="0.25">
      <c r="A208" s="514" t="s">
        <v>1343</v>
      </c>
      <c r="B208" s="442" t="s">
        <v>2135</v>
      </c>
      <c r="C208" s="238">
        <v>610</v>
      </c>
      <c r="D208" s="285">
        <f>'Функц. 2021-2023'!F822</f>
        <v>1382.4</v>
      </c>
      <c r="E208" s="285">
        <f>'Функц. 2021-2023'!H822</f>
        <v>0</v>
      </c>
      <c r="F208" s="285">
        <f>'Функц. 2021-2023'!J822</f>
        <v>0</v>
      </c>
      <c r="G208" s="461"/>
    </row>
    <row r="209" spans="1:7" ht="31.5" x14ac:dyDescent="0.25">
      <c r="A209" s="514" t="s">
        <v>2136</v>
      </c>
      <c r="B209" s="467" t="s">
        <v>2137</v>
      </c>
      <c r="C209" s="749"/>
      <c r="D209" s="285">
        <f t="shared" ref="D209:F210" si="37">D210</f>
        <v>1372.5</v>
      </c>
      <c r="E209" s="285">
        <f t="shared" si="37"/>
        <v>1410</v>
      </c>
      <c r="F209" s="285">
        <f t="shared" si="37"/>
        <v>1410</v>
      </c>
      <c r="G209" s="461"/>
    </row>
    <row r="210" spans="1:7" ht="31.5" x14ac:dyDescent="0.25">
      <c r="A210" s="514" t="s">
        <v>1342</v>
      </c>
      <c r="B210" s="467" t="s">
        <v>2137</v>
      </c>
      <c r="C210" s="751">
        <v>600</v>
      </c>
      <c r="D210" s="285">
        <f t="shared" si="37"/>
        <v>1372.5</v>
      </c>
      <c r="E210" s="285">
        <f t="shared" si="37"/>
        <v>1410</v>
      </c>
      <c r="F210" s="285">
        <f t="shared" si="37"/>
        <v>1410</v>
      </c>
      <c r="G210" s="461"/>
    </row>
    <row r="211" spans="1:7" x14ac:dyDescent="0.25">
      <c r="A211" s="514" t="s">
        <v>1343</v>
      </c>
      <c r="B211" s="467" t="s">
        <v>2137</v>
      </c>
      <c r="C211" s="751">
        <v>610</v>
      </c>
      <c r="D211" s="285">
        <f>'Функц. 2021-2023'!F825</f>
        <v>1372.5</v>
      </c>
      <c r="E211" s="285">
        <f>'Функц. 2021-2023'!H825</f>
        <v>1410</v>
      </c>
      <c r="F211" s="285">
        <f>'Функц. 2021-2023'!J825</f>
        <v>1410</v>
      </c>
      <c r="G211" s="461"/>
    </row>
    <row r="212" spans="1:7" ht="31.5" x14ac:dyDescent="0.25">
      <c r="A212" s="548" t="s">
        <v>2237</v>
      </c>
      <c r="B212" s="467" t="s">
        <v>2095</v>
      </c>
      <c r="C212" s="751"/>
      <c r="D212" s="285">
        <f>D213</f>
        <v>140</v>
      </c>
      <c r="E212" s="285">
        <f>E213</f>
        <v>140</v>
      </c>
      <c r="F212" s="285">
        <f>F213</f>
        <v>140</v>
      </c>
      <c r="G212" s="461"/>
    </row>
    <row r="213" spans="1:7" x14ac:dyDescent="0.25">
      <c r="A213" s="525" t="s">
        <v>2096</v>
      </c>
      <c r="B213" s="467" t="s">
        <v>2097</v>
      </c>
      <c r="C213" s="751"/>
      <c r="D213" s="285">
        <f>D214</f>
        <v>140</v>
      </c>
      <c r="E213" s="285">
        <f t="shared" ref="E213:F213" si="38">E214</f>
        <v>140</v>
      </c>
      <c r="F213" s="285">
        <f t="shared" si="38"/>
        <v>140</v>
      </c>
      <c r="G213" s="461"/>
    </row>
    <row r="214" spans="1:7" x14ac:dyDescent="0.25">
      <c r="A214" s="526" t="s">
        <v>2098</v>
      </c>
      <c r="B214" s="467" t="s">
        <v>2099</v>
      </c>
      <c r="C214" s="753"/>
      <c r="D214" s="285">
        <f t="shared" ref="D214:F215" si="39">D215</f>
        <v>140</v>
      </c>
      <c r="E214" s="285">
        <f t="shared" si="39"/>
        <v>140</v>
      </c>
      <c r="F214" s="285">
        <f t="shared" si="39"/>
        <v>140</v>
      </c>
      <c r="G214" s="461"/>
    </row>
    <row r="215" spans="1:7" ht="31.5" x14ac:dyDescent="0.25">
      <c r="A215" s="460" t="s">
        <v>1342</v>
      </c>
      <c r="B215" s="467" t="s">
        <v>2099</v>
      </c>
      <c r="C215" s="753">
        <v>600</v>
      </c>
      <c r="D215" s="285">
        <f t="shared" si="39"/>
        <v>140</v>
      </c>
      <c r="E215" s="285">
        <f t="shared" si="39"/>
        <v>140</v>
      </c>
      <c r="F215" s="285">
        <f t="shared" si="39"/>
        <v>140</v>
      </c>
      <c r="G215" s="461"/>
    </row>
    <row r="216" spans="1:7" ht="31.5" x14ac:dyDescent="0.25">
      <c r="A216" s="460" t="s">
        <v>2299</v>
      </c>
      <c r="B216" s="467" t="s">
        <v>2099</v>
      </c>
      <c r="C216" s="753">
        <v>630</v>
      </c>
      <c r="D216" s="285">
        <f>'Функц. 2021-2023'!F957</f>
        <v>140</v>
      </c>
      <c r="E216" s="285">
        <f>'Функц. 2021-2023'!H957</f>
        <v>140</v>
      </c>
      <c r="F216" s="285">
        <f>'Функц. 2021-2023'!J957</f>
        <v>140</v>
      </c>
      <c r="G216" s="461"/>
    </row>
    <row r="217" spans="1:7" s="436" customFormat="1" x14ac:dyDescent="0.25">
      <c r="A217" s="776" t="s">
        <v>1846</v>
      </c>
      <c r="B217" s="500" t="s">
        <v>1775</v>
      </c>
      <c r="C217" s="750"/>
      <c r="D217" s="289">
        <f>D218+D232</f>
        <v>94186.700000000012</v>
      </c>
      <c r="E217" s="289">
        <f>E218+E232</f>
        <v>83781.8</v>
      </c>
      <c r="F217" s="289">
        <f>F218+F232</f>
        <v>83781.8</v>
      </c>
      <c r="G217" s="461"/>
    </row>
    <row r="218" spans="1:7" s="436" customFormat="1" x14ac:dyDescent="0.25">
      <c r="A218" s="517" t="s">
        <v>1847</v>
      </c>
      <c r="B218" s="467" t="s">
        <v>1780</v>
      </c>
      <c r="C218" s="750"/>
      <c r="D218" s="285">
        <f>D219</f>
        <v>42976.1</v>
      </c>
      <c r="E218" s="285">
        <f>E219</f>
        <v>32571.200000000001</v>
      </c>
      <c r="F218" s="285">
        <f>F219</f>
        <v>32571.200000000001</v>
      </c>
      <c r="G218" s="461"/>
    </row>
    <row r="219" spans="1:7" s="436" customFormat="1" ht="31.5" x14ac:dyDescent="0.25">
      <c r="A219" s="517" t="s">
        <v>1848</v>
      </c>
      <c r="B219" s="467" t="s">
        <v>1799</v>
      </c>
      <c r="C219" s="750"/>
      <c r="D219" s="285">
        <f>D223+D229+D220</f>
        <v>42976.1</v>
      </c>
      <c r="E219" s="285">
        <f>E223+E229+E220</f>
        <v>32571.200000000001</v>
      </c>
      <c r="F219" s="285">
        <f>F223+F229+F220</f>
        <v>32571.200000000001</v>
      </c>
      <c r="G219" s="461"/>
    </row>
    <row r="220" spans="1:7" s="436" customFormat="1" ht="40.9" customHeight="1" x14ac:dyDescent="0.25">
      <c r="A220" s="603" t="s">
        <v>2435</v>
      </c>
      <c r="B220" s="467" t="s">
        <v>2351</v>
      </c>
      <c r="C220" s="761"/>
      <c r="D220" s="285">
        <f t="shared" ref="D220:F221" si="40">D221</f>
        <v>5100</v>
      </c>
      <c r="E220" s="285">
        <f t="shared" si="40"/>
        <v>0</v>
      </c>
      <c r="F220" s="285">
        <f t="shared" si="40"/>
        <v>0</v>
      </c>
      <c r="G220" s="461"/>
    </row>
    <row r="221" spans="1:7" s="436" customFormat="1" x14ac:dyDescent="0.25">
      <c r="A221" s="519" t="s">
        <v>1781</v>
      </c>
      <c r="B221" s="467" t="s">
        <v>2351</v>
      </c>
      <c r="C221" s="749">
        <v>200</v>
      </c>
      <c r="D221" s="496">
        <f t="shared" si="40"/>
        <v>5100</v>
      </c>
      <c r="E221" s="496">
        <f t="shared" si="40"/>
        <v>0</v>
      </c>
      <c r="F221" s="496">
        <f t="shared" si="40"/>
        <v>0</v>
      </c>
      <c r="G221" s="461"/>
    </row>
    <row r="222" spans="1:7" s="436" customFormat="1" x14ac:dyDescent="0.25">
      <c r="A222" s="519" t="s">
        <v>1273</v>
      </c>
      <c r="B222" s="467" t="s">
        <v>2351</v>
      </c>
      <c r="C222" s="749">
        <v>240</v>
      </c>
      <c r="D222" s="285">
        <f>'Функц. 2021-2023'!F972</f>
        <v>5100</v>
      </c>
      <c r="E222" s="285">
        <f>'Функц. 2021-2023'!H972</f>
        <v>0</v>
      </c>
      <c r="F222" s="285">
        <f>'Функц. 2021-2023'!J972</f>
        <v>0</v>
      </c>
      <c r="G222" s="461"/>
    </row>
    <row r="223" spans="1:7" s="436" customFormat="1" ht="31.5" x14ac:dyDescent="0.25">
      <c r="A223" s="528" t="s">
        <v>1851</v>
      </c>
      <c r="B223" s="467" t="s">
        <v>1852</v>
      </c>
      <c r="C223" s="750"/>
      <c r="D223" s="285">
        <f>D224+D226</f>
        <v>3300</v>
      </c>
      <c r="E223" s="285">
        <f>E224+E226</f>
        <v>3300</v>
      </c>
      <c r="F223" s="285">
        <f>F224+F226</f>
        <v>3300</v>
      </c>
      <c r="G223" s="461"/>
    </row>
    <row r="224" spans="1:7" s="436" customFormat="1" x14ac:dyDescent="0.25">
      <c r="A224" s="460" t="s">
        <v>1781</v>
      </c>
      <c r="B224" s="467" t="s">
        <v>1852</v>
      </c>
      <c r="C224" s="761">
        <v>200</v>
      </c>
      <c r="D224" s="285">
        <f>D225</f>
        <v>2244.9</v>
      </c>
      <c r="E224" s="285">
        <f>E225</f>
        <v>3300</v>
      </c>
      <c r="F224" s="285">
        <f>F225</f>
        <v>3300</v>
      </c>
      <c r="G224" s="461"/>
    </row>
    <row r="225" spans="1:7" s="436" customFormat="1" x14ac:dyDescent="0.25">
      <c r="A225" s="460" t="s">
        <v>1273</v>
      </c>
      <c r="B225" s="467" t="s">
        <v>1852</v>
      </c>
      <c r="C225" s="761">
        <v>240</v>
      </c>
      <c r="D225" s="285">
        <f>'Функц. 2021-2023'!F975</f>
        <v>2244.9</v>
      </c>
      <c r="E225" s="285">
        <f>'Функц. 2021-2023'!H975</f>
        <v>3300</v>
      </c>
      <c r="F225" s="285">
        <f>'Функц. 2021-2023'!J975</f>
        <v>3300</v>
      </c>
      <c r="G225" s="461"/>
    </row>
    <row r="226" spans="1:7" s="436" customFormat="1" ht="31.5" x14ac:dyDescent="0.25">
      <c r="A226" s="628" t="s">
        <v>1342</v>
      </c>
      <c r="B226" s="467" t="s">
        <v>1852</v>
      </c>
      <c r="C226" s="761">
        <v>600</v>
      </c>
      <c r="D226" s="285">
        <f>D227+D228</f>
        <v>1055.0999999999999</v>
      </c>
      <c r="E226" s="285">
        <f>E227+E228</f>
        <v>0</v>
      </c>
      <c r="F226" s="285">
        <f>F227+F228</f>
        <v>0</v>
      </c>
      <c r="G226" s="461"/>
    </row>
    <row r="227" spans="1:7" s="436" customFormat="1" x14ac:dyDescent="0.25">
      <c r="A227" s="623" t="s">
        <v>1343</v>
      </c>
      <c r="B227" s="467" t="s">
        <v>1852</v>
      </c>
      <c r="C227" s="761">
        <v>610</v>
      </c>
      <c r="D227" s="285">
        <f>'Функц. 2021-2023'!F977</f>
        <v>1005.1</v>
      </c>
      <c r="E227" s="285">
        <f>'Функц. 2021-2023'!H977</f>
        <v>0</v>
      </c>
      <c r="F227" s="285">
        <f>'Функц. 2021-2023'!J977</f>
        <v>0</v>
      </c>
      <c r="G227" s="461"/>
    </row>
    <row r="228" spans="1:7" s="436" customFormat="1" x14ac:dyDescent="0.25">
      <c r="A228" s="523" t="s">
        <v>1800</v>
      </c>
      <c r="B228" s="467" t="s">
        <v>1852</v>
      </c>
      <c r="C228" s="761">
        <v>620</v>
      </c>
      <c r="D228" s="285">
        <f>'Функц. 2021-2023'!F978</f>
        <v>50</v>
      </c>
      <c r="E228" s="285">
        <f>'Функц. 2021-2023'!H978</f>
        <v>0</v>
      </c>
      <c r="F228" s="285">
        <f>'Функц. 2021-2023'!J978</f>
        <v>0</v>
      </c>
      <c r="G228" s="461"/>
    </row>
    <row r="229" spans="1:7" s="436" customFormat="1" ht="31.5" x14ac:dyDescent="0.25">
      <c r="A229" s="525" t="s">
        <v>1849</v>
      </c>
      <c r="B229" s="467" t="s">
        <v>1850</v>
      </c>
      <c r="C229" s="750"/>
      <c r="D229" s="285">
        <f t="shared" ref="D229:F230" si="41">D230</f>
        <v>34576.1</v>
      </c>
      <c r="E229" s="285">
        <f t="shared" si="41"/>
        <v>29271.200000000001</v>
      </c>
      <c r="F229" s="285">
        <f t="shared" si="41"/>
        <v>29271.200000000001</v>
      </c>
      <c r="G229" s="461"/>
    </row>
    <row r="230" spans="1:7" s="436" customFormat="1" ht="31.5" x14ac:dyDescent="0.25">
      <c r="A230" s="514" t="s">
        <v>1342</v>
      </c>
      <c r="B230" s="467" t="s">
        <v>1850</v>
      </c>
      <c r="C230" s="761">
        <v>600</v>
      </c>
      <c r="D230" s="285">
        <f t="shared" si="41"/>
        <v>34576.1</v>
      </c>
      <c r="E230" s="285">
        <f t="shared" si="41"/>
        <v>29271.200000000001</v>
      </c>
      <c r="F230" s="285">
        <f t="shared" si="41"/>
        <v>29271.200000000001</v>
      </c>
      <c r="G230" s="461"/>
    </row>
    <row r="231" spans="1:7" s="436" customFormat="1" x14ac:dyDescent="0.25">
      <c r="A231" s="514" t="s">
        <v>1800</v>
      </c>
      <c r="B231" s="467" t="s">
        <v>1850</v>
      </c>
      <c r="C231" s="761">
        <v>620</v>
      </c>
      <c r="D231" s="285">
        <f>'Функц. 2021-2023'!F965</f>
        <v>34576.1</v>
      </c>
      <c r="E231" s="285">
        <f>'Функц. 2021-2023'!H965</f>
        <v>29271.200000000001</v>
      </c>
      <c r="F231" s="285">
        <f>'Функц. 2021-2023'!J965</f>
        <v>29271.200000000001</v>
      </c>
      <c r="G231" s="461"/>
    </row>
    <row r="232" spans="1:7" s="436" customFormat="1" x14ac:dyDescent="0.25">
      <c r="A232" s="603" t="s">
        <v>2262</v>
      </c>
      <c r="B232" s="467" t="s">
        <v>2265</v>
      </c>
      <c r="C232" s="749"/>
      <c r="D232" s="285">
        <f t="shared" ref="D232:F233" si="42">D233</f>
        <v>51210.600000000006</v>
      </c>
      <c r="E232" s="285">
        <f t="shared" si="42"/>
        <v>51210.600000000006</v>
      </c>
      <c r="F232" s="285">
        <f t="shared" si="42"/>
        <v>51210.600000000006</v>
      </c>
      <c r="G232" s="461"/>
    </row>
    <row r="233" spans="1:7" s="436" customFormat="1" x14ac:dyDescent="0.25">
      <c r="A233" s="519" t="s">
        <v>2334</v>
      </c>
      <c r="B233" s="467" t="s">
        <v>2266</v>
      </c>
      <c r="C233" s="749"/>
      <c r="D233" s="285">
        <f t="shared" si="42"/>
        <v>51210.600000000006</v>
      </c>
      <c r="E233" s="285">
        <f t="shared" si="42"/>
        <v>51210.600000000006</v>
      </c>
      <c r="F233" s="285">
        <f t="shared" si="42"/>
        <v>51210.600000000006</v>
      </c>
      <c r="G233" s="461"/>
    </row>
    <row r="234" spans="1:7" s="436" customFormat="1" ht="31.5" x14ac:dyDescent="0.25">
      <c r="A234" s="519" t="s">
        <v>2263</v>
      </c>
      <c r="B234" s="467" t="s">
        <v>2264</v>
      </c>
      <c r="C234" s="749"/>
      <c r="D234" s="285">
        <f>D235+D238</f>
        <v>51210.600000000006</v>
      </c>
      <c r="E234" s="285">
        <f>E235+E238</f>
        <v>51210.600000000006</v>
      </c>
      <c r="F234" s="285">
        <f>F235+F238</f>
        <v>51210.600000000006</v>
      </c>
      <c r="G234" s="461"/>
    </row>
    <row r="235" spans="1:7" s="436" customFormat="1" ht="47.25" x14ac:dyDescent="0.25">
      <c r="A235" s="784" t="str">
        <f>'ведом. 2021-2023'!X542</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235" s="467" t="s">
        <v>2296</v>
      </c>
      <c r="C235" s="749"/>
      <c r="D235" s="285">
        <f t="shared" ref="D235:F236" si="43">D236</f>
        <v>32762.400000000001</v>
      </c>
      <c r="E235" s="285">
        <f t="shared" si="43"/>
        <v>32762.400000000001</v>
      </c>
      <c r="F235" s="285">
        <f t="shared" si="43"/>
        <v>32762.400000000001</v>
      </c>
      <c r="G235" s="461"/>
    </row>
    <row r="236" spans="1:7" s="436" customFormat="1" ht="31.5" x14ac:dyDescent="0.25">
      <c r="A236" s="784" t="str">
        <f>'ведом. 2021-2023'!X543</f>
        <v>Предоставление субсидий бюджетным, автономным учреждениям и иным некоммерческим организациям</v>
      </c>
      <c r="B236" s="467" t="s">
        <v>2296</v>
      </c>
      <c r="C236" s="749">
        <v>600</v>
      </c>
      <c r="D236" s="285">
        <f t="shared" si="43"/>
        <v>32762.400000000001</v>
      </c>
      <c r="E236" s="285">
        <f t="shared" si="43"/>
        <v>32762.400000000001</v>
      </c>
      <c r="F236" s="285">
        <f t="shared" si="43"/>
        <v>32762.400000000001</v>
      </c>
      <c r="G236" s="461"/>
    </row>
    <row r="237" spans="1:7" s="436" customFormat="1" x14ac:dyDescent="0.25">
      <c r="A237" s="784" t="str">
        <f>'ведом. 2021-2023'!X544</f>
        <v>Субсидии бюджетным учреждениям</v>
      </c>
      <c r="B237" s="467" t="s">
        <v>2296</v>
      </c>
      <c r="C237" s="749">
        <v>610</v>
      </c>
      <c r="D237" s="285">
        <f>'ведом. 2021-2023'!AD544</f>
        <v>32762.400000000001</v>
      </c>
      <c r="E237" s="285">
        <f>'ведом. 2021-2023'!AE544</f>
        <v>32762.400000000001</v>
      </c>
      <c r="F237" s="285">
        <f>'ведом. 2021-2023'!AF544</f>
        <v>32762.400000000001</v>
      </c>
      <c r="G237" s="461"/>
    </row>
    <row r="238" spans="1:7" s="436" customFormat="1" ht="56.45" customHeight="1" x14ac:dyDescent="0.25">
      <c r="A238" s="784" t="s">
        <v>2472</v>
      </c>
      <c r="B238" s="467" t="s">
        <v>2297</v>
      </c>
      <c r="C238" s="749"/>
      <c r="D238" s="285">
        <f t="shared" ref="D238:F239" si="44">D239</f>
        <v>18448.2</v>
      </c>
      <c r="E238" s="285">
        <f t="shared" si="44"/>
        <v>18448.2</v>
      </c>
      <c r="F238" s="285">
        <f t="shared" si="44"/>
        <v>18448.2</v>
      </c>
      <c r="G238" s="461"/>
    </row>
    <row r="239" spans="1:7" s="436" customFormat="1" ht="31.5" x14ac:dyDescent="0.25">
      <c r="A239" s="519" t="s">
        <v>1342</v>
      </c>
      <c r="B239" s="467" t="s">
        <v>2297</v>
      </c>
      <c r="C239" s="749">
        <v>600</v>
      </c>
      <c r="D239" s="285">
        <f t="shared" si="44"/>
        <v>18448.2</v>
      </c>
      <c r="E239" s="285">
        <f t="shared" si="44"/>
        <v>18448.2</v>
      </c>
      <c r="F239" s="285">
        <f t="shared" si="44"/>
        <v>18448.2</v>
      </c>
      <c r="G239" s="461"/>
    </row>
    <row r="240" spans="1:7" s="436" customFormat="1" x14ac:dyDescent="0.25">
      <c r="A240" s="519" t="s">
        <v>1343</v>
      </c>
      <c r="B240" s="467" t="s">
        <v>2297</v>
      </c>
      <c r="C240" s="749">
        <v>610</v>
      </c>
      <c r="D240" s="285">
        <f>'Функц. 2021-2023'!F987</f>
        <v>18448.2</v>
      </c>
      <c r="E240" s="285">
        <f>'Функц. 2021-2023'!H987</f>
        <v>18448.2</v>
      </c>
      <c r="F240" s="285">
        <f>'Функц. 2021-2023'!J987</f>
        <v>18448.2</v>
      </c>
      <c r="G240" s="461"/>
    </row>
    <row r="241" spans="1:7" ht="18.75" x14ac:dyDescent="0.3">
      <c r="A241" s="780" t="s">
        <v>1966</v>
      </c>
      <c r="B241" s="500" t="s">
        <v>1816</v>
      </c>
      <c r="C241" s="762"/>
      <c r="D241" s="289">
        <f t="shared" ref="D241:F243" si="45">D242</f>
        <v>1070</v>
      </c>
      <c r="E241" s="289">
        <f t="shared" si="45"/>
        <v>655</v>
      </c>
      <c r="F241" s="289">
        <f t="shared" si="45"/>
        <v>655</v>
      </c>
      <c r="G241" s="461"/>
    </row>
    <row r="242" spans="1:7" ht="18.75" x14ac:dyDescent="0.3">
      <c r="A242" s="517" t="s">
        <v>1967</v>
      </c>
      <c r="B242" s="467" t="s">
        <v>1968</v>
      </c>
      <c r="C242" s="762"/>
      <c r="D242" s="285">
        <f t="shared" si="45"/>
        <v>1070</v>
      </c>
      <c r="E242" s="285">
        <f t="shared" si="45"/>
        <v>655</v>
      </c>
      <c r="F242" s="285">
        <f t="shared" si="45"/>
        <v>655</v>
      </c>
      <c r="G242" s="461"/>
    </row>
    <row r="243" spans="1:7" ht="47.25" x14ac:dyDescent="0.3">
      <c r="A243" s="517" t="s">
        <v>1969</v>
      </c>
      <c r="B243" s="467" t="s">
        <v>1970</v>
      </c>
      <c r="C243" s="762"/>
      <c r="D243" s="285">
        <f t="shared" si="45"/>
        <v>1070</v>
      </c>
      <c r="E243" s="285">
        <f t="shared" si="45"/>
        <v>655</v>
      </c>
      <c r="F243" s="285">
        <f t="shared" si="45"/>
        <v>655</v>
      </c>
      <c r="G243" s="461"/>
    </row>
    <row r="244" spans="1:7" ht="31.5" x14ac:dyDescent="0.25">
      <c r="A244" s="517" t="s">
        <v>2279</v>
      </c>
      <c r="B244" s="467" t="s">
        <v>1971</v>
      </c>
      <c r="C244" s="749"/>
      <c r="D244" s="285">
        <f>D246</f>
        <v>1070</v>
      </c>
      <c r="E244" s="285">
        <f>E246</f>
        <v>655</v>
      </c>
      <c r="F244" s="285">
        <f>F246</f>
        <v>655</v>
      </c>
      <c r="G244" s="461"/>
    </row>
    <row r="245" spans="1:7" x14ac:dyDescent="0.25">
      <c r="A245" s="514" t="s">
        <v>1781</v>
      </c>
      <c r="B245" s="467" t="s">
        <v>1971</v>
      </c>
      <c r="C245" s="751">
        <v>200</v>
      </c>
      <c r="D245" s="285">
        <f>D246</f>
        <v>1070</v>
      </c>
      <c r="E245" s="285">
        <f>E246</f>
        <v>655</v>
      </c>
      <c r="F245" s="285">
        <f>F246</f>
        <v>655</v>
      </c>
      <c r="G245" s="461"/>
    </row>
    <row r="246" spans="1:7" x14ac:dyDescent="0.25">
      <c r="A246" s="514" t="s">
        <v>1273</v>
      </c>
      <c r="B246" s="467" t="s">
        <v>1971</v>
      </c>
      <c r="C246" s="749">
        <v>240</v>
      </c>
      <c r="D246" s="285">
        <f>'Функц. 2021-2023'!F364</f>
        <v>1070</v>
      </c>
      <c r="E246" s="285">
        <f>'Функц. 2021-2023'!H364</f>
        <v>655</v>
      </c>
      <c r="F246" s="285">
        <f>'Функц. 2021-2023'!J364</f>
        <v>655</v>
      </c>
      <c r="G246" s="461"/>
    </row>
    <row r="247" spans="1:7" s="436" customFormat="1" ht="31.5" x14ac:dyDescent="0.25">
      <c r="A247" s="782" t="s">
        <v>1853</v>
      </c>
      <c r="B247" s="802" t="s">
        <v>1761</v>
      </c>
      <c r="C247" s="750"/>
      <c r="D247" s="289">
        <f>D248+D291+D304+D309+D316+D321</f>
        <v>57547.199999999997</v>
      </c>
      <c r="E247" s="289">
        <f>E248+E291+E304+E309+E316+E321</f>
        <v>34411.699999999997</v>
      </c>
      <c r="F247" s="289">
        <f>F248+F291+F304+F309+F316+F321</f>
        <v>34411.699999999997</v>
      </c>
      <c r="G247" s="461"/>
    </row>
    <row r="248" spans="1:7" s="436" customFormat="1" x14ac:dyDescent="0.25">
      <c r="A248" s="524" t="s">
        <v>1854</v>
      </c>
      <c r="B248" s="284" t="s">
        <v>1765</v>
      </c>
      <c r="C248" s="751"/>
      <c r="D248" s="285">
        <f>D249+D262+D270+D266+D256+D274</f>
        <v>33384</v>
      </c>
      <c r="E248" s="285">
        <f>E249+E262+E270+E266+E256+E274</f>
        <v>14173.8</v>
      </c>
      <c r="F248" s="285">
        <f>F249+F262+F270+F266+F256+F274</f>
        <v>14173.8</v>
      </c>
      <c r="G248" s="461"/>
    </row>
    <row r="249" spans="1:7" s="436" customFormat="1" ht="47.25" x14ac:dyDescent="0.25">
      <c r="A249" s="514" t="s">
        <v>2253</v>
      </c>
      <c r="B249" s="467" t="s">
        <v>1785</v>
      </c>
      <c r="C249" s="763"/>
      <c r="D249" s="285">
        <f t="shared" ref="D249:F252" si="46">D250</f>
        <v>1233.8</v>
      </c>
      <c r="E249" s="285">
        <f t="shared" si="46"/>
        <v>400</v>
      </c>
      <c r="F249" s="285">
        <f t="shared" si="46"/>
        <v>400</v>
      </c>
      <c r="G249" s="461"/>
    </row>
    <row r="250" spans="1:7" s="436" customFormat="1" ht="31.5" x14ac:dyDescent="0.25">
      <c r="A250" s="524" t="s">
        <v>1855</v>
      </c>
      <c r="B250" s="467" t="s">
        <v>1856</v>
      </c>
      <c r="C250" s="763"/>
      <c r="D250" s="285">
        <f t="shared" si="46"/>
        <v>1233.8</v>
      </c>
      <c r="E250" s="285">
        <f t="shared" si="46"/>
        <v>400</v>
      </c>
      <c r="F250" s="285">
        <f t="shared" si="46"/>
        <v>400</v>
      </c>
      <c r="G250" s="461"/>
    </row>
    <row r="251" spans="1:7" s="436" customFormat="1" ht="47.25" x14ac:dyDescent="0.25">
      <c r="A251" s="524" t="s">
        <v>2248</v>
      </c>
      <c r="B251" s="467" t="s">
        <v>1857</v>
      </c>
      <c r="C251" s="763"/>
      <c r="D251" s="285">
        <f>D252+D254</f>
        <v>1233.8</v>
      </c>
      <c r="E251" s="285">
        <f>E252+E254</f>
        <v>400</v>
      </c>
      <c r="F251" s="285">
        <f>F252+F254</f>
        <v>400</v>
      </c>
      <c r="G251" s="461"/>
    </row>
    <row r="252" spans="1:7" s="436" customFormat="1" x14ac:dyDescent="0.25">
      <c r="A252" s="514" t="s">
        <v>1781</v>
      </c>
      <c r="B252" s="467" t="s">
        <v>1857</v>
      </c>
      <c r="C252" s="751">
        <v>200</v>
      </c>
      <c r="D252" s="285">
        <f t="shared" si="46"/>
        <v>220.99999999999994</v>
      </c>
      <c r="E252" s="285">
        <f t="shared" si="46"/>
        <v>400</v>
      </c>
      <c r="F252" s="285">
        <f t="shared" si="46"/>
        <v>400</v>
      </c>
      <c r="G252" s="461"/>
    </row>
    <row r="253" spans="1:7" s="436" customFormat="1" x14ac:dyDescent="0.25">
      <c r="A253" s="514" t="s">
        <v>1273</v>
      </c>
      <c r="B253" s="467" t="s">
        <v>1857</v>
      </c>
      <c r="C253" s="751">
        <v>240</v>
      </c>
      <c r="D253" s="285">
        <f>'Функц. 2021-2023'!F342</f>
        <v>220.99999999999994</v>
      </c>
      <c r="E253" s="285">
        <f>'Функц. 2021-2023'!H342</f>
        <v>400</v>
      </c>
      <c r="F253" s="285">
        <f>'Функц. 2021-2023'!J342</f>
        <v>400</v>
      </c>
      <c r="G253" s="461"/>
    </row>
    <row r="254" spans="1:7" s="436" customFormat="1" ht="31.5" x14ac:dyDescent="0.25">
      <c r="A254" s="519" t="s">
        <v>1342</v>
      </c>
      <c r="B254" s="467" t="s">
        <v>1857</v>
      </c>
      <c r="C254" s="751">
        <v>600</v>
      </c>
      <c r="D254" s="285">
        <f>D255</f>
        <v>1012.8</v>
      </c>
      <c r="E254" s="285">
        <f>E255</f>
        <v>0</v>
      </c>
      <c r="F254" s="285">
        <f>F255</f>
        <v>0</v>
      </c>
      <c r="G254" s="461"/>
    </row>
    <row r="255" spans="1:7" s="436" customFormat="1" x14ac:dyDescent="0.25">
      <c r="A255" s="519" t="s">
        <v>1343</v>
      </c>
      <c r="B255" s="467" t="s">
        <v>1857</v>
      </c>
      <c r="C255" s="751">
        <v>610</v>
      </c>
      <c r="D255" s="285">
        <f>'Функц. 2021-2023'!F719+'Функц. 2021-2023'!F897</f>
        <v>1012.8</v>
      </c>
      <c r="E255" s="285">
        <f>'Функц. 2021-2023'!G897</f>
        <v>0</v>
      </c>
      <c r="F255" s="285">
        <f>'Функц. 2021-2023'!H897</f>
        <v>0</v>
      </c>
      <c r="G255" s="461"/>
    </row>
    <row r="256" spans="1:7" s="436" customFormat="1" ht="31.5" x14ac:dyDescent="0.25">
      <c r="A256" s="526" t="s">
        <v>1858</v>
      </c>
      <c r="B256" s="467" t="s">
        <v>1786</v>
      </c>
      <c r="C256" s="751"/>
      <c r="D256" s="285">
        <f t="shared" ref="D256:F260" si="47">D257</f>
        <v>0</v>
      </c>
      <c r="E256" s="285">
        <f t="shared" si="47"/>
        <v>267</v>
      </c>
      <c r="F256" s="285">
        <f t="shared" si="47"/>
        <v>267</v>
      </c>
      <c r="G256" s="461"/>
    </row>
    <row r="257" spans="1:7" s="436" customFormat="1" ht="31.5" x14ac:dyDescent="0.25">
      <c r="A257" s="526" t="s">
        <v>1859</v>
      </c>
      <c r="B257" s="467" t="s">
        <v>1860</v>
      </c>
      <c r="C257" s="751"/>
      <c r="D257" s="285">
        <f>D260+D258</f>
        <v>0</v>
      </c>
      <c r="E257" s="285">
        <f t="shared" ref="E257:F257" si="48">E260+E258</f>
        <v>267</v>
      </c>
      <c r="F257" s="285">
        <f t="shared" si="48"/>
        <v>267</v>
      </c>
      <c r="G257" s="461"/>
    </row>
    <row r="258" spans="1:7" s="436" customFormat="1" x14ac:dyDescent="0.25">
      <c r="A258" s="514" t="s">
        <v>1781</v>
      </c>
      <c r="B258" s="467" t="s">
        <v>1860</v>
      </c>
      <c r="C258" s="751">
        <v>200</v>
      </c>
      <c r="D258" s="285">
        <f>D259</f>
        <v>0</v>
      </c>
      <c r="E258" s="285">
        <f t="shared" ref="E258:F258" si="49">E259</f>
        <v>267</v>
      </c>
      <c r="F258" s="285">
        <f t="shared" si="49"/>
        <v>267</v>
      </c>
      <c r="G258" s="461"/>
    </row>
    <row r="259" spans="1:7" s="436" customFormat="1" x14ac:dyDescent="0.25">
      <c r="A259" s="514" t="s">
        <v>1273</v>
      </c>
      <c r="B259" s="467" t="s">
        <v>1860</v>
      </c>
      <c r="C259" s="751">
        <v>240</v>
      </c>
      <c r="D259" s="285">
        <f>'Функц. 2021-2023'!F346</f>
        <v>0</v>
      </c>
      <c r="E259" s="285">
        <f>'Функц. 2021-2023'!H346</f>
        <v>267</v>
      </c>
      <c r="F259" s="285">
        <f>'Функц. 2021-2023'!J346</f>
        <v>267</v>
      </c>
      <c r="G259" s="461"/>
    </row>
    <row r="260" spans="1:7" s="436" customFormat="1" ht="31.5" x14ac:dyDescent="0.25">
      <c r="A260" s="460" t="s">
        <v>1342</v>
      </c>
      <c r="B260" s="467" t="s">
        <v>1860</v>
      </c>
      <c r="C260" s="749">
        <v>600</v>
      </c>
      <c r="D260" s="285">
        <f t="shared" si="47"/>
        <v>0</v>
      </c>
      <c r="E260" s="285">
        <f t="shared" si="47"/>
        <v>0</v>
      </c>
      <c r="F260" s="285">
        <f t="shared" si="47"/>
        <v>0</v>
      </c>
      <c r="G260" s="461"/>
    </row>
    <row r="261" spans="1:7" s="436" customFormat="1" ht="31.5" x14ac:dyDescent="0.25">
      <c r="A261" s="460" t="s">
        <v>2299</v>
      </c>
      <c r="B261" s="467" t="s">
        <v>1860</v>
      </c>
      <c r="C261" s="749">
        <v>630</v>
      </c>
      <c r="D261" s="285">
        <f>'Функц. 2021-2023'!F348</f>
        <v>0</v>
      </c>
      <c r="E261" s="285">
        <f>'Функц. 2021-2023'!H348</f>
        <v>0</v>
      </c>
      <c r="F261" s="285">
        <f>'Функц. 2021-2023'!J348</f>
        <v>0</v>
      </c>
      <c r="G261" s="461"/>
    </row>
    <row r="262" spans="1:7" s="436" customFormat="1" ht="47.25" x14ac:dyDescent="0.25">
      <c r="A262" s="526" t="s">
        <v>2254</v>
      </c>
      <c r="B262" s="467" t="s">
        <v>1861</v>
      </c>
      <c r="C262" s="751"/>
      <c r="D262" s="285">
        <f t="shared" ref="D262:F263" si="50">D263</f>
        <v>291.2</v>
      </c>
      <c r="E262" s="285">
        <f t="shared" si="50"/>
        <v>332</v>
      </c>
      <c r="F262" s="285">
        <f t="shared" si="50"/>
        <v>332</v>
      </c>
      <c r="G262" s="461"/>
    </row>
    <row r="263" spans="1:7" s="436" customFormat="1" ht="31.5" x14ac:dyDescent="0.25">
      <c r="A263" s="524" t="s">
        <v>1855</v>
      </c>
      <c r="B263" s="467" t="s">
        <v>1862</v>
      </c>
      <c r="C263" s="751"/>
      <c r="D263" s="285">
        <f t="shared" si="50"/>
        <v>291.2</v>
      </c>
      <c r="E263" s="285">
        <f t="shared" si="50"/>
        <v>332</v>
      </c>
      <c r="F263" s="285">
        <f t="shared" si="50"/>
        <v>332</v>
      </c>
      <c r="G263" s="461"/>
    </row>
    <row r="264" spans="1:7" s="436" customFormat="1" x14ac:dyDescent="0.25">
      <c r="A264" s="514" t="s">
        <v>1781</v>
      </c>
      <c r="B264" s="467" t="s">
        <v>1862</v>
      </c>
      <c r="C264" s="749">
        <v>200</v>
      </c>
      <c r="D264" s="285">
        <f>D265</f>
        <v>291.2</v>
      </c>
      <c r="E264" s="285">
        <f>E265</f>
        <v>332</v>
      </c>
      <c r="F264" s="285">
        <f>F265</f>
        <v>332</v>
      </c>
      <c r="G264" s="461"/>
    </row>
    <row r="265" spans="1:7" s="436" customFormat="1" x14ac:dyDescent="0.25">
      <c r="A265" s="514" t="s">
        <v>1273</v>
      </c>
      <c r="B265" s="467" t="s">
        <v>1862</v>
      </c>
      <c r="C265" s="749">
        <v>240</v>
      </c>
      <c r="D265" s="285">
        <f>'Функц. 2021-2023'!F352+'Функц. 2021-2023'!F772</f>
        <v>291.2</v>
      </c>
      <c r="E265" s="285">
        <f>'Функц. 2021-2023'!H352+'Функц. 2021-2023'!H772</f>
        <v>332</v>
      </c>
      <c r="F265" s="285">
        <f>'Функц. 2021-2023'!H352+'Функц. 2021-2023'!H772</f>
        <v>332</v>
      </c>
      <c r="G265" s="461"/>
    </row>
    <row r="266" spans="1:7" s="436" customFormat="1" ht="31.5" x14ac:dyDescent="0.25">
      <c r="A266" s="526" t="s">
        <v>1863</v>
      </c>
      <c r="B266" s="467" t="s">
        <v>1864</v>
      </c>
      <c r="C266" s="749"/>
      <c r="D266" s="285">
        <f>D267</f>
        <v>15701.500000000004</v>
      </c>
      <c r="E266" s="285">
        <f>E267</f>
        <v>6491</v>
      </c>
      <c r="F266" s="285">
        <f>F267</f>
        <v>6491</v>
      </c>
      <c r="G266" s="461"/>
    </row>
    <row r="267" spans="1:7" s="436" customFormat="1" x14ac:dyDescent="0.25">
      <c r="A267" s="524" t="s">
        <v>1865</v>
      </c>
      <c r="B267" s="467" t="s">
        <v>1866</v>
      </c>
      <c r="C267" s="749"/>
      <c r="D267" s="285">
        <f t="shared" ref="D267:F268" si="51">D268</f>
        <v>15701.500000000004</v>
      </c>
      <c r="E267" s="285">
        <f t="shared" si="51"/>
        <v>6491</v>
      </c>
      <c r="F267" s="285">
        <f t="shared" si="51"/>
        <v>6491</v>
      </c>
      <c r="G267" s="461"/>
    </row>
    <row r="268" spans="1:7" s="436" customFormat="1" x14ac:dyDescent="0.25">
      <c r="A268" s="514" t="s">
        <v>1781</v>
      </c>
      <c r="B268" s="467" t="s">
        <v>1866</v>
      </c>
      <c r="C268" s="749">
        <v>200</v>
      </c>
      <c r="D268" s="285">
        <f t="shared" si="51"/>
        <v>15701.500000000004</v>
      </c>
      <c r="E268" s="285">
        <f t="shared" si="51"/>
        <v>6491</v>
      </c>
      <c r="F268" s="285">
        <f t="shared" si="51"/>
        <v>6491</v>
      </c>
      <c r="G268" s="461"/>
    </row>
    <row r="269" spans="1:7" s="436" customFormat="1" x14ac:dyDescent="0.25">
      <c r="A269" s="514" t="s">
        <v>1273</v>
      </c>
      <c r="B269" s="467" t="s">
        <v>1866</v>
      </c>
      <c r="C269" s="749">
        <v>240</v>
      </c>
      <c r="D269" s="285">
        <f>'Функц. 2021-2023'!F356</f>
        <v>15701.500000000004</v>
      </c>
      <c r="E269" s="285">
        <f>'Функц. 2021-2023'!H356</f>
        <v>6491</v>
      </c>
      <c r="F269" s="285">
        <f>'Функц. 2021-2023'!J356</f>
        <v>6491</v>
      </c>
      <c r="G269" s="461"/>
    </row>
    <row r="270" spans="1:7" s="436" customFormat="1" ht="78.75" x14ac:dyDescent="0.25">
      <c r="A270" s="514" t="s">
        <v>1867</v>
      </c>
      <c r="B270" s="803" t="s">
        <v>1868</v>
      </c>
      <c r="C270" s="749"/>
      <c r="D270" s="285">
        <f>D271</f>
        <v>24.1</v>
      </c>
      <c r="E270" s="285">
        <f>E271</f>
        <v>63.5</v>
      </c>
      <c r="F270" s="285">
        <f>F271</f>
        <v>63.5</v>
      </c>
      <c r="G270" s="461"/>
    </row>
    <row r="271" spans="1:7" s="436" customFormat="1" ht="63" x14ac:dyDescent="0.25">
      <c r="A271" s="525" t="s">
        <v>1869</v>
      </c>
      <c r="B271" s="467" t="s">
        <v>1870</v>
      </c>
      <c r="C271" s="749"/>
      <c r="D271" s="285">
        <f t="shared" ref="D271:F272" si="52">D272</f>
        <v>24.1</v>
      </c>
      <c r="E271" s="285">
        <f t="shared" si="52"/>
        <v>63.5</v>
      </c>
      <c r="F271" s="285">
        <f t="shared" si="52"/>
        <v>63.5</v>
      </c>
      <c r="G271" s="461"/>
    </row>
    <row r="272" spans="1:7" s="436" customFormat="1" x14ac:dyDescent="0.25">
      <c r="A272" s="514" t="s">
        <v>1781</v>
      </c>
      <c r="B272" s="467" t="s">
        <v>1870</v>
      </c>
      <c r="C272" s="749">
        <v>200</v>
      </c>
      <c r="D272" s="285">
        <f t="shared" si="52"/>
        <v>24.1</v>
      </c>
      <c r="E272" s="285">
        <f t="shared" si="52"/>
        <v>63.5</v>
      </c>
      <c r="F272" s="285">
        <f t="shared" si="52"/>
        <v>63.5</v>
      </c>
      <c r="G272" s="461"/>
    </row>
    <row r="273" spans="1:7" s="436" customFormat="1" x14ac:dyDescent="0.25">
      <c r="A273" s="514" t="s">
        <v>1273</v>
      </c>
      <c r="B273" s="467" t="s">
        <v>1870</v>
      </c>
      <c r="C273" s="749">
        <v>240</v>
      </c>
      <c r="D273" s="285">
        <f>'Функц. 2021-2023'!F776</f>
        <v>24.1</v>
      </c>
      <c r="E273" s="285">
        <f>'Функц. 2021-2023'!H776</f>
        <v>63.5</v>
      </c>
      <c r="F273" s="285">
        <f>'Функц. 2021-2023'!J776</f>
        <v>63.5</v>
      </c>
      <c r="G273" s="461"/>
    </row>
    <row r="274" spans="1:7" s="436" customFormat="1" x14ac:dyDescent="0.25">
      <c r="A274" s="522" t="s">
        <v>2280</v>
      </c>
      <c r="B274" s="284" t="s">
        <v>2204</v>
      </c>
      <c r="C274" s="763"/>
      <c r="D274" s="285">
        <f>D275+D278+D281+D288</f>
        <v>16133.4</v>
      </c>
      <c r="E274" s="285">
        <f>E275+E278+E281+E288</f>
        <v>6620.2999999999993</v>
      </c>
      <c r="F274" s="285">
        <f>F275+F278+F281+F288</f>
        <v>6620.2999999999993</v>
      </c>
      <c r="G274" s="461"/>
    </row>
    <row r="275" spans="1:7" s="436" customFormat="1" x14ac:dyDescent="0.25">
      <c r="A275" s="522" t="s">
        <v>1985</v>
      </c>
      <c r="B275" s="467" t="s">
        <v>2203</v>
      </c>
      <c r="C275" s="751"/>
      <c r="D275" s="285">
        <f t="shared" ref="D275:F276" si="53">D276</f>
        <v>75</v>
      </c>
      <c r="E275" s="285">
        <f t="shared" si="53"/>
        <v>75</v>
      </c>
      <c r="F275" s="285">
        <f t="shared" si="53"/>
        <v>75</v>
      </c>
      <c r="G275" s="461"/>
    </row>
    <row r="276" spans="1:7" s="436" customFormat="1" x14ac:dyDescent="0.25">
      <c r="A276" s="460" t="s">
        <v>1781</v>
      </c>
      <c r="B276" s="467" t="s">
        <v>2203</v>
      </c>
      <c r="C276" s="749">
        <v>200</v>
      </c>
      <c r="D276" s="285">
        <f t="shared" si="53"/>
        <v>75</v>
      </c>
      <c r="E276" s="285">
        <f t="shared" si="53"/>
        <v>75</v>
      </c>
      <c r="F276" s="285">
        <f t="shared" si="53"/>
        <v>75</v>
      </c>
      <c r="G276" s="461"/>
    </row>
    <row r="277" spans="1:7" s="436" customFormat="1" x14ac:dyDescent="0.25">
      <c r="A277" s="460" t="s">
        <v>1273</v>
      </c>
      <c r="B277" s="467" t="s">
        <v>2203</v>
      </c>
      <c r="C277" s="749">
        <v>240</v>
      </c>
      <c r="D277" s="285">
        <f>'Функц. 2021-2023'!F442</f>
        <v>75</v>
      </c>
      <c r="E277" s="285">
        <f>'Функц. 2021-2023'!H442</f>
        <v>75</v>
      </c>
      <c r="F277" s="285">
        <f>'Функц. 2021-2023'!J442</f>
        <v>75</v>
      </c>
      <c r="G277" s="461"/>
    </row>
    <row r="278" spans="1:7" x14ac:dyDescent="0.25">
      <c r="A278" s="526" t="s">
        <v>1987</v>
      </c>
      <c r="B278" s="284" t="s">
        <v>2205</v>
      </c>
      <c r="C278" s="763"/>
      <c r="D278" s="285">
        <f t="shared" ref="D278:F279" si="54">D279</f>
        <v>10548.5</v>
      </c>
      <c r="E278" s="285">
        <f t="shared" si="54"/>
        <v>1585.4</v>
      </c>
      <c r="F278" s="285">
        <f t="shared" si="54"/>
        <v>1585.4</v>
      </c>
      <c r="G278" s="461"/>
    </row>
    <row r="279" spans="1:7" x14ac:dyDescent="0.25">
      <c r="A279" s="514" t="s">
        <v>1781</v>
      </c>
      <c r="B279" s="284" t="s">
        <v>2205</v>
      </c>
      <c r="C279" s="763" t="s">
        <v>821</v>
      </c>
      <c r="D279" s="285">
        <f t="shared" si="54"/>
        <v>10548.5</v>
      </c>
      <c r="E279" s="285">
        <f t="shared" si="54"/>
        <v>1585.4</v>
      </c>
      <c r="F279" s="285">
        <f t="shared" si="54"/>
        <v>1585.4</v>
      </c>
      <c r="G279" s="461"/>
    </row>
    <row r="280" spans="1:7" x14ac:dyDescent="0.25">
      <c r="A280" s="514" t="s">
        <v>1273</v>
      </c>
      <c r="B280" s="284" t="s">
        <v>2205</v>
      </c>
      <c r="C280" s="763" t="s">
        <v>1479</v>
      </c>
      <c r="D280" s="285">
        <f>'Функц. 2021-2023'!F487</f>
        <v>10548.5</v>
      </c>
      <c r="E280" s="285">
        <f>'Функц. 2021-2023'!H487</f>
        <v>1585.4</v>
      </c>
      <c r="F280" s="285">
        <f>'Функц. 2021-2023'!J487</f>
        <v>1585.4</v>
      </c>
      <c r="G280" s="461"/>
    </row>
    <row r="281" spans="1:7" ht="31.5" x14ac:dyDescent="0.25">
      <c r="A281" s="525" t="s">
        <v>1986</v>
      </c>
      <c r="B281" s="284" t="s">
        <v>2206</v>
      </c>
      <c r="C281" s="763"/>
      <c r="D281" s="285">
        <f>D282+D284+D286</f>
        <v>5258.9</v>
      </c>
      <c r="E281" s="285">
        <f>E282+E284+E286</f>
        <v>4708.8999999999996</v>
      </c>
      <c r="F281" s="285">
        <f>F282+F284+F286</f>
        <v>4708.8999999999996</v>
      </c>
      <c r="G281" s="461"/>
    </row>
    <row r="282" spans="1:7" ht="47.25" x14ac:dyDescent="0.25">
      <c r="A282" s="514" t="s">
        <v>921</v>
      </c>
      <c r="B282" s="284" t="s">
        <v>2206</v>
      </c>
      <c r="C282" s="763" t="s">
        <v>1797</v>
      </c>
      <c r="D282" s="285">
        <f>D283</f>
        <v>4749.7</v>
      </c>
      <c r="E282" s="285">
        <f>E283</f>
        <v>3979.7</v>
      </c>
      <c r="F282" s="285">
        <f>F283</f>
        <v>3979.7</v>
      </c>
      <c r="G282" s="461"/>
    </row>
    <row r="283" spans="1:7" x14ac:dyDescent="0.25">
      <c r="A283" s="514" t="s">
        <v>1568</v>
      </c>
      <c r="B283" s="284" t="s">
        <v>2206</v>
      </c>
      <c r="C283" s="763" t="s">
        <v>1798</v>
      </c>
      <c r="D283" s="285">
        <f>'Функц. 2021-2023'!F490</f>
        <v>4749.7</v>
      </c>
      <c r="E283" s="285">
        <f>'Функц. 2021-2023'!H490</f>
        <v>3979.7</v>
      </c>
      <c r="F283" s="285">
        <f>'Функц. 2021-2023'!J490</f>
        <v>3979.7</v>
      </c>
      <c r="G283" s="461"/>
    </row>
    <row r="284" spans="1:7" x14ac:dyDescent="0.25">
      <c r="A284" s="514" t="s">
        <v>1781</v>
      </c>
      <c r="B284" s="284" t="s">
        <v>2206</v>
      </c>
      <c r="C284" s="763" t="s">
        <v>821</v>
      </c>
      <c r="D284" s="285">
        <f>D285</f>
        <v>507</v>
      </c>
      <c r="E284" s="285">
        <f>E285</f>
        <v>729.2</v>
      </c>
      <c r="F284" s="285">
        <f>F285</f>
        <v>729.2</v>
      </c>
      <c r="G284" s="461"/>
    </row>
    <row r="285" spans="1:7" x14ac:dyDescent="0.25">
      <c r="A285" s="514" t="s">
        <v>1273</v>
      </c>
      <c r="B285" s="284" t="s">
        <v>2206</v>
      </c>
      <c r="C285" s="763" t="s">
        <v>1479</v>
      </c>
      <c r="D285" s="290">
        <f>'Функц. 2021-2023'!F492</f>
        <v>507</v>
      </c>
      <c r="E285" s="290">
        <f>'Функц. 2021-2023'!H492</f>
        <v>729.2</v>
      </c>
      <c r="F285" s="290">
        <f>'Функц. 2021-2023'!J492</f>
        <v>729.2</v>
      </c>
      <c r="G285" s="461"/>
    </row>
    <row r="286" spans="1:7" s="513" customFormat="1" x14ac:dyDescent="0.25">
      <c r="A286" s="519" t="s">
        <v>923</v>
      </c>
      <c r="B286" s="284" t="s">
        <v>2206</v>
      </c>
      <c r="C286" s="763" t="s">
        <v>2240</v>
      </c>
      <c r="D286" s="290">
        <f>D287</f>
        <v>2.2000000000000002</v>
      </c>
      <c r="E286" s="290">
        <f>E287</f>
        <v>0</v>
      </c>
      <c r="F286" s="290">
        <f>F287</f>
        <v>0</v>
      </c>
      <c r="G286" s="461"/>
    </row>
    <row r="287" spans="1:7" s="513" customFormat="1" x14ac:dyDescent="0.25">
      <c r="A287" s="519" t="s">
        <v>1319</v>
      </c>
      <c r="B287" s="284" t="s">
        <v>2206</v>
      </c>
      <c r="C287" s="763" t="s">
        <v>2391</v>
      </c>
      <c r="D287" s="290">
        <f>'Функц. 2021-2023'!F494</f>
        <v>2.2000000000000002</v>
      </c>
      <c r="E287" s="290">
        <f>'Функц. 2021-2023'!H494</f>
        <v>0</v>
      </c>
      <c r="F287" s="290">
        <f>'Функц. 2021-2023'!J494</f>
        <v>0</v>
      </c>
      <c r="G287" s="461"/>
    </row>
    <row r="288" spans="1:7" s="513" customFormat="1" ht="47.25" x14ac:dyDescent="0.25">
      <c r="A288" s="519" t="s">
        <v>2282</v>
      </c>
      <c r="B288" s="284" t="s">
        <v>2281</v>
      </c>
      <c r="C288" s="749"/>
      <c r="D288" s="290">
        <f t="shared" ref="D288:F289" si="55">D289</f>
        <v>251</v>
      </c>
      <c r="E288" s="290">
        <f t="shared" si="55"/>
        <v>251</v>
      </c>
      <c r="F288" s="290">
        <f t="shared" si="55"/>
        <v>251</v>
      </c>
      <c r="G288" s="461"/>
    </row>
    <row r="289" spans="1:7" s="513" customFormat="1" x14ac:dyDescent="0.25">
      <c r="A289" s="514" t="s">
        <v>1781</v>
      </c>
      <c r="B289" s="284" t="s">
        <v>2281</v>
      </c>
      <c r="C289" s="749">
        <v>200</v>
      </c>
      <c r="D289" s="290">
        <f t="shared" si="55"/>
        <v>251</v>
      </c>
      <c r="E289" s="290">
        <f t="shared" si="55"/>
        <v>251</v>
      </c>
      <c r="F289" s="290">
        <f t="shared" si="55"/>
        <v>251</v>
      </c>
      <c r="G289" s="461"/>
    </row>
    <row r="290" spans="1:7" s="513" customFormat="1" x14ac:dyDescent="0.25">
      <c r="A290" s="514" t="s">
        <v>1273</v>
      </c>
      <c r="B290" s="284" t="s">
        <v>2281</v>
      </c>
      <c r="C290" s="749">
        <v>240</v>
      </c>
      <c r="D290" s="290">
        <f>'Функц. 2021-2023'!F445</f>
        <v>251</v>
      </c>
      <c r="E290" s="290">
        <f>'Функц. 2021-2023'!H445</f>
        <v>251</v>
      </c>
      <c r="F290" s="290">
        <f>'Функц. 2021-2023'!J445</f>
        <v>251</v>
      </c>
      <c r="G290" s="461"/>
    </row>
    <row r="291" spans="1:7" s="436" customFormat="1" ht="47.25" x14ac:dyDescent="0.25">
      <c r="A291" s="524" t="s">
        <v>2336</v>
      </c>
      <c r="B291" s="467" t="s">
        <v>1766</v>
      </c>
      <c r="C291" s="763"/>
      <c r="D291" s="285">
        <f>D292+D298</f>
        <v>1024.7</v>
      </c>
      <c r="E291" s="285">
        <f>E292+E298</f>
        <v>780</v>
      </c>
      <c r="F291" s="285">
        <f>F292+F298</f>
        <v>780</v>
      </c>
      <c r="G291" s="461"/>
    </row>
    <row r="292" spans="1:7" s="436" customFormat="1" ht="47.25" x14ac:dyDescent="0.25">
      <c r="A292" s="526" t="s">
        <v>2273</v>
      </c>
      <c r="B292" s="467" t="s">
        <v>1787</v>
      </c>
      <c r="C292" s="763"/>
      <c r="D292" s="285">
        <f>D293</f>
        <v>403.1</v>
      </c>
      <c r="E292" s="285">
        <f>E293</f>
        <v>710</v>
      </c>
      <c r="F292" s="285">
        <f>F293</f>
        <v>710</v>
      </c>
      <c r="G292" s="461"/>
    </row>
    <row r="293" spans="1:7" s="436" customFormat="1" ht="31.5" x14ac:dyDescent="0.25">
      <c r="A293" s="526" t="s">
        <v>1871</v>
      </c>
      <c r="B293" s="467" t="s">
        <v>1872</v>
      </c>
      <c r="C293" s="763"/>
      <c r="D293" s="285">
        <f>D294+D296</f>
        <v>403.1</v>
      </c>
      <c r="E293" s="285">
        <f t="shared" ref="D293:F294" si="56">E294</f>
        <v>710</v>
      </c>
      <c r="F293" s="285">
        <f t="shared" si="56"/>
        <v>710</v>
      </c>
      <c r="G293" s="461"/>
    </row>
    <row r="294" spans="1:7" s="436" customFormat="1" x14ac:dyDescent="0.25">
      <c r="A294" s="460" t="s">
        <v>1781</v>
      </c>
      <c r="B294" s="467" t="s">
        <v>1872</v>
      </c>
      <c r="C294" s="764" t="s">
        <v>821</v>
      </c>
      <c r="D294" s="285">
        <f t="shared" si="56"/>
        <v>337.1</v>
      </c>
      <c r="E294" s="285">
        <f t="shared" si="56"/>
        <v>710</v>
      </c>
      <c r="F294" s="285">
        <f t="shared" si="56"/>
        <v>710</v>
      </c>
      <c r="G294" s="461"/>
    </row>
    <row r="295" spans="1:7" s="436" customFormat="1" x14ac:dyDescent="0.25">
      <c r="A295" s="460" t="s">
        <v>1273</v>
      </c>
      <c r="B295" s="467" t="s">
        <v>1872</v>
      </c>
      <c r="C295" s="764" t="s">
        <v>1479</v>
      </c>
      <c r="D295" s="285">
        <f>'Функц. 2021-2023'!F306</f>
        <v>337.1</v>
      </c>
      <c r="E295" s="285">
        <f>'Функц. 2021-2023'!H306</f>
        <v>710</v>
      </c>
      <c r="F295" s="285">
        <f>'Функц. 2021-2023'!J306</f>
        <v>710</v>
      </c>
      <c r="G295" s="461"/>
    </row>
    <row r="296" spans="1:7" s="436" customFormat="1" ht="31.5" x14ac:dyDescent="0.25">
      <c r="A296" s="519" t="s">
        <v>1342</v>
      </c>
      <c r="B296" s="467" t="s">
        <v>1872</v>
      </c>
      <c r="C296" s="764" t="s">
        <v>2394</v>
      </c>
      <c r="D296" s="285">
        <f>D297</f>
        <v>66</v>
      </c>
      <c r="E296" s="285">
        <f t="shared" ref="E296:F296" si="57">E297</f>
        <v>0</v>
      </c>
      <c r="F296" s="285">
        <f t="shared" si="57"/>
        <v>0</v>
      </c>
      <c r="G296" s="461"/>
    </row>
    <row r="297" spans="1:7" s="436" customFormat="1" x14ac:dyDescent="0.25">
      <c r="A297" s="519" t="s">
        <v>1343</v>
      </c>
      <c r="B297" s="467" t="s">
        <v>1872</v>
      </c>
      <c r="C297" s="764" t="s">
        <v>2395</v>
      </c>
      <c r="D297" s="285">
        <f>'Функц. 2021-2023'!F308</f>
        <v>66</v>
      </c>
      <c r="E297" s="285">
        <v>0</v>
      </c>
      <c r="F297" s="285">
        <f>'Функц. 2021-2023'!J308</f>
        <v>0</v>
      </c>
      <c r="G297" s="461"/>
    </row>
    <row r="298" spans="1:7" s="436" customFormat="1" ht="31.5" x14ac:dyDescent="0.25">
      <c r="A298" s="529" t="s">
        <v>2272</v>
      </c>
      <c r="B298" s="467" t="s">
        <v>1873</v>
      </c>
      <c r="C298" s="749"/>
      <c r="D298" s="285">
        <f>D299</f>
        <v>621.6</v>
      </c>
      <c r="E298" s="285">
        <f>E299</f>
        <v>70</v>
      </c>
      <c r="F298" s="285">
        <f>F299</f>
        <v>70</v>
      </c>
      <c r="G298" s="461"/>
    </row>
    <row r="299" spans="1:7" s="436" customFormat="1" ht="31.5" x14ac:dyDescent="0.25">
      <c r="A299" s="526" t="s">
        <v>1874</v>
      </c>
      <c r="B299" s="467" t="s">
        <v>1875</v>
      </c>
      <c r="C299" s="749"/>
      <c r="D299" s="285">
        <f>D300+D302</f>
        <v>621.6</v>
      </c>
      <c r="E299" s="285">
        <f>E300+E302</f>
        <v>70</v>
      </c>
      <c r="F299" s="285">
        <f>F300+F302</f>
        <v>70</v>
      </c>
      <c r="G299" s="461"/>
    </row>
    <row r="300" spans="1:7" s="436" customFormat="1" x14ac:dyDescent="0.25">
      <c r="A300" s="514" t="s">
        <v>1781</v>
      </c>
      <c r="B300" s="467" t="s">
        <v>1875</v>
      </c>
      <c r="C300" s="763" t="s">
        <v>821</v>
      </c>
      <c r="D300" s="285">
        <f>D301</f>
        <v>40.1</v>
      </c>
      <c r="E300" s="285">
        <f>E301</f>
        <v>70</v>
      </c>
      <c r="F300" s="285">
        <f>F301</f>
        <v>70</v>
      </c>
      <c r="G300" s="461"/>
    </row>
    <row r="301" spans="1:7" s="436" customFormat="1" x14ac:dyDescent="0.25">
      <c r="A301" s="514" t="s">
        <v>1273</v>
      </c>
      <c r="B301" s="467" t="s">
        <v>1875</v>
      </c>
      <c r="C301" s="763" t="s">
        <v>1479</v>
      </c>
      <c r="D301" s="285">
        <f>'Функц. 2021-2023'!F312</f>
        <v>40.1</v>
      </c>
      <c r="E301" s="285">
        <f>'Функц. 2021-2023'!H312</f>
        <v>70</v>
      </c>
      <c r="F301" s="285">
        <f>'Функц. 2021-2023'!J312</f>
        <v>70</v>
      </c>
      <c r="G301" s="461"/>
    </row>
    <row r="302" spans="1:7" s="436" customFormat="1" ht="31.5" x14ac:dyDescent="0.25">
      <c r="A302" s="519" t="s">
        <v>1342</v>
      </c>
      <c r="B302" s="467" t="s">
        <v>1875</v>
      </c>
      <c r="C302" s="763" t="s">
        <v>2394</v>
      </c>
      <c r="D302" s="285">
        <f>D303</f>
        <v>581.5</v>
      </c>
      <c r="E302" s="285">
        <f>E303</f>
        <v>0</v>
      </c>
      <c r="F302" s="285">
        <f>F303</f>
        <v>0</v>
      </c>
      <c r="G302" s="461"/>
    </row>
    <row r="303" spans="1:7" s="436" customFormat="1" x14ac:dyDescent="0.25">
      <c r="A303" s="519" t="s">
        <v>1343</v>
      </c>
      <c r="B303" s="467" t="s">
        <v>1875</v>
      </c>
      <c r="C303" s="763" t="s">
        <v>2395</v>
      </c>
      <c r="D303" s="285">
        <f>'Функц. 2021-2023'!F314</f>
        <v>581.5</v>
      </c>
      <c r="E303" s="285">
        <f>'Функц. 2021-2023'!H314</f>
        <v>0</v>
      </c>
      <c r="F303" s="285">
        <f>'Функц. 2021-2023'!J314</f>
        <v>0</v>
      </c>
      <c r="G303" s="461"/>
    </row>
    <row r="304" spans="1:7" s="436" customFormat="1" ht="31.5" x14ac:dyDescent="0.25">
      <c r="A304" s="524" t="s">
        <v>2274</v>
      </c>
      <c r="B304" s="467" t="s">
        <v>1762</v>
      </c>
      <c r="C304" s="751"/>
      <c r="D304" s="285">
        <f t="shared" ref="D304:F307" si="58">D305</f>
        <v>803.5</v>
      </c>
      <c r="E304" s="285">
        <f t="shared" si="58"/>
        <v>593</v>
      </c>
      <c r="F304" s="285">
        <f t="shared" si="58"/>
        <v>593</v>
      </c>
      <c r="G304" s="461"/>
    </row>
    <row r="305" spans="1:7" s="436" customFormat="1" ht="63" x14ac:dyDescent="0.25">
      <c r="A305" s="526" t="s">
        <v>2277</v>
      </c>
      <c r="B305" s="467" t="s">
        <v>1788</v>
      </c>
      <c r="C305" s="751"/>
      <c r="D305" s="285">
        <f t="shared" si="58"/>
        <v>803.5</v>
      </c>
      <c r="E305" s="285">
        <f t="shared" si="58"/>
        <v>593</v>
      </c>
      <c r="F305" s="285">
        <f t="shared" si="58"/>
        <v>593</v>
      </c>
      <c r="G305" s="461"/>
    </row>
    <row r="306" spans="1:7" s="436" customFormat="1" ht="31.5" x14ac:dyDescent="0.25">
      <c r="A306" s="526" t="s">
        <v>1878</v>
      </c>
      <c r="B306" s="467" t="s">
        <v>1879</v>
      </c>
      <c r="C306" s="751"/>
      <c r="D306" s="285">
        <f t="shared" si="58"/>
        <v>803.5</v>
      </c>
      <c r="E306" s="285">
        <f t="shared" si="58"/>
        <v>593</v>
      </c>
      <c r="F306" s="285">
        <f t="shared" si="58"/>
        <v>593</v>
      </c>
      <c r="G306" s="461"/>
    </row>
    <row r="307" spans="1:7" s="436" customFormat="1" x14ac:dyDescent="0.25">
      <c r="A307" s="514" t="s">
        <v>1781</v>
      </c>
      <c r="B307" s="467" t="s">
        <v>1879</v>
      </c>
      <c r="C307" s="751">
        <v>200</v>
      </c>
      <c r="D307" s="285">
        <f t="shared" si="58"/>
        <v>803.5</v>
      </c>
      <c r="E307" s="285">
        <f t="shared" si="58"/>
        <v>593</v>
      </c>
      <c r="F307" s="285">
        <f t="shared" si="58"/>
        <v>593</v>
      </c>
      <c r="G307" s="461"/>
    </row>
    <row r="308" spans="1:7" s="436" customFormat="1" x14ac:dyDescent="0.25">
      <c r="A308" s="514" t="s">
        <v>1273</v>
      </c>
      <c r="B308" s="467" t="s">
        <v>1879</v>
      </c>
      <c r="C308" s="751">
        <v>240</v>
      </c>
      <c r="D308" s="285">
        <f>'Функц. 2021-2023'!F294</f>
        <v>803.5</v>
      </c>
      <c r="E308" s="285">
        <f>'Функц. 2021-2023'!H294</f>
        <v>593</v>
      </c>
      <c r="F308" s="285">
        <f>'Функц. 2021-2023'!J294</f>
        <v>593</v>
      </c>
      <c r="G308" s="461"/>
    </row>
    <row r="309" spans="1:7" s="436" customFormat="1" ht="31.5" x14ac:dyDescent="0.25">
      <c r="A309" s="520" t="s">
        <v>2275</v>
      </c>
      <c r="B309" s="467" t="s">
        <v>1763</v>
      </c>
      <c r="C309" s="749"/>
      <c r="D309" s="285">
        <f t="shared" ref="D309:F312" si="59">D310</f>
        <v>1733.0000000000002</v>
      </c>
      <c r="E309" s="285">
        <f t="shared" si="59"/>
        <v>656</v>
      </c>
      <c r="F309" s="285">
        <f t="shared" si="59"/>
        <v>656</v>
      </c>
      <c r="G309" s="461"/>
    </row>
    <row r="310" spans="1:7" s="436" customFormat="1" x14ac:dyDescent="0.25">
      <c r="A310" s="526" t="s">
        <v>1880</v>
      </c>
      <c r="B310" s="467" t="s">
        <v>1789</v>
      </c>
      <c r="C310" s="763"/>
      <c r="D310" s="285">
        <f t="shared" si="59"/>
        <v>1733.0000000000002</v>
      </c>
      <c r="E310" s="285">
        <f t="shared" si="59"/>
        <v>656</v>
      </c>
      <c r="F310" s="285">
        <f t="shared" si="59"/>
        <v>656</v>
      </c>
      <c r="G310" s="461"/>
    </row>
    <row r="311" spans="1:7" s="436" customFormat="1" x14ac:dyDescent="0.25">
      <c r="A311" s="514" t="s">
        <v>1876</v>
      </c>
      <c r="B311" s="467" t="s">
        <v>1877</v>
      </c>
      <c r="C311" s="749"/>
      <c r="D311" s="285">
        <f>D312+D314</f>
        <v>1733.0000000000002</v>
      </c>
      <c r="E311" s="285">
        <f>E312+E314</f>
        <v>656</v>
      </c>
      <c r="F311" s="285">
        <f>F312+F314</f>
        <v>656</v>
      </c>
      <c r="G311" s="461"/>
    </row>
    <row r="312" spans="1:7" s="436" customFormat="1" x14ac:dyDescent="0.25">
      <c r="A312" s="514" t="s">
        <v>1781</v>
      </c>
      <c r="B312" s="467" t="s">
        <v>1877</v>
      </c>
      <c r="C312" s="763" t="s">
        <v>821</v>
      </c>
      <c r="D312" s="285">
        <f t="shared" si="59"/>
        <v>175.9</v>
      </c>
      <c r="E312" s="285">
        <f t="shared" si="59"/>
        <v>656</v>
      </c>
      <c r="F312" s="285">
        <f t="shared" si="59"/>
        <v>656</v>
      </c>
      <c r="G312" s="461"/>
    </row>
    <row r="313" spans="1:7" s="436" customFormat="1" x14ac:dyDescent="0.25">
      <c r="A313" s="514" t="s">
        <v>1273</v>
      </c>
      <c r="B313" s="467" t="s">
        <v>1877</v>
      </c>
      <c r="C313" s="763" t="s">
        <v>1479</v>
      </c>
      <c r="D313" s="285">
        <f>'Функц. 2021-2023'!F319</f>
        <v>175.9</v>
      </c>
      <c r="E313" s="285">
        <f>'Функц. 2021-2023'!H319</f>
        <v>656</v>
      </c>
      <c r="F313" s="285">
        <f>'Функц. 2021-2023'!J319</f>
        <v>656</v>
      </c>
      <c r="G313" s="461"/>
    </row>
    <row r="314" spans="1:7" s="436" customFormat="1" ht="31.5" x14ac:dyDescent="0.25">
      <c r="A314" s="519" t="s">
        <v>1342</v>
      </c>
      <c r="B314" s="467" t="s">
        <v>1877</v>
      </c>
      <c r="C314" s="763" t="s">
        <v>2394</v>
      </c>
      <c r="D314" s="285">
        <f>D315</f>
        <v>1557.1000000000001</v>
      </c>
      <c r="E314" s="285">
        <f>E315</f>
        <v>0</v>
      </c>
      <c r="F314" s="285">
        <f>F315</f>
        <v>0</v>
      </c>
      <c r="G314" s="461"/>
    </row>
    <row r="315" spans="1:7" s="436" customFormat="1" x14ac:dyDescent="0.25">
      <c r="A315" s="519" t="s">
        <v>1343</v>
      </c>
      <c r="B315" s="467" t="s">
        <v>1877</v>
      </c>
      <c r="C315" s="763" t="s">
        <v>2395</v>
      </c>
      <c r="D315" s="285">
        <f>'Функц. 2021-2023'!F902+'Функц. 2021-2023'!F765</f>
        <v>1557.1000000000001</v>
      </c>
      <c r="E315" s="285">
        <f>'Функц. 2021-2023'!G902+'Функц. 2021-2023'!G765</f>
        <v>0</v>
      </c>
      <c r="F315" s="285">
        <f>'Функц. 2021-2023'!H902+'Функц. 2021-2023'!H765</f>
        <v>0</v>
      </c>
      <c r="G315" s="461"/>
    </row>
    <row r="316" spans="1:7" s="436" customFormat="1" ht="31.5" x14ac:dyDescent="0.25">
      <c r="A316" s="524" t="s">
        <v>2276</v>
      </c>
      <c r="B316" s="467" t="s">
        <v>1767</v>
      </c>
      <c r="C316" s="763"/>
      <c r="D316" s="285">
        <f t="shared" ref="D316:F319" si="60">D317</f>
        <v>405</v>
      </c>
      <c r="E316" s="285">
        <f t="shared" si="60"/>
        <v>697</v>
      </c>
      <c r="F316" s="285">
        <f t="shared" si="60"/>
        <v>697</v>
      </c>
      <c r="G316" s="461"/>
    </row>
    <row r="317" spans="1:7" s="436" customFormat="1" ht="31.5" x14ac:dyDescent="0.25">
      <c r="A317" s="526" t="s">
        <v>1881</v>
      </c>
      <c r="B317" s="467" t="s">
        <v>1790</v>
      </c>
      <c r="C317" s="763"/>
      <c r="D317" s="285">
        <f t="shared" si="60"/>
        <v>405</v>
      </c>
      <c r="E317" s="285">
        <f t="shared" si="60"/>
        <v>697</v>
      </c>
      <c r="F317" s="285">
        <f t="shared" si="60"/>
        <v>697</v>
      </c>
      <c r="G317" s="461"/>
    </row>
    <row r="318" spans="1:7" s="436" customFormat="1" ht="31.5" x14ac:dyDescent="0.25">
      <c r="A318" s="525" t="s">
        <v>1882</v>
      </c>
      <c r="B318" s="467" t="s">
        <v>1883</v>
      </c>
      <c r="C318" s="763"/>
      <c r="D318" s="285">
        <f t="shared" si="60"/>
        <v>405</v>
      </c>
      <c r="E318" s="285">
        <f t="shared" si="60"/>
        <v>697</v>
      </c>
      <c r="F318" s="285">
        <f t="shared" si="60"/>
        <v>697</v>
      </c>
      <c r="G318" s="461"/>
    </row>
    <row r="319" spans="1:7" s="436" customFormat="1" x14ac:dyDescent="0.25">
      <c r="A319" s="514" t="s">
        <v>1781</v>
      </c>
      <c r="B319" s="467" t="s">
        <v>1883</v>
      </c>
      <c r="C319" s="763" t="s">
        <v>821</v>
      </c>
      <c r="D319" s="285">
        <f t="shared" si="60"/>
        <v>405</v>
      </c>
      <c r="E319" s="285">
        <f t="shared" si="60"/>
        <v>697</v>
      </c>
      <c r="F319" s="285">
        <f t="shared" si="60"/>
        <v>697</v>
      </c>
      <c r="G319" s="461"/>
    </row>
    <row r="320" spans="1:7" s="436" customFormat="1" x14ac:dyDescent="0.25">
      <c r="A320" s="514" t="s">
        <v>1273</v>
      </c>
      <c r="B320" s="467" t="s">
        <v>1883</v>
      </c>
      <c r="C320" s="763" t="s">
        <v>1479</v>
      </c>
      <c r="D320" s="285">
        <f>'Функц. 2021-2023'!F299</f>
        <v>405</v>
      </c>
      <c r="E320" s="285">
        <f>'Функц. 2021-2023'!H299</f>
        <v>697</v>
      </c>
      <c r="F320" s="285">
        <f>'Функц. 2021-2023'!J299</f>
        <v>697</v>
      </c>
      <c r="G320" s="461"/>
    </row>
    <row r="321" spans="1:7" s="436" customFormat="1" x14ac:dyDescent="0.25">
      <c r="A321" s="526" t="s">
        <v>1160</v>
      </c>
      <c r="B321" s="467" t="s">
        <v>1764</v>
      </c>
      <c r="C321" s="763"/>
      <c r="D321" s="285">
        <f t="shared" ref="D321:F322" si="61">D322</f>
        <v>20196.999999999996</v>
      </c>
      <c r="E321" s="285">
        <f t="shared" si="61"/>
        <v>17511.900000000001</v>
      </c>
      <c r="F321" s="285">
        <f t="shared" si="61"/>
        <v>17511.900000000001</v>
      </c>
      <c r="G321" s="461"/>
    </row>
    <row r="322" spans="1:7" s="436" customFormat="1" ht="31.5" x14ac:dyDescent="0.25">
      <c r="A322" s="526" t="s">
        <v>2042</v>
      </c>
      <c r="B322" s="467" t="s">
        <v>2246</v>
      </c>
      <c r="C322" s="763"/>
      <c r="D322" s="285">
        <f t="shared" si="61"/>
        <v>20196.999999999996</v>
      </c>
      <c r="E322" s="285">
        <f t="shared" si="61"/>
        <v>17511.900000000001</v>
      </c>
      <c r="F322" s="285">
        <f t="shared" si="61"/>
        <v>17511.900000000001</v>
      </c>
      <c r="G322" s="461"/>
    </row>
    <row r="323" spans="1:7" s="436" customFormat="1" x14ac:dyDescent="0.25">
      <c r="A323" s="526" t="s">
        <v>1884</v>
      </c>
      <c r="B323" s="467" t="s">
        <v>1885</v>
      </c>
      <c r="C323" s="763"/>
      <c r="D323" s="285">
        <f>D324+D326+D328</f>
        <v>20196.999999999996</v>
      </c>
      <c r="E323" s="285">
        <f>E324+E326+E328</f>
        <v>17511.900000000001</v>
      </c>
      <c r="F323" s="285">
        <f>F324+F326+F328</f>
        <v>17511.900000000001</v>
      </c>
      <c r="G323" s="461"/>
    </row>
    <row r="324" spans="1:7" s="436" customFormat="1" ht="47.25" x14ac:dyDescent="0.25">
      <c r="A324" s="514" t="s">
        <v>1833</v>
      </c>
      <c r="B324" s="467" t="s">
        <v>1885</v>
      </c>
      <c r="C324" s="763" t="s">
        <v>1797</v>
      </c>
      <c r="D324" s="285">
        <f>D325</f>
        <v>17768.899999999998</v>
      </c>
      <c r="E324" s="285">
        <f>E325</f>
        <v>15082.9</v>
      </c>
      <c r="F324" s="285">
        <f>F325</f>
        <v>15082.9</v>
      </c>
      <c r="G324" s="461"/>
    </row>
    <row r="325" spans="1:7" s="436" customFormat="1" x14ac:dyDescent="0.25">
      <c r="A325" s="514" t="s">
        <v>1568</v>
      </c>
      <c r="B325" s="467" t="s">
        <v>1885</v>
      </c>
      <c r="C325" s="763" t="s">
        <v>1798</v>
      </c>
      <c r="D325" s="285">
        <f>'Функц. 2021-2023'!F324</f>
        <v>17768.899999999998</v>
      </c>
      <c r="E325" s="285">
        <f>'Функц. 2021-2023'!H324</f>
        <v>15082.9</v>
      </c>
      <c r="F325" s="285">
        <f>'Функц. 2021-2023'!J324</f>
        <v>15082.9</v>
      </c>
      <c r="G325" s="461"/>
    </row>
    <row r="326" spans="1:7" s="436" customFormat="1" x14ac:dyDescent="0.25">
      <c r="A326" s="514" t="s">
        <v>1781</v>
      </c>
      <c r="B326" s="467" t="s">
        <v>1885</v>
      </c>
      <c r="C326" s="763" t="s">
        <v>821</v>
      </c>
      <c r="D326" s="285">
        <f>D327</f>
        <v>2428</v>
      </c>
      <c r="E326" s="285">
        <f>E327</f>
        <v>2429</v>
      </c>
      <c r="F326" s="285">
        <f>F327</f>
        <v>2429</v>
      </c>
      <c r="G326" s="461"/>
    </row>
    <row r="327" spans="1:7" s="436" customFormat="1" x14ac:dyDescent="0.25">
      <c r="A327" s="514" t="s">
        <v>1273</v>
      </c>
      <c r="B327" s="467" t="s">
        <v>1885</v>
      </c>
      <c r="C327" s="763" t="s">
        <v>1479</v>
      </c>
      <c r="D327" s="285">
        <f>'Функц. 2021-2023'!F326</f>
        <v>2428</v>
      </c>
      <c r="E327" s="285">
        <f>'Функц. 2021-2023'!H326</f>
        <v>2429</v>
      </c>
      <c r="F327" s="285">
        <f>'Функц. 2021-2023'!J326</f>
        <v>2429</v>
      </c>
      <c r="G327" s="461"/>
    </row>
    <row r="328" spans="1:7" s="436" customFormat="1" x14ac:dyDescent="0.25">
      <c r="A328" s="519" t="s">
        <v>923</v>
      </c>
      <c r="B328" s="467" t="s">
        <v>1885</v>
      </c>
      <c r="C328" s="763" t="s">
        <v>2240</v>
      </c>
      <c r="D328" s="285">
        <f>D329</f>
        <v>0.1</v>
      </c>
      <c r="E328" s="285">
        <f>E329</f>
        <v>0</v>
      </c>
      <c r="F328" s="285">
        <f>F329</f>
        <v>0</v>
      </c>
      <c r="G328" s="461"/>
    </row>
    <row r="329" spans="1:7" s="436" customFormat="1" x14ac:dyDescent="0.25">
      <c r="A329" s="519" t="s">
        <v>1319</v>
      </c>
      <c r="B329" s="467" t="s">
        <v>1885</v>
      </c>
      <c r="C329" s="763" t="s">
        <v>2391</v>
      </c>
      <c r="D329" s="285">
        <f>'Функц. 2021-2023'!F328</f>
        <v>0.1</v>
      </c>
      <c r="E329" s="285">
        <f>'Функц. 2021-2023'!H328</f>
        <v>0</v>
      </c>
      <c r="F329" s="285">
        <f>'Функц. 2021-2023'!J328</f>
        <v>0</v>
      </c>
      <c r="G329" s="461"/>
    </row>
    <row r="330" spans="1:7" s="436" customFormat="1" x14ac:dyDescent="0.25">
      <c r="A330" s="782" t="s">
        <v>1890</v>
      </c>
      <c r="B330" s="500" t="s">
        <v>1776</v>
      </c>
      <c r="C330" s="759"/>
      <c r="D330" s="289">
        <f>D331+D339</f>
        <v>60141.3</v>
      </c>
      <c r="E330" s="289">
        <f>E331+E339</f>
        <v>29372</v>
      </c>
      <c r="F330" s="289">
        <f>F331+F339</f>
        <v>19469</v>
      </c>
      <c r="G330" s="461"/>
    </row>
    <row r="331" spans="1:7" x14ac:dyDescent="0.25">
      <c r="A331" s="524" t="s">
        <v>1889</v>
      </c>
      <c r="B331" s="467" t="s">
        <v>1824</v>
      </c>
      <c r="C331" s="749"/>
      <c r="D331" s="285">
        <f>D332</f>
        <v>11104.3</v>
      </c>
      <c r="E331" s="285">
        <f>E332</f>
        <v>9559</v>
      </c>
      <c r="F331" s="285">
        <f>F332</f>
        <v>9562</v>
      </c>
      <c r="G331" s="461"/>
    </row>
    <row r="332" spans="1:7" ht="47.25" x14ac:dyDescent="0.25">
      <c r="A332" s="524" t="s">
        <v>1886</v>
      </c>
      <c r="B332" s="467" t="s">
        <v>1823</v>
      </c>
      <c r="C332" s="749"/>
      <c r="D332" s="285">
        <f>D336+D333</f>
        <v>11104.3</v>
      </c>
      <c r="E332" s="285">
        <f>E336+E333</f>
        <v>9559</v>
      </c>
      <c r="F332" s="285">
        <f>F336+F333</f>
        <v>9562</v>
      </c>
      <c r="G332" s="461"/>
    </row>
    <row r="333" spans="1:7" s="513" customFormat="1" x14ac:dyDescent="0.25">
      <c r="A333" s="785" t="s">
        <v>2356</v>
      </c>
      <c r="B333" s="467" t="s">
        <v>2357</v>
      </c>
      <c r="C333" s="749"/>
      <c r="D333" s="285">
        <f t="shared" ref="D333:F334" si="62">D334</f>
        <v>1352.3999999999999</v>
      </c>
      <c r="E333" s="285">
        <f t="shared" si="62"/>
        <v>0</v>
      </c>
      <c r="F333" s="285">
        <f t="shared" si="62"/>
        <v>0</v>
      </c>
      <c r="G333" s="461"/>
    </row>
    <row r="334" spans="1:7" s="513" customFormat="1" x14ac:dyDescent="0.25">
      <c r="A334" s="519" t="s">
        <v>1754</v>
      </c>
      <c r="B334" s="467" t="s">
        <v>2357</v>
      </c>
      <c r="C334" s="749">
        <v>300</v>
      </c>
      <c r="D334" s="285">
        <f t="shared" si="62"/>
        <v>1352.3999999999999</v>
      </c>
      <c r="E334" s="285">
        <f t="shared" si="62"/>
        <v>0</v>
      </c>
      <c r="F334" s="285">
        <f t="shared" si="62"/>
        <v>0</v>
      </c>
      <c r="G334" s="461"/>
    </row>
    <row r="335" spans="1:7" s="513" customFormat="1" x14ac:dyDescent="0.25">
      <c r="A335" s="519" t="s">
        <v>444</v>
      </c>
      <c r="B335" s="467" t="s">
        <v>2357</v>
      </c>
      <c r="C335" s="749">
        <v>320</v>
      </c>
      <c r="D335" s="285">
        <f>'Функц. 2021-2023'!F942</f>
        <v>1352.3999999999999</v>
      </c>
      <c r="E335" s="285">
        <f>'Функц. 2021-2023'!H942</f>
        <v>0</v>
      </c>
      <c r="F335" s="285">
        <f>'Функц. 2021-2023'!J942</f>
        <v>0</v>
      </c>
      <c r="G335" s="461"/>
    </row>
    <row r="336" spans="1:7" x14ac:dyDescent="0.25">
      <c r="A336" s="524" t="s">
        <v>1887</v>
      </c>
      <c r="B336" s="467" t="s">
        <v>1888</v>
      </c>
      <c r="C336" s="749"/>
      <c r="D336" s="285">
        <f t="shared" ref="D336:F337" si="63">D337</f>
        <v>9751.9</v>
      </c>
      <c r="E336" s="285">
        <f t="shared" si="63"/>
        <v>9559</v>
      </c>
      <c r="F336" s="285">
        <f t="shared" si="63"/>
        <v>9562</v>
      </c>
      <c r="G336" s="461"/>
    </row>
    <row r="337" spans="1:7" x14ac:dyDescent="0.25">
      <c r="A337" s="514" t="s">
        <v>1754</v>
      </c>
      <c r="B337" s="467" t="s">
        <v>1888</v>
      </c>
      <c r="C337" s="749">
        <v>300</v>
      </c>
      <c r="D337" s="285">
        <f t="shared" si="63"/>
        <v>9751.9</v>
      </c>
      <c r="E337" s="285">
        <f t="shared" si="63"/>
        <v>9559</v>
      </c>
      <c r="F337" s="285">
        <f t="shared" si="63"/>
        <v>9562</v>
      </c>
      <c r="G337" s="461"/>
    </row>
    <row r="338" spans="1:7" x14ac:dyDescent="0.25">
      <c r="A338" s="514" t="s">
        <v>444</v>
      </c>
      <c r="B338" s="467" t="s">
        <v>1888</v>
      </c>
      <c r="C338" s="749">
        <v>320</v>
      </c>
      <c r="D338" s="285">
        <f>'Функц. 2021-2023'!F945</f>
        <v>9751.9</v>
      </c>
      <c r="E338" s="285">
        <f>'Функц. 2021-2023'!H945</f>
        <v>9559</v>
      </c>
      <c r="F338" s="285">
        <f>'Функц. 2021-2023'!J945</f>
        <v>9562</v>
      </c>
      <c r="G338" s="461"/>
    </row>
    <row r="339" spans="1:7" ht="31.5" x14ac:dyDescent="0.25">
      <c r="A339" s="524" t="s">
        <v>1891</v>
      </c>
      <c r="B339" s="467" t="s">
        <v>1827</v>
      </c>
      <c r="C339" s="765"/>
      <c r="D339" s="285">
        <f>D341</f>
        <v>49037</v>
      </c>
      <c r="E339" s="285">
        <f>E341</f>
        <v>19813</v>
      </c>
      <c r="F339" s="285">
        <f>F341</f>
        <v>9907</v>
      </c>
      <c r="G339" s="461"/>
    </row>
    <row r="340" spans="1:7" ht="47.25" x14ac:dyDescent="0.25">
      <c r="A340" s="548" t="s">
        <v>2320</v>
      </c>
      <c r="B340" s="467" t="s">
        <v>1826</v>
      </c>
      <c r="C340" s="749"/>
      <c r="D340" s="285">
        <f>D341</f>
        <v>49037</v>
      </c>
      <c r="E340" s="285">
        <f>E341</f>
        <v>19813</v>
      </c>
      <c r="F340" s="285">
        <f>F341</f>
        <v>9907</v>
      </c>
      <c r="G340" s="461"/>
    </row>
    <row r="341" spans="1:7" ht="47.25" x14ac:dyDescent="0.25">
      <c r="A341" s="524" t="s">
        <v>1892</v>
      </c>
      <c r="B341" s="467" t="s">
        <v>1825</v>
      </c>
      <c r="C341" s="749"/>
      <c r="D341" s="285">
        <f t="shared" ref="D341:F342" si="64">D342</f>
        <v>49037</v>
      </c>
      <c r="E341" s="285">
        <f t="shared" si="64"/>
        <v>19813</v>
      </c>
      <c r="F341" s="285">
        <f t="shared" si="64"/>
        <v>9907</v>
      </c>
      <c r="G341" s="461"/>
    </row>
    <row r="342" spans="1:7" x14ac:dyDescent="0.25">
      <c r="A342" s="786" t="s">
        <v>418</v>
      </c>
      <c r="B342" s="804" t="s">
        <v>1825</v>
      </c>
      <c r="C342" s="749">
        <v>400</v>
      </c>
      <c r="D342" s="285">
        <f t="shared" si="64"/>
        <v>49037</v>
      </c>
      <c r="E342" s="285">
        <f t="shared" si="64"/>
        <v>19813</v>
      </c>
      <c r="F342" s="285">
        <f t="shared" si="64"/>
        <v>9907</v>
      </c>
      <c r="G342" s="461"/>
    </row>
    <row r="343" spans="1:7" x14ac:dyDescent="0.25">
      <c r="A343" s="514" t="s">
        <v>232</v>
      </c>
      <c r="B343" s="804" t="s">
        <v>1825</v>
      </c>
      <c r="C343" s="749">
        <v>410</v>
      </c>
      <c r="D343" s="285">
        <f>'Функц. 2021-2023'!F950</f>
        <v>49037</v>
      </c>
      <c r="E343" s="285">
        <f>'Функц. 2021-2023'!H950</f>
        <v>19813</v>
      </c>
      <c r="F343" s="285">
        <f>'Функц. 2021-2023'!J950</f>
        <v>9907</v>
      </c>
      <c r="G343" s="461"/>
    </row>
    <row r="344" spans="1:7" s="436" customFormat="1" ht="23.45" customHeight="1" x14ac:dyDescent="0.25">
      <c r="A344" s="787" t="s">
        <v>1948</v>
      </c>
      <c r="B344" s="500" t="s">
        <v>1770</v>
      </c>
      <c r="C344" s="749"/>
      <c r="D344" s="289">
        <f>D345+D367+D355</f>
        <v>1731197.9000000001</v>
      </c>
      <c r="E344" s="289">
        <f>E345+E367+E355</f>
        <v>661408</v>
      </c>
      <c r="F344" s="289">
        <f>F345+F367+F355</f>
        <v>672</v>
      </c>
      <c r="G344" s="461"/>
    </row>
    <row r="345" spans="1:7" s="436" customFormat="1" x14ac:dyDescent="0.25">
      <c r="A345" s="520" t="s">
        <v>2305</v>
      </c>
      <c r="B345" s="467" t="s">
        <v>2306</v>
      </c>
      <c r="C345" s="749"/>
      <c r="D345" s="285">
        <f>D350+D346</f>
        <v>1712885.9000000001</v>
      </c>
      <c r="E345" s="285">
        <f t="shared" ref="E345:F345" si="65">E350+E346</f>
        <v>651397.6</v>
      </c>
      <c r="F345" s="285">
        <f t="shared" si="65"/>
        <v>10</v>
      </c>
      <c r="G345" s="461"/>
    </row>
    <row r="346" spans="1:7" s="436" customFormat="1" ht="47.25" x14ac:dyDescent="0.25">
      <c r="A346" s="620" t="s">
        <v>2426</v>
      </c>
      <c r="B346" s="442" t="s">
        <v>2428</v>
      </c>
      <c r="C346" s="238"/>
      <c r="D346" s="285">
        <f>D347</f>
        <v>10</v>
      </c>
      <c r="E346" s="285">
        <f t="shared" ref="E346:F346" si="66">E347</f>
        <v>0</v>
      </c>
      <c r="F346" s="285">
        <f t="shared" si="66"/>
        <v>10</v>
      </c>
      <c r="G346" s="461"/>
    </row>
    <row r="347" spans="1:7" s="436" customFormat="1" ht="31.5" x14ac:dyDescent="0.25">
      <c r="A347" s="620" t="s">
        <v>2427</v>
      </c>
      <c r="B347" s="442" t="s">
        <v>2429</v>
      </c>
      <c r="C347" s="238"/>
      <c r="D347" s="285">
        <f>D348</f>
        <v>10</v>
      </c>
      <c r="E347" s="285">
        <f t="shared" ref="E347:F347" si="67">E348</f>
        <v>0</v>
      </c>
      <c r="F347" s="285">
        <f t="shared" si="67"/>
        <v>10</v>
      </c>
      <c r="G347" s="461"/>
    </row>
    <row r="348" spans="1:7" s="436" customFormat="1" x14ac:dyDescent="0.25">
      <c r="A348" s="519" t="s">
        <v>1781</v>
      </c>
      <c r="B348" s="442" t="s">
        <v>2429</v>
      </c>
      <c r="C348" s="238">
        <v>200</v>
      </c>
      <c r="D348" s="285">
        <f>D349</f>
        <v>10</v>
      </c>
      <c r="E348" s="285">
        <f t="shared" ref="E348:F348" si="68">E349</f>
        <v>0</v>
      </c>
      <c r="F348" s="285">
        <f t="shared" si="68"/>
        <v>10</v>
      </c>
      <c r="G348" s="461"/>
    </row>
    <row r="349" spans="1:7" s="436" customFormat="1" x14ac:dyDescent="0.25">
      <c r="A349" s="519" t="s">
        <v>1273</v>
      </c>
      <c r="B349" s="442" t="s">
        <v>2429</v>
      </c>
      <c r="C349" s="238">
        <v>240</v>
      </c>
      <c r="D349" s="285">
        <f>'Функц. 2021-2023'!F654</f>
        <v>10</v>
      </c>
      <c r="E349" s="285">
        <f>'Функц. 2021-2023'!H654</f>
        <v>0</v>
      </c>
      <c r="F349" s="285">
        <f>'Функц. 2021-2023'!J654</f>
        <v>10</v>
      </c>
      <c r="G349" s="461"/>
    </row>
    <row r="350" spans="1:7" s="436" customFormat="1" x14ac:dyDescent="0.25">
      <c r="A350" s="521" t="s">
        <v>2307</v>
      </c>
      <c r="B350" s="467" t="s">
        <v>2308</v>
      </c>
      <c r="C350" s="763"/>
      <c r="D350" s="285">
        <f>D351</f>
        <v>1712875.9000000001</v>
      </c>
      <c r="E350" s="285">
        <f t="shared" ref="E350:F353" si="69">E351</f>
        <v>651397.6</v>
      </c>
      <c r="F350" s="285">
        <f t="shared" si="69"/>
        <v>0</v>
      </c>
      <c r="G350" s="461"/>
    </row>
    <row r="351" spans="1:7" s="436" customFormat="1" x14ac:dyDescent="0.25">
      <c r="A351" s="521" t="s">
        <v>2309</v>
      </c>
      <c r="B351" s="467" t="s">
        <v>2310</v>
      </c>
      <c r="C351" s="763"/>
      <c r="D351" s="285">
        <f>D352</f>
        <v>1712875.9000000001</v>
      </c>
      <c r="E351" s="285">
        <f t="shared" si="69"/>
        <v>651397.6</v>
      </c>
      <c r="F351" s="285">
        <f t="shared" si="69"/>
        <v>0</v>
      </c>
      <c r="G351" s="461"/>
    </row>
    <row r="352" spans="1:7" s="436" customFormat="1" ht="31.5" x14ac:dyDescent="0.25">
      <c r="A352" s="521" t="s">
        <v>2311</v>
      </c>
      <c r="B352" s="467" t="s">
        <v>2312</v>
      </c>
      <c r="C352" s="763"/>
      <c r="D352" s="285">
        <f>D353</f>
        <v>1712875.9000000001</v>
      </c>
      <c r="E352" s="285">
        <f t="shared" si="69"/>
        <v>651397.6</v>
      </c>
      <c r="F352" s="285">
        <f t="shared" si="69"/>
        <v>0</v>
      </c>
      <c r="G352" s="461"/>
    </row>
    <row r="353" spans="1:7" s="436" customFormat="1" x14ac:dyDescent="0.25">
      <c r="A353" s="530" t="s">
        <v>1836</v>
      </c>
      <c r="B353" s="467" t="s">
        <v>2312</v>
      </c>
      <c r="C353" s="763" t="s">
        <v>1837</v>
      </c>
      <c r="D353" s="285">
        <f>D354</f>
        <v>1712875.9000000001</v>
      </c>
      <c r="E353" s="285">
        <f t="shared" si="69"/>
        <v>651397.6</v>
      </c>
      <c r="F353" s="285">
        <f t="shared" si="69"/>
        <v>0</v>
      </c>
      <c r="G353" s="461"/>
    </row>
    <row r="354" spans="1:7" s="436" customFormat="1" x14ac:dyDescent="0.25">
      <c r="A354" s="519" t="s">
        <v>232</v>
      </c>
      <c r="B354" s="467" t="s">
        <v>2312</v>
      </c>
      <c r="C354" s="763" t="s">
        <v>1838</v>
      </c>
      <c r="D354" s="285">
        <f>'Функц. 2021-2023'!F659</f>
        <v>1712875.9000000001</v>
      </c>
      <c r="E354" s="285">
        <f>'Функц. 2021-2023'!H659</f>
        <v>651397.6</v>
      </c>
      <c r="F354" s="285">
        <f>'Функц. 2021-2023'!J659</f>
        <v>0</v>
      </c>
      <c r="G354" s="461"/>
    </row>
    <row r="355" spans="1:7" s="436" customFormat="1" x14ac:dyDescent="0.25">
      <c r="A355" s="542" t="s">
        <v>2398</v>
      </c>
      <c r="B355" s="467" t="s">
        <v>2399</v>
      </c>
      <c r="C355" s="766"/>
      <c r="D355" s="285">
        <f>D356</f>
        <v>17650</v>
      </c>
      <c r="E355" s="285">
        <f t="shared" ref="E355:F355" si="70">E356</f>
        <v>9348.4000000000015</v>
      </c>
      <c r="F355" s="285">
        <f t="shared" si="70"/>
        <v>0</v>
      </c>
      <c r="G355" s="461"/>
    </row>
    <row r="356" spans="1:7" s="436" customFormat="1" ht="47.25" x14ac:dyDescent="0.25">
      <c r="A356" s="514" t="s">
        <v>2483</v>
      </c>
      <c r="B356" s="467" t="s">
        <v>2400</v>
      </c>
      <c r="C356" s="766"/>
      <c r="D356" s="285">
        <f>D363++D357</f>
        <v>17650</v>
      </c>
      <c r="E356" s="285">
        <f t="shared" ref="E356:F356" si="71">E363++E357</f>
        <v>9348.4000000000015</v>
      </c>
      <c r="F356" s="285">
        <f t="shared" si="71"/>
        <v>0</v>
      </c>
      <c r="G356" s="461"/>
    </row>
    <row r="357" spans="1:7" s="436" customFormat="1" ht="31.5" x14ac:dyDescent="0.25">
      <c r="A357" s="834" t="s">
        <v>2486</v>
      </c>
      <c r="B357" s="442" t="s">
        <v>2487</v>
      </c>
      <c r="C357" s="836"/>
      <c r="D357" s="285">
        <f>D358+D361</f>
        <v>6650</v>
      </c>
      <c r="E357" s="285">
        <f t="shared" ref="E357:F357" si="72">E358</f>
        <v>0</v>
      </c>
      <c r="F357" s="285">
        <f t="shared" si="72"/>
        <v>0</v>
      </c>
      <c r="G357" s="461"/>
    </row>
    <row r="358" spans="1:7" s="436" customFormat="1" ht="47.25" x14ac:dyDescent="0.25">
      <c r="A358" s="519" t="s">
        <v>2473</v>
      </c>
      <c r="B358" s="442" t="s">
        <v>2474</v>
      </c>
      <c r="C358" s="590"/>
      <c r="D358" s="285">
        <f>D359</f>
        <v>150</v>
      </c>
      <c r="E358" s="285">
        <f t="shared" ref="E358:F358" si="73">E359</f>
        <v>0</v>
      </c>
      <c r="F358" s="285">
        <f t="shared" si="73"/>
        <v>0</v>
      </c>
      <c r="G358" s="461"/>
    </row>
    <row r="359" spans="1:7" s="436" customFormat="1" x14ac:dyDescent="0.25">
      <c r="A359" s="519" t="s">
        <v>923</v>
      </c>
      <c r="B359" s="442" t="s">
        <v>2474</v>
      </c>
      <c r="C359" s="579" t="s">
        <v>821</v>
      </c>
      <c r="D359" s="285">
        <f>D360</f>
        <v>150</v>
      </c>
      <c r="E359" s="285">
        <f>'Функц. 2021-2023'!H474</f>
        <v>0</v>
      </c>
      <c r="F359" s="285">
        <f>'Функц. 2021-2023'!J474</f>
        <v>0</v>
      </c>
      <c r="G359" s="461"/>
    </row>
    <row r="360" spans="1:7" s="436" customFormat="1" ht="31.5" x14ac:dyDescent="0.25">
      <c r="A360" s="519" t="s">
        <v>1782</v>
      </c>
      <c r="B360" s="442" t="s">
        <v>2474</v>
      </c>
      <c r="C360" s="579" t="s">
        <v>1479</v>
      </c>
      <c r="D360" s="285">
        <f>'Функц. 2021-2023'!F474</f>
        <v>150</v>
      </c>
      <c r="E360" s="285">
        <f>'Функц. 2021-2023'!H474</f>
        <v>0</v>
      </c>
      <c r="F360" s="285">
        <f>'Функц. 2021-2023'!J474</f>
        <v>0</v>
      </c>
      <c r="G360" s="461"/>
    </row>
    <row r="361" spans="1:7" s="436" customFormat="1" x14ac:dyDescent="0.25">
      <c r="A361" s="519" t="s">
        <v>923</v>
      </c>
      <c r="B361" s="442" t="s">
        <v>2474</v>
      </c>
      <c r="C361" s="714" t="s">
        <v>2240</v>
      </c>
      <c r="D361" s="285">
        <f>D362</f>
        <v>6500</v>
      </c>
      <c r="E361" s="285">
        <f t="shared" ref="E361:F361" si="74">E362</f>
        <v>0</v>
      </c>
      <c r="F361" s="285">
        <f t="shared" si="74"/>
        <v>0</v>
      </c>
      <c r="G361" s="461"/>
    </row>
    <row r="362" spans="1:7" s="436" customFormat="1" ht="31.5" x14ac:dyDescent="0.25">
      <c r="A362" s="519" t="s">
        <v>1782</v>
      </c>
      <c r="B362" s="442" t="s">
        <v>2474</v>
      </c>
      <c r="C362" s="714" t="s">
        <v>2241</v>
      </c>
      <c r="D362" s="285">
        <f>'Функц. 2021-2023'!F476</f>
        <v>6500</v>
      </c>
      <c r="E362" s="285">
        <f>'Функц. 2021-2023'!H476</f>
        <v>0</v>
      </c>
      <c r="F362" s="285">
        <f>'Функц. 2021-2023'!J476</f>
        <v>0</v>
      </c>
      <c r="G362" s="461"/>
    </row>
    <row r="363" spans="1:7" s="436" customFormat="1" ht="31.5" x14ac:dyDescent="0.25">
      <c r="A363" s="542" t="s">
        <v>2411</v>
      </c>
      <c r="B363" s="467" t="s">
        <v>2401</v>
      </c>
      <c r="C363" s="766"/>
      <c r="D363" s="285">
        <f t="shared" ref="D363:F365" si="75">D364</f>
        <v>11000</v>
      </c>
      <c r="E363" s="285">
        <f t="shared" si="75"/>
        <v>9348.4000000000015</v>
      </c>
      <c r="F363" s="285">
        <f t="shared" si="75"/>
        <v>0</v>
      </c>
      <c r="G363" s="461"/>
    </row>
    <row r="364" spans="1:7" s="436" customFormat="1" ht="34.9" customHeight="1" x14ac:dyDescent="0.25">
      <c r="A364" s="730" t="s">
        <v>2412</v>
      </c>
      <c r="B364" s="467" t="s">
        <v>2402</v>
      </c>
      <c r="C364" s="766"/>
      <c r="D364" s="285">
        <f t="shared" si="75"/>
        <v>11000</v>
      </c>
      <c r="E364" s="285">
        <f t="shared" si="75"/>
        <v>9348.4000000000015</v>
      </c>
      <c r="F364" s="285">
        <f t="shared" si="75"/>
        <v>0</v>
      </c>
      <c r="G364" s="461"/>
    </row>
    <row r="365" spans="1:7" s="436" customFormat="1" x14ac:dyDescent="0.25">
      <c r="A365" s="514" t="s">
        <v>1781</v>
      </c>
      <c r="B365" s="467" t="s">
        <v>2402</v>
      </c>
      <c r="C365" s="763" t="s">
        <v>821</v>
      </c>
      <c r="D365" s="285">
        <f t="shared" si="75"/>
        <v>11000</v>
      </c>
      <c r="E365" s="285">
        <f t="shared" si="75"/>
        <v>9348.4000000000015</v>
      </c>
      <c r="F365" s="285">
        <f t="shared" si="75"/>
        <v>0</v>
      </c>
      <c r="G365" s="461"/>
    </row>
    <row r="366" spans="1:7" s="436" customFormat="1" x14ac:dyDescent="0.25">
      <c r="A366" s="514" t="s">
        <v>1273</v>
      </c>
      <c r="B366" s="467" t="s">
        <v>2402</v>
      </c>
      <c r="C366" s="763" t="s">
        <v>1479</v>
      </c>
      <c r="D366" s="285">
        <f>'Функц. 2021-2023'!F480</f>
        <v>11000</v>
      </c>
      <c r="E366" s="285">
        <f>'Функц. 2021-2023'!H480</f>
        <v>9348.4000000000015</v>
      </c>
      <c r="F366" s="285">
        <f>'Функц. 2021-2023'!J480</f>
        <v>0</v>
      </c>
      <c r="G366" s="461"/>
    </row>
    <row r="367" spans="1:7" x14ac:dyDescent="0.25">
      <c r="A367" s="514" t="s">
        <v>1160</v>
      </c>
      <c r="B367" s="467" t="s">
        <v>2168</v>
      </c>
      <c r="C367" s="749"/>
      <c r="D367" s="285">
        <f t="shared" ref="D367:F368" si="76">D368</f>
        <v>662</v>
      </c>
      <c r="E367" s="285">
        <f t="shared" si="76"/>
        <v>662</v>
      </c>
      <c r="F367" s="285">
        <f t="shared" si="76"/>
        <v>662</v>
      </c>
      <c r="G367" s="461"/>
    </row>
    <row r="368" spans="1:7" ht="31.5" x14ac:dyDescent="0.25">
      <c r="A368" s="514" t="s">
        <v>2169</v>
      </c>
      <c r="B368" s="467" t="s">
        <v>2170</v>
      </c>
      <c r="C368" s="749"/>
      <c r="D368" s="285">
        <f t="shared" si="76"/>
        <v>662</v>
      </c>
      <c r="E368" s="285">
        <f t="shared" si="76"/>
        <v>662</v>
      </c>
      <c r="F368" s="285">
        <f t="shared" si="76"/>
        <v>662</v>
      </c>
      <c r="G368" s="461"/>
    </row>
    <row r="369" spans="1:7" ht="31.5" x14ac:dyDescent="0.25">
      <c r="A369" s="514" t="s">
        <v>2171</v>
      </c>
      <c r="B369" s="467" t="s">
        <v>2172</v>
      </c>
      <c r="C369" s="749"/>
      <c r="D369" s="285">
        <f>D370+D372</f>
        <v>662</v>
      </c>
      <c r="E369" s="285">
        <f>E370+E372</f>
        <v>662</v>
      </c>
      <c r="F369" s="285">
        <f>F370+F372</f>
        <v>662</v>
      </c>
      <c r="G369" s="461"/>
    </row>
    <row r="370" spans="1:7" ht="47.25" x14ac:dyDescent="0.25">
      <c r="A370" s="514" t="s">
        <v>921</v>
      </c>
      <c r="B370" s="467" t="s">
        <v>2172</v>
      </c>
      <c r="C370" s="749">
        <v>100</v>
      </c>
      <c r="D370" s="285">
        <f>D371</f>
        <v>609.1</v>
      </c>
      <c r="E370" s="285">
        <f>E371</f>
        <v>609.1</v>
      </c>
      <c r="F370" s="285">
        <f>F371</f>
        <v>609.1</v>
      </c>
      <c r="G370" s="461"/>
    </row>
    <row r="371" spans="1:7" x14ac:dyDescent="0.25">
      <c r="A371" s="514" t="s">
        <v>1747</v>
      </c>
      <c r="B371" s="467" t="s">
        <v>2172</v>
      </c>
      <c r="C371" s="749">
        <v>120</v>
      </c>
      <c r="D371" s="285">
        <f>'Функц. 2021-2023'!F603</f>
        <v>609.1</v>
      </c>
      <c r="E371" s="285">
        <f>'Функц. 2021-2023'!H603</f>
        <v>609.1</v>
      </c>
      <c r="F371" s="285">
        <f>'Функц. 2021-2023'!J603</f>
        <v>609.1</v>
      </c>
      <c r="G371" s="461"/>
    </row>
    <row r="372" spans="1:7" x14ac:dyDescent="0.25">
      <c r="A372" s="514" t="s">
        <v>1781</v>
      </c>
      <c r="B372" s="467" t="s">
        <v>2172</v>
      </c>
      <c r="C372" s="749">
        <v>200</v>
      </c>
      <c r="D372" s="285">
        <f>D373</f>
        <v>52.9</v>
      </c>
      <c r="E372" s="285">
        <f>E373</f>
        <v>52.9</v>
      </c>
      <c r="F372" s="285">
        <f>F373</f>
        <v>52.9</v>
      </c>
      <c r="G372" s="461"/>
    </row>
    <row r="373" spans="1:7" x14ac:dyDescent="0.25">
      <c r="A373" s="514" t="s">
        <v>1273</v>
      </c>
      <c r="B373" s="467" t="s">
        <v>2172</v>
      </c>
      <c r="C373" s="749">
        <v>240</v>
      </c>
      <c r="D373" s="285">
        <f>'Функц. 2021-2023'!F605</f>
        <v>52.9</v>
      </c>
      <c r="E373" s="285">
        <f>'Функц. 2021-2023'!H605</f>
        <v>52.9</v>
      </c>
      <c r="F373" s="285">
        <f>'Функц. 2021-2023'!J605</f>
        <v>52.9</v>
      </c>
      <c r="G373" s="461"/>
    </row>
    <row r="374" spans="1:7" s="436" customFormat="1" x14ac:dyDescent="0.25">
      <c r="A374" s="782" t="s">
        <v>1898</v>
      </c>
      <c r="B374" s="805" t="s">
        <v>1771</v>
      </c>
      <c r="C374" s="757"/>
      <c r="D374" s="289">
        <f>D375+D414+D409</f>
        <v>245971</v>
      </c>
      <c r="E374" s="289">
        <f>E375+E414+E409</f>
        <v>212895.5</v>
      </c>
      <c r="F374" s="289">
        <f>F375+F414+F409</f>
        <v>205800.1</v>
      </c>
      <c r="G374" s="461"/>
    </row>
    <row r="375" spans="1:7" x14ac:dyDescent="0.25">
      <c r="A375" s="524" t="s">
        <v>1893</v>
      </c>
      <c r="B375" s="467" t="s">
        <v>1772</v>
      </c>
      <c r="C375" s="749"/>
      <c r="D375" s="285">
        <f>D376+D388+D394</f>
        <v>55692.800000000003</v>
      </c>
      <c r="E375" s="285">
        <f>E376+E388+E394</f>
        <v>36512.399999999994</v>
      </c>
      <c r="F375" s="285">
        <f>F376+F388+F394</f>
        <v>39417</v>
      </c>
      <c r="G375" s="461"/>
    </row>
    <row r="376" spans="1:7" ht="31.5" x14ac:dyDescent="0.25">
      <c r="A376" s="526" t="s">
        <v>1894</v>
      </c>
      <c r="B376" s="467" t="s">
        <v>1895</v>
      </c>
      <c r="C376" s="749"/>
      <c r="D376" s="285">
        <f>D377+D385</f>
        <v>38431.700000000004</v>
      </c>
      <c r="E376" s="285">
        <f>E377+E385</f>
        <v>19354.099999999999</v>
      </c>
      <c r="F376" s="285">
        <f>F377+F385</f>
        <v>22258.7</v>
      </c>
      <c r="G376" s="461"/>
    </row>
    <row r="377" spans="1:7" ht="31.5" x14ac:dyDescent="0.25">
      <c r="A377" s="525" t="s">
        <v>1896</v>
      </c>
      <c r="B377" s="467" t="s">
        <v>1897</v>
      </c>
      <c r="C377" s="751"/>
      <c r="D377" s="285">
        <f>D378+D380+D383</f>
        <v>30414.600000000002</v>
      </c>
      <c r="E377" s="285">
        <f>E378+E380+E383</f>
        <v>9352</v>
      </c>
      <c r="F377" s="285">
        <f>F378+F380+F383</f>
        <v>12256.6</v>
      </c>
      <c r="G377" s="461"/>
    </row>
    <row r="378" spans="1:7" x14ac:dyDescent="0.25">
      <c r="A378" s="514" t="s">
        <v>1781</v>
      </c>
      <c r="B378" s="467" t="s">
        <v>1897</v>
      </c>
      <c r="C378" s="749">
        <v>200</v>
      </c>
      <c r="D378" s="285">
        <f>D379</f>
        <v>21582.2</v>
      </c>
      <c r="E378" s="285">
        <f>E379</f>
        <v>2060</v>
      </c>
      <c r="F378" s="285">
        <f>F379</f>
        <v>2260</v>
      </c>
      <c r="G378" s="461"/>
    </row>
    <row r="379" spans="1:7" x14ac:dyDescent="0.25">
      <c r="A379" s="514" t="s">
        <v>1273</v>
      </c>
      <c r="B379" s="467" t="s">
        <v>1897</v>
      </c>
      <c r="C379" s="749">
        <v>240</v>
      </c>
      <c r="D379" s="285">
        <f>'Функц. 2021-2023'!F182</f>
        <v>21582.2</v>
      </c>
      <c r="E379" s="285">
        <f>'Функц. 2021-2023'!H182</f>
        <v>2060</v>
      </c>
      <c r="F379" s="285">
        <f>'Функц. 2021-2023'!J182</f>
        <v>2260</v>
      </c>
      <c r="G379" s="461"/>
    </row>
    <row r="380" spans="1:7" s="513" customFormat="1" x14ac:dyDescent="0.25">
      <c r="A380" s="519" t="s">
        <v>1754</v>
      </c>
      <c r="B380" s="467" t="s">
        <v>1897</v>
      </c>
      <c r="C380" s="749">
        <v>300</v>
      </c>
      <c r="D380" s="285">
        <f>D381+D382</f>
        <v>2832.4</v>
      </c>
      <c r="E380" s="285">
        <f>E381+E382</f>
        <v>2292</v>
      </c>
      <c r="F380" s="285">
        <f>F381+F382</f>
        <v>2292</v>
      </c>
      <c r="G380" s="461"/>
    </row>
    <row r="381" spans="1:7" s="513" customFormat="1" x14ac:dyDescent="0.25">
      <c r="A381" s="519" t="s">
        <v>1804</v>
      </c>
      <c r="B381" s="467" t="s">
        <v>1897</v>
      </c>
      <c r="C381" s="749">
        <v>310</v>
      </c>
      <c r="D381" s="285">
        <f>'Функц. 2021-2023'!F184</f>
        <v>2652.4</v>
      </c>
      <c r="E381" s="285">
        <f>'Функц. 2021-2023'!H184</f>
        <v>2112</v>
      </c>
      <c r="F381" s="285">
        <f>'Функц. 2021-2023'!J184</f>
        <v>2112</v>
      </c>
      <c r="G381" s="461"/>
    </row>
    <row r="382" spans="1:7" s="513" customFormat="1" x14ac:dyDescent="0.25">
      <c r="A382" s="519" t="s">
        <v>868</v>
      </c>
      <c r="B382" s="467" t="s">
        <v>1897</v>
      </c>
      <c r="C382" s="749">
        <v>320</v>
      </c>
      <c r="D382" s="285">
        <f>'Функц. 2021-2023'!F185</f>
        <v>180</v>
      </c>
      <c r="E382" s="285">
        <f>'Функц. 2021-2023'!H185</f>
        <v>180</v>
      </c>
      <c r="F382" s="285">
        <f>'Функц. 2021-2023'!J185</f>
        <v>180</v>
      </c>
      <c r="G382" s="461"/>
    </row>
    <row r="383" spans="1:7" s="513" customFormat="1" ht="31.5" x14ac:dyDescent="0.25">
      <c r="A383" s="523" t="s">
        <v>1342</v>
      </c>
      <c r="B383" s="467" t="s">
        <v>1897</v>
      </c>
      <c r="C383" s="749">
        <v>600</v>
      </c>
      <c r="D383" s="285">
        <f>D384</f>
        <v>6000</v>
      </c>
      <c r="E383" s="285">
        <f>E384</f>
        <v>5000</v>
      </c>
      <c r="F383" s="285">
        <f>F384</f>
        <v>7704.6</v>
      </c>
      <c r="G383" s="461"/>
    </row>
    <row r="384" spans="1:7" s="513" customFormat="1" x14ac:dyDescent="0.25">
      <c r="A384" s="523" t="s">
        <v>1343</v>
      </c>
      <c r="B384" s="467" t="s">
        <v>1897</v>
      </c>
      <c r="C384" s="749">
        <v>610</v>
      </c>
      <c r="D384" s="285">
        <f>'Функц. 2021-2023'!F187</f>
        <v>6000</v>
      </c>
      <c r="E384" s="285">
        <f>'Функц. 2021-2023'!H187</f>
        <v>5000</v>
      </c>
      <c r="F384" s="285">
        <f>'Функц. 2021-2023'!J187</f>
        <v>7704.6</v>
      </c>
      <c r="G384" s="461"/>
    </row>
    <row r="385" spans="1:7" s="513" customFormat="1" x14ac:dyDescent="0.25">
      <c r="A385" s="531" t="s">
        <v>2393</v>
      </c>
      <c r="B385" s="467" t="s">
        <v>2392</v>
      </c>
      <c r="C385" s="749"/>
      <c r="D385" s="285">
        <f t="shared" ref="D385:F386" si="77">D386</f>
        <v>8017.1</v>
      </c>
      <c r="E385" s="285">
        <f t="shared" si="77"/>
        <v>10002.1</v>
      </c>
      <c r="F385" s="285">
        <f t="shared" si="77"/>
        <v>10002.1</v>
      </c>
      <c r="G385" s="461"/>
    </row>
    <row r="386" spans="1:7" x14ac:dyDescent="0.25">
      <c r="A386" s="514" t="s">
        <v>1781</v>
      </c>
      <c r="B386" s="467" t="s">
        <v>2392</v>
      </c>
      <c r="C386" s="767">
        <v>200</v>
      </c>
      <c r="D386" s="285">
        <f t="shared" si="77"/>
        <v>8017.1</v>
      </c>
      <c r="E386" s="285">
        <f t="shared" si="77"/>
        <v>10002.1</v>
      </c>
      <c r="F386" s="285">
        <f t="shared" si="77"/>
        <v>10002.1</v>
      </c>
      <c r="G386" s="461"/>
    </row>
    <row r="387" spans="1:7" x14ac:dyDescent="0.25">
      <c r="A387" s="514" t="s">
        <v>1273</v>
      </c>
      <c r="B387" s="467" t="s">
        <v>2392</v>
      </c>
      <c r="C387" s="767">
        <v>240</v>
      </c>
      <c r="D387" s="285">
        <f>'Функц. 2021-2023'!F453</f>
        <v>8017.1</v>
      </c>
      <c r="E387" s="285">
        <f>'Функц. 2021-2023'!H453</f>
        <v>10002.1</v>
      </c>
      <c r="F387" s="285">
        <f>'Функц. 2021-2023'!J453</f>
        <v>10002.1</v>
      </c>
      <c r="G387" s="461"/>
    </row>
    <row r="388" spans="1:7" ht="31.5" x14ac:dyDescent="0.25">
      <c r="A388" s="526" t="s">
        <v>1899</v>
      </c>
      <c r="B388" s="467" t="s">
        <v>1900</v>
      </c>
      <c r="C388" s="760"/>
      <c r="D388" s="285">
        <f>D389</f>
        <v>492</v>
      </c>
      <c r="E388" s="285">
        <f>E389</f>
        <v>492</v>
      </c>
      <c r="F388" s="285">
        <f>F389</f>
        <v>492</v>
      </c>
      <c r="G388" s="461"/>
    </row>
    <row r="389" spans="1:7" ht="31.5" x14ac:dyDescent="0.25">
      <c r="A389" s="526" t="s">
        <v>1822</v>
      </c>
      <c r="B389" s="467" t="s">
        <v>1901</v>
      </c>
      <c r="C389" s="760"/>
      <c r="D389" s="285">
        <f>D391+D392</f>
        <v>492</v>
      </c>
      <c r="E389" s="285">
        <f>E391+E392</f>
        <v>492</v>
      </c>
      <c r="F389" s="285">
        <f>F391+F392</f>
        <v>492</v>
      </c>
      <c r="G389" s="461"/>
    </row>
    <row r="390" spans="1:7" ht="47.25" x14ac:dyDescent="0.25">
      <c r="A390" s="514" t="s">
        <v>921</v>
      </c>
      <c r="B390" s="467" t="s">
        <v>1901</v>
      </c>
      <c r="C390" s="760">
        <v>100</v>
      </c>
      <c r="D390" s="285">
        <f>D391</f>
        <v>423.6</v>
      </c>
      <c r="E390" s="285">
        <f>E391</f>
        <v>423.6</v>
      </c>
      <c r="F390" s="285">
        <f>F391</f>
        <v>423.6</v>
      </c>
      <c r="G390" s="461"/>
    </row>
    <row r="391" spans="1:7" x14ac:dyDescent="0.25">
      <c r="A391" s="460" t="s">
        <v>1747</v>
      </c>
      <c r="B391" s="467" t="s">
        <v>1901</v>
      </c>
      <c r="C391" s="760">
        <v>120</v>
      </c>
      <c r="D391" s="285">
        <f>'Функц. 2021-2023'!F191</f>
        <v>423.6</v>
      </c>
      <c r="E391" s="285">
        <f>'Функц. 2021-2023'!H191</f>
        <v>423.6</v>
      </c>
      <c r="F391" s="285">
        <f>'Функц. 2021-2023'!J191</f>
        <v>423.6</v>
      </c>
      <c r="G391" s="461"/>
    </row>
    <row r="392" spans="1:7" x14ac:dyDescent="0.25">
      <c r="A392" s="460" t="s">
        <v>1781</v>
      </c>
      <c r="B392" s="467" t="s">
        <v>1901</v>
      </c>
      <c r="C392" s="760">
        <v>200</v>
      </c>
      <c r="D392" s="285">
        <f>D393</f>
        <v>68.400000000000006</v>
      </c>
      <c r="E392" s="285">
        <f>E393</f>
        <v>68.400000000000006</v>
      </c>
      <c r="F392" s="285">
        <f>F393</f>
        <v>68.400000000000006</v>
      </c>
      <c r="G392" s="461"/>
    </row>
    <row r="393" spans="1:7" x14ac:dyDescent="0.25">
      <c r="A393" s="460" t="s">
        <v>1273</v>
      </c>
      <c r="B393" s="467" t="s">
        <v>1901</v>
      </c>
      <c r="C393" s="760">
        <v>240</v>
      </c>
      <c r="D393" s="285">
        <f>'Функц. 2021-2023'!F193</f>
        <v>68.400000000000006</v>
      </c>
      <c r="E393" s="285">
        <f>'Функц. 2021-2023'!H193</f>
        <v>68.400000000000006</v>
      </c>
      <c r="F393" s="285">
        <f>'Функц. 2021-2023'!J193</f>
        <v>68.400000000000006</v>
      </c>
      <c r="G393" s="461"/>
    </row>
    <row r="394" spans="1:7" ht="31.5" x14ac:dyDescent="0.25">
      <c r="A394" s="524" t="s">
        <v>2169</v>
      </c>
      <c r="B394" s="467" t="s">
        <v>2177</v>
      </c>
      <c r="C394" s="760"/>
      <c r="D394" s="285">
        <f>D395</f>
        <v>16769.099999999999</v>
      </c>
      <c r="E394" s="285">
        <f>E395</f>
        <v>16666.3</v>
      </c>
      <c r="F394" s="285">
        <f>F395</f>
        <v>16666.3</v>
      </c>
      <c r="G394" s="461"/>
    </row>
    <row r="395" spans="1:7" x14ac:dyDescent="0.25">
      <c r="A395" s="524" t="s">
        <v>1923</v>
      </c>
      <c r="B395" s="467" t="s">
        <v>2178</v>
      </c>
      <c r="C395" s="749"/>
      <c r="D395" s="285">
        <f>D396+D403+D406</f>
        <v>16769.099999999999</v>
      </c>
      <c r="E395" s="285">
        <f>E396+E403+E406</f>
        <v>16666.3</v>
      </c>
      <c r="F395" s="285">
        <f>F396+F403+F406</f>
        <v>16666.3</v>
      </c>
      <c r="G395" s="461"/>
    </row>
    <row r="396" spans="1:7" ht="31.5" x14ac:dyDescent="0.25">
      <c r="A396" s="524" t="s">
        <v>1924</v>
      </c>
      <c r="B396" s="467" t="s">
        <v>2179</v>
      </c>
      <c r="C396" s="749"/>
      <c r="D396" s="285">
        <f>D397+D401+D399</f>
        <v>1607.8999999999999</v>
      </c>
      <c r="E396" s="285">
        <f t="shared" ref="E396:F396" si="78">E397+E401+E399</f>
        <v>1419</v>
      </c>
      <c r="F396" s="285">
        <f t="shared" si="78"/>
        <v>1419</v>
      </c>
      <c r="G396" s="461"/>
    </row>
    <row r="397" spans="1:7" x14ac:dyDescent="0.25">
      <c r="A397" s="514" t="s">
        <v>1781</v>
      </c>
      <c r="B397" s="467" t="s">
        <v>2179</v>
      </c>
      <c r="C397" s="749">
        <v>200</v>
      </c>
      <c r="D397" s="285">
        <f>D398</f>
        <v>1521.7</v>
      </c>
      <c r="E397" s="285">
        <f>E398</f>
        <v>1419</v>
      </c>
      <c r="F397" s="285">
        <f>F398</f>
        <v>1419</v>
      </c>
      <c r="G397" s="461"/>
    </row>
    <row r="398" spans="1:7" x14ac:dyDescent="0.25">
      <c r="A398" s="514" t="s">
        <v>1273</v>
      </c>
      <c r="B398" s="467" t="s">
        <v>2179</v>
      </c>
      <c r="C398" s="749">
        <v>240</v>
      </c>
      <c r="D398" s="285">
        <f>'Функц. 2021-2023'!F198</f>
        <v>1521.7</v>
      </c>
      <c r="E398" s="285">
        <f>'Функц. 2021-2023'!H198</f>
        <v>1419</v>
      </c>
      <c r="F398" s="285">
        <f>'Функц. 2021-2023'!J198</f>
        <v>1419</v>
      </c>
      <c r="G398" s="461"/>
    </row>
    <row r="399" spans="1:7" s="513" customFormat="1" x14ac:dyDescent="0.25">
      <c r="A399" s="519" t="s">
        <v>1754</v>
      </c>
      <c r="B399" s="467" t="s">
        <v>2179</v>
      </c>
      <c r="C399" s="749">
        <v>300</v>
      </c>
      <c r="D399" s="285">
        <f>D400</f>
        <v>86.1</v>
      </c>
      <c r="E399" s="285">
        <f t="shared" ref="E399:F399" si="79">E400</f>
        <v>0</v>
      </c>
      <c r="F399" s="285">
        <f t="shared" si="79"/>
        <v>0</v>
      </c>
      <c r="G399" s="461"/>
    </row>
    <row r="400" spans="1:7" s="513" customFormat="1" x14ac:dyDescent="0.25">
      <c r="A400" s="519" t="s">
        <v>868</v>
      </c>
      <c r="B400" s="467" t="s">
        <v>2179</v>
      </c>
      <c r="C400" s="749">
        <v>320</v>
      </c>
      <c r="D400" s="285">
        <f>'Функц. 2021-2023'!F200</f>
        <v>86.1</v>
      </c>
      <c r="E400" s="285">
        <v>0</v>
      </c>
      <c r="F400" s="285">
        <v>0</v>
      </c>
      <c r="G400" s="461"/>
    </row>
    <row r="401" spans="1:7" s="513" customFormat="1" x14ac:dyDescent="0.25">
      <c r="A401" s="519" t="s">
        <v>923</v>
      </c>
      <c r="B401" s="467" t="s">
        <v>2179</v>
      </c>
      <c r="C401" s="749">
        <v>800</v>
      </c>
      <c r="D401" s="285">
        <f>D402</f>
        <v>0.1</v>
      </c>
      <c r="E401" s="285">
        <f>E402</f>
        <v>0</v>
      </c>
      <c r="F401" s="285">
        <f>F402</f>
        <v>0</v>
      </c>
      <c r="G401" s="461"/>
    </row>
    <row r="402" spans="1:7" s="513" customFormat="1" x14ac:dyDescent="0.25">
      <c r="A402" s="519" t="s">
        <v>1319</v>
      </c>
      <c r="B402" s="467" t="s">
        <v>2179</v>
      </c>
      <c r="C402" s="749">
        <v>850</v>
      </c>
      <c r="D402" s="285">
        <f>'Функц. 2021-2023'!F202</f>
        <v>0.1</v>
      </c>
      <c r="E402" s="285">
        <f>'Функц. 2021-2023'!H202</f>
        <v>0</v>
      </c>
      <c r="F402" s="285">
        <f>'Функц. 2021-2023'!J202</f>
        <v>0</v>
      </c>
      <c r="G402" s="461"/>
    </row>
    <row r="403" spans="1:7" ht="31.5" x14ac:dyDescent="0.25">
      <c r="A403" s="514" t="s">
        <v>1925</v>
      </c>
      <c r="B403" s="284" t="str">
        <f>B404</f>
        <v>12 1 07 00132</v>
      </c>
      <c r="C403" s="749"/>
      <c r="D403" s="285">
        <f>D404</f>
        <v>5461.7</v>
      </c>
      <c r="E403" s="285">
        <f t="shared" ref="E403:F403" si="80">E404</f>
        <v>5547.8</v>
      </c>
      <c r="F403" s="285">
        <f t="shared" si="80"/>
        <v>5547.8</v>
      </c>
      <c r="G403" s="461"/>
    </row>
    <row r="404" spans="1:7" ht="47.25" x14ac:dyDescent="0.25">
      <c r="A404" s="514" t="s">
        <v>921</v>
      </c>
      <c r="B404" s="284" t="str">
        <f>B405</f>
        <v>12 1 07 00132</v>
      </c>
      <c r="C404" s="749">
        <v>100</v>
      </c>
      <c r="D404" s="285">
        <f t="shared" ref="D404:F404" si="81">D405</f>
        <v>5461.7</v>
      </c>
      <c r="E404" s="285">
        <f t="shared" si="81"/>
        <v>5547.8</v>
      </c>
      <c r="F404" s="285">
        <f t="shared" si="81"/>
        <v>5547.8</v>
      </c>
      <c r="G404" s="461"/>
    </row>
    <row r="405" spans="1:7" x14ac:dyDescent="0.25">
      <c r="A405" s="514" t="s">
        <v>1747</v>
      </c>
      <c r="B405" s="467" t="s">
        <v>2181</v>
      </c>
      <c r="C405" s="749">
        <v>120</v>
      </c>
      <c r="D405" s="285">
        <f>'Функц. 2021-2023'!F205</f>
        <v>5461.7</v>
      </c>
      <c r="E405" s="285">
        <f>'Функц. 2021-2023'!H205</f>
        <v>5547.8</v>
      </c>
      <c r="F405" s="285">
        <f>'Функц. 2021-2023'!J205</f>
        <v>5547.8</v>
      </c>
      <c r="G405" s="461"/>
    </row>
    <row r="406" spans="1:7" ht="31.5" x14ac:dyDescent="0.25">
      <c r="A406" s="514" t="s">
        <v>1926</v>
      </c>
      <c r="B406" s="284" t="str">
        <f>B407</f>
        <v>12 1 07 00133</v>
      </c>
      <c r="C406" s="749"/>
      <c r="D406" s="285">
        <f t="shared" ref="D406:F407" si="82">D407</f>
        <v>9699.5</v>
      </c>
      <c r="E406" s="285">
        <f t="shared" si="82"/>
        <v>9699.5</v>
      </c>
      <c r="F406" s="285">
        <f t="shared" si="82"/>
        <v>9699.5</v>
      </c>
      <c r="G406" s="461"/>
    </row>
    <row r="407" spans="1:7" ht="47.25" x14ac:dyDescent="0.25">
      <c r="A407" s="514" t="s">
        <v>921</v>
      </c>
      <c r="B407" s="284" t="str">
        <f>B408</f>
        <v>12 1 07 00133</v>
      </c>
      <c r="C407" s="749">
        <v>100</v>
      </c>
      <c r="D407" s="285">
        <f t="shared" si="82"/>
        <v>9699.5</v>
      </c>
      <c r="E407" s="285">
        <f t="shared" si="82"/>
        <v>9699.5</v>
      </c>
      <c r="F407" s="285">
        <f t="shared" si="82"/>
        <v>9699.5</v>
      </c>
      <c r="G407" s="461"/>
    </row>
    <row r="408" spans="1:7" x14ac:dyDescent="0.25">
      <c r="A408" s="514" t="s">
        <v>1747</v>
      </c>
      <c r="B408" s="467" t="s">
        <v>2182</v>
      </c>
      <c r="C408" s="749">
        <v>120</v>
      </c>
      <c r="D408" s="285">
        <f>'Функц. 2021-2023'!F208</f>
        <v>9699.5</v>
      </c>
      <c r="E408" s="285">
        <f>'Функц. 2021-2023'!H208</f>
        <v>9699.5</v>
      </c>
      <c r="F408" s="285">
        <f>'Функц. 2021-2023'!J208</f>
        <v>9699.5</v>
      </c>
      <c r="G408" s="461"/>
    </row>
    <row r="409" spans="1:7" x14ac:dyDescent="0.25">
      <c r="A409" s="524" t="s">
        <v>1902</v>
      </c>
      <c r="B409" s="467" t="s">
        <v>1807</v>
      </c>
      <c r="C409" s="749"/>
      <c r="D409" s="285">
        <f t="shared" ref="D409:F412" si="83">D410</f>
        <v>15321.500000000002</v>
      </c>
      <c r="E409" s="285">
        <f t="shared" si="83"/>
        <v>25000</v>
      </c>
      <c r="F409" s="285">
        <f t="shared" si="83"/>
        <v>25000</v>
      </c>
      <c r="G409" s="461"/>
    </row>
    <row r="410" spans="1:7" x14ac:dyDescent="0.25">
      <c r="A410" s="526" t="s">
        <v>1903</v>
      </c>
      <c r="B410" s="467" t="s">
        <v>1904</v>
      </c>
      <c r="C410" s="749"/>
      <c r="D410" s="285">
        <f t="shared" si="83"/>
        <v>15321.500000000002</v>
      </c>
      <c r="E410" s="285">
        <f t="shared" si="83"/>
        <v>25000</v>
      </c>
      <c r="F410" s="285">
        <f t="shared" si="83"/>
        <v>25000</v>
      </c>
      <c r="G410" s="461"/>
    </row>
    <row r="411" spans="1:7" x14ac:dyDescent="0.25">
      <c r="A411" s="524" t="s">
        <v>1905</v>
      </c>
      <c r="B411" s="467" t="s">
        <v>1906</v>
      </c>
      <c r="C411" s="749"/>
      <c r="D411" s="285">
        <f t="shared" si="83"/>
        <v>15321.500000000002</v>
      </c>
      <c r="E411" s="285">
        <f t="shared" si="83"/>
        <v>25000</v>
      </c>
      <c r="F411" s="285">
        <f t="shared" si="83"/>
        <v>25000</v>
      </c>
      <c r="G411" s="461"/>
    </row>
    <row r="412" spans="1:7" x14ac:dyDescent="0.25">
      <c r="A412" s="514" t="s">
        <v>1567</v>
      </c>
      <c r="B412" s="467" t="s">
        <v>1906</v>
      </c>
      <c r="C412" s="749">
        <v>700</v>
      </c>
      <c r="D412" s="285">
        <f t="shared" si="83"/>
        <v>15321.500000000002</v>
      </c>
      <c r="E412" s="285">
        <f t="shared" si="83"/>
        <v>25000</v>
      </c>
      <c r="F412" s="285">
        <f t="shared" si="83"/>
        <v>25000</v>
      </c>
      <c r="G412" s="461"/>
    </row>
    <row r="413" spans="1:7" x14ac:dyDescent="0.25">
      <c r="A413" s="788" t="s">
        <v>2255</v>
      </c>
      <c r="B413" s="467" t="s">
        <v>1906</v>
      </c>
      <c r="C413" s="768">
        <v>730</v>
      </c>
      <c r="D413" s="285">
        <f>'Функц. 2021-2023'!F995</f>
        <v>15321.500000000002</v>
      </c>
      <c r="E413" s="285">
        <f>'Функц. 2021-2023'!H995</f>
        <v>25000</v>
      </c>
      <c r="F413" s="285">
        <f>'Функц. 2021-2023'!J995</f>
        <v>25000</v>
      </c>
      <c r="G413" s="461"/>
    </row>
    <row r="414" spans="1:7" x14ac:dyDescent="0.25">
      <c r="A414" s="524" t="s">
        <v>1907</v>
      </c>
      <c r="B414" s="467" t="s">
        <v>1908</v>
      </c>
      <c r="C414" s="751"/>
      <c r="D414" s="285">
        <f>D415</f>
        <v>174956.69999999998</v>
      </c>
      <c r="E414" s="285">
        <f>E415</f>
        <v>151383.1</v>
      </c>
      <c r="F414" s="285">
        <f>F415</f>
        <v>141383.1</v>
      </c>
      <c r="G414" s="461"/>
    </row>
    <row r="415" spans="1:7" ht="31.5" x14ac:dyDescent="0.25">
      <c r="A415" s="524" t="s">
        <v>1909</v>
      </c>
      <c r="B415" s="467" t="s">
        <v>1910</v>
      </c>
      <c r="C415" s="751"/>
      <c r="D415" s="285">
        <f>D416+D419+D445+D448+D451+D454+D433</f>
        <v>174956.69999999998</v>
      </c>
      <c r="E415" s="285">
        <f>E416+E419+E445+E448+E451+E454+E433</f>
        <v>151383.1</v>
      </c>
      <c r="F415" s="285">
        <f>F416+F419+F445+F448+F451+F454+F433</f>
        <v>141383.1</v>
      </c>
      <c r="G415" s="461"/>
    </row>
    <row r="416" spans="1:7" x14ac:dyDescent="0.25">
      <c r="A416" s="524" t="s">
        <v>1911</v>
      </c>
      <c r="B416" s="467" t="s">
        <v>1912</v>
      </c>
      <c r="C416" s="751"/>
      <c r="D416" s="285">
        <f t="shared" ref="D416:F417" si="84">D417</f>
        <v>2587.8000000000002</v>
      </c>
      <c r="E416" s="285">
        <f t="shared" si="84"/>
        <v>2587.8000000000002</v>
      </c>
      <c r="F416" s="285">
        <f t="shared" si="84"/>
        <v>2587.8000000000002</v>
      </c>
      <c r="G416" s="461"/>
    </row>
    <row r="417" spans="1:7" ht="47.25" x14ac:dyDescent="0.25">
      <c r="A417" s="514" t="s">
        <v>921</v>
      </c>
      <c r="B417" s="467" t="s">
        <v>1912</v>
      </c>
      <c r="C417" s="751">
        <v>100</v>
      </c>
      <c r="D417" s="285">
        <f t="shared" si="84"/>
        <v>2587.8000000000002</v>
      </c>
      <c r="E417" s="285">
        <f t="shared" si="84"/>
        <v>2587.8000000000002</v>
      </c>
      <c r="F417" s="285">
        <f t="shared" si="84"/>
        <v>2587.8000000000002</v>
      </c>
      <c r="G417" s="461"/>
    </row>
    <row r="418" spans="1:7" x14ac:dyDescent="0.25">
      <c r="A418" s="514" t="s">
        <v>1747</v>
      </c>
      <c r="B418" s="467" t="s">
        <v>1912</v>
      </c>
      <c r="C418" s="751">
        <v>120</v>
      </c>
      <c r="D418" s="285">
        <f>'Функц. 2021-2023'!F22</f>
        <v>2587.8000000000002</v>
      </c>
      <c r="E418" s="285">
        <f>'Функц. 2021-2023'!H22</f>
        <v>2587.8000000000002</v>
      </c>
      <c r="F418" s="285">
        <f>'Функц. 2021-2023'!J22</f>
        <v>2587.8000000000002</v>
      </c>
      <c r="G418" s="461"/>
    </row>
    <row r="419" spans="1:7" x14ac:dyDescent="0.25">
      <c r="A419" s="524" t="s">
        <v>1913</v>
      </c>
      <c r="B419" s="467" t="s">
        <v>1914</v>
      </c>
      <c r="C419" s="749"/>
      <c r="D419" s="285">
        <f>D420+D427+D430</f>
        <v>52059</v>
      </c>
      <c r="E419" s="285">
        <f>E420+E427+E430</f>
        <v>51993.3</v>
      </c>
      <c r="F419" s="285">
        <f>F420+F427+F430</f>
        <v>51993.3</v>
      </c>
      <c r="G419" s="461"/>
    </row>
    <row r="420" spans="1:7" ht="31.5" x14ac:dyDescent="0.25">
      <c r="A420" s="789" t="s">
        <v>1915</v>
      </c>
      <c r="B420" s="467" t="s">
        <v>1916</v>
      </c>
      <c r="C420" s="749"/>
      <c r="D420" s="285">
        <f>D423+D425+D421</f>
        <v>6395.9999999999991</v>
      </c>
      <c r="E420" s="285">
        <f t="shared" ref="E420:F420" si="85">E423+E425+E421</f>
        <v>6330.3</v>
      </c>
      <c r="F420" s="285">
        <f t="shared" si="85"/>
        <v>6330.3</v>
      </c>
      <c r="G420" s="461"/>
    </row>
    <row r="421" spans="1:7" s="513" customFormat="1" ht="47.25" x14ac:dyDescent="0.25">
      <c r="A421" s="519" t="s">
        <v>921</v>
      </c>
      <c r="B421" s="467" t="s">
        <v>1916</v>
      </c>
      <c r="C421" s="751">
        <v>100</v>
      </c>
      <c r="D421" s="285">
        <f>D422</f>
        <v>0.4</v>
      </c>
      <c r="E421" s="285">
        <f t="shared" ref="E421:F421" si="86">E422</f>
        <v>0</v>
      </c>
      <c r="F421" s="285">
        <f t="shared" si="86"/>
        <v>0</v>
      </c>
      <c r="G421" s="461"/>
    </row>
    <row r="422" spans="1:7" s="513" customFormat="1" x14ac:dyDescent="0.25">
      <c r="A422" s="519" t="s">
        <v>1747</v>
      </c>
      <c r="B422" s="467" t="s">
        <v>1916</v>
      </c>
      <c r="C422" s="751">
        <v>120</v>
      </c>
      <c r="D422" s="285">
        <f>'Функц. 2021-2023'!F83</f>
        <v>0.4</v>
      </c>
      <c r="E422" s="285">
        <f>'Функц. 2021-2023'!H83</f>
        <v>0</v>
      </c>
      <c r="F422" s="285">
        <f>'Функц. 2021-2023'!J83</f>
        <v>0</v>
      </c>
      <c r="G422" s="461"/>
    </row>
    <row r="423" spans="1:7" x14ac:dyDescent="0.25">
      <c r="A423" s="514" t="s">
        <v>1781</v>
      </c>
      <c r="B423" s="467" t="s">
        <v>1916</v>
      </c>
      <c r="C423" s="749">
        <v>200</v>
      </c>
      <c r="D423" s="285">
        <f>D424</f>
        <v>6392.2</v>
      </c>
      <c r="E423" s="285">
        <f>E424</f>
        <v>6330.3</v>
      </c>
      <c r="F423" s="285">
        <f>F424</f>
        <v>6330.3</v>
      </c>
      <c r="G423" s="461"/>
    </row>
    <row r="424" spans="1:7" x14ac:dyDescent="0.25">
      <c r="A424" s="514" t="s">
        <v>1273</v>
      </c>
      <c r="B424" s="467" t="s">
        <v>1916</v>
      </c>
      <c r="C424" s="749">
        <v>240</v>
      </c>
      <c r="D424" s="285">
        <f>'Функц. 2021-2023'!F85</f>
        <v>6392.2</v>
      </c>
      <c r="E424" s="285">
        <f>'Функц. 2021-2023'!H85</f>
        <v>6330.3</v>
      </c>
      <c r="F424" s="285">
        <f>'Функц. 2021-2023'!J85</f>
        <v>6330.3</v>
      </c>
      <c r="G424" s="461"/>
    </row>
    <row r="425" spans="1:7" s="513" customFormat="1" x14ac:dyDescent="0.25">
      <c r="A425" s="519" t="s">
        <v>923</v>
      </c>
      <c r="B425" s="467" t="s">
        <v>1916</v>
      </c>
      <c r="C425" s="749">
        <v>800</v>
      </c>
      <c r="D425" s="285">
        <f>D426</f>
        <v>3.4</v>
      </c>
      <c r="E425" s="285">
        <f>E426</f>
        <v>0</v>
      </c>
      <c r="F425" s="285">
        <f>F426</f>
        <v>0</v>
      </c>
      <c r="G425" s="461"/>
    </row>
    <row r="426" spans="1:7" s="513" customFormat="1" x14ac:dyDescent="0.25">
      <c r="A426" s="519" t="s">
        <v>1319</v>
      </c>
      <c r="B426" s="467" t="s">
        <v>1916</v>
      </c>
      <c r="C426" s="749">
        <v>850</v>
      </c>
      <c r="D426" s="285">
        <f>'Функц. 2021-2023'!F87</f>
        <v>3.4</v>
      </c>
      <c r="E426" s="285">
        <f>'Функц. 2021-2023'!H87</f>
        <v>0</v>
      </c>
      <c r="F426" s="285">
        <f>'Функц. 2021-2023'!J87</f>
        <v>0</v>
      </c>
      <c r="G426" s="461"/>
    </row>
    <row r="427" spans="1:7" ht="31.5" x14ac:dyDescent="0.25">
      <c r="A427" s="514" t="s">
        <v>1917</v>
      </c>
      <c r="B427" s="467" t="s">
        <v>1918</v>
      </c>
      <c r="C427" s="751"/>
      <c r="D427" s="285">
        <f t="shared" ref="D427:F428" si="87">D428</f>
        <v>15039.3</v>
      </c>
      <c r="E427" s="285">
        <f t="shared" si="87"/>
        <v>15039.3</v>
      </c>
      <c r="F427" s="285">
        <f t="shared" si="87"/>
        <v>15039.3</v>
      </c>
      <c r="G427" s="461"/>
    </row>
    <row r="428" spans="1:7" ht="47.25" x14ac:dyDescent="0.25">
      <c r="A428" s="514" t="s">
        <v>921</v>
      </c>
      <c r="B428" s="467" t="s">
        <v>1918</v>
      </c>
      <c r="C428" s="751">
        <v>100</v>
      </c>
      <c r="D428" s="285">
        <f t="shared" si="87"/>
        <v>15039.3</v>
      </c>
      <c r="E428" s="285">
        <f t="shared" si="87"/>
        <v>15039.3</v>
      </c>
      <c r="F428" s="285">
        <f t="shared" si="87"/>
        <v>15039.3</v>
      </c>
      <c r="G428" s="461"/>
    </row>
    <row r="429" spans="1:7" x14ac:dyDescent="0.25">
      <c r="A429" s="514" t="s">
        <v>1747</v>
      </c>
      <c r="B429" s="467" t="s">
        <v>1918</v>
      </c>
      <c r="C429" s="749">
        <v>120</v>
      </c>
      <c r="D429" s="285">
        <f>'Функц. 2021-2023'!F90</f>
        <v>15039.3</v>
      </c>
      <c r="E429" s="285">
        <f>'Функц. 2021-2023'!H90</f>
        <v>15039.3</v>
      </c>
      <c r="F429" s="285">
        <f>'Функц. 2021-2023'!J90</f>
        <v>15039.3</v>
      </c>
      <c r="G429" s="461"/>
    </row>
    <row r="430" spans="1:7" ht="31.5" x14ac:dyDescent="0.25">
      <c r="A430" s="514" t="s">
        <v>1919</v>
      </c>
      <c r="B430" s="467" t="s">
        <v>1920</v>
      </c>
      <c r="C430" s="751"/>
      <c r="D430" s="285">
        <f t="shared" ref="D430:F431" si="88">D431</f>
        <v>30623.7</v>
      </c>
      <c r="E430" s="285">
        <f t="shared" si="88"/>
        <v>30623.7</v>
      </c>
      <c r="F430" s="285">
        <f t="shared" si="88"/>
        <v>30623.7</v>
      </c>
      <c r="G430" s="461"/>
    </row>
    <row r="431" spans="1:7" ht="47.25" x14ac:dyDescent="0.25">
      <c r="A431" s="514" t="s">
        <v>921</v>
      </c>
      <c r="B431" s="467" t="s">
        <v>1920</v>
      </c>
      <c r="C431" s="751">
        <v>100</v>
      </c>
      <c r="D431" s="285">
        <f t="shared" si="88"/>
        <v>30623.7</v>
      </c>
      <c r="E431" s="285">
        <f t="shared" si="88"/>
        <v>30623.7</v>
      </c>
      <c r="F431" s="285">
        <f t="shared" si="88"/>
        <v>30623.7</v>
      </c>
      <c r="G431" s="461"/>
    </row>
    <row r="432" spans="1:7" x14ac:dyDescent="0.25">
      <c r="A432" s="514" t="s">
        <v>1747</v>
      </c>
      <c r="B432" s="467" t="s">
        <v>1920</v>
      </c>
      <c r="C432" s="749">
        <v>120</v>
      </c>
      <c r="D432" s="285">
        <f>'Функц. 2021-2023'!F93</f>
        <v>30623.7</v>
      </c>
      <c r="E432" s="285">
        <f>'Функц. 2021-2023'!H93</f>
        <v>30623.7</v>
      </c>
      <c r="F432" s="285">
        <f>'Функц. 2021-2023'!J93</f>
        <v>30623.7</v>
      </c>
      <c r="G432" s="461"/>
    </row>
    <row r="433" spans="1:7" x14ac:dyDescent="0.25">
      <c r="A433" s="525" t="s">
        <v>1927</v>
      </c>
      <c r="B433" s="806" t="s">
        <v>1928</v>
      </c>
      <c r="C433" s="749"/>
      <c r="D433" s="285">
        <f>D434+D439+D442</f>
        <v>17046.900000000001</v>
      </c>
      <c r="E433" s="285">
        <f>E434+E439+E442</f>
        <v>17046.900000000001</v>
      </c>
      <c r="F433" s="285">
        <f>F434+F439+F442</f>
        <v>17046.900000000001</v>
      </c>
      <c r="G433" s="461"/>
    </row>
    <row r="434" spans="1:7" ht="31.5" x14ac:dyDescent="0.25">
      <c r="A434" s="514" t="s">
        <v>1929</v>
      </c>
      <c r="B434" s="806" t="s">
        <v>1930</v>
      </c>
      <c r="C434" s="749"/>
      <c r="D434" s="285">
        <f>D435+D437</f>
        <v>3263.4</v>
      </c>
      <c r="E434" s="285">
        <f>E435</f>
        <v>3263.4</v>
      </c>
      <c r="F434" s="285">
        <f>F435</f>
        <v>3263.4</v>
      </c>
      <c r="G434" s="461"/>
    </row>
    <row r="435" spans="1:7" x14ac:dyDescent="0.25">
      <c r="A435" s="514" t="s">
        <v>1781</v>
      </c>
      <c r="B435" s="806" t="s">
        <v>1930</v>
      </c>
      <c r="C435" s="749">
        <v>200</v>
      </c>
      <c r="D435" s="285">
        <f>D436</f>
        <v>3263.3</v>
      </c>
      <c r="E435" s="285">
        <f>E436</f>
        <v>3263.4</v>
      </c>
      <c r="F435" s="285">
        <f>F436</f>
        <v>3263.4</v>
      </c>
      <c r="G435" s="461"/>
    </row>
    <row r="436" spans="1:7" x14ac:dyDescent="0.25">
      <c r="A436" s="514" t="s">
        <v>1273</v>
      </c>
      <c r="B436" s="806" t="s">
        <v>1930</v>
      </c>
      <c r="C436" s="749">
        <v>240</v>
      </c>
      <c r="D436" s="285">
        <f>'Функц. 2021-2023'!F113</f>
        <v>3263.3</v>
      </c>
      <c r="E436" s="285">
        <f>'Функц. 2021-2023'!H113</f>
        <v>3263.4</v>
      </c>
      <c r="F436" s="285">
        <f>'Функц. 2021-2023'!J113</f>
        <v>3263.4</v>
      </c>
      <c r="G436" s="461"/>
    </row>
    <row r="437" spans="1:7" s="513" customFormat="1" x14ac:dyDescent="0.25">
      <c r="A437" s="519" t="s">
        <v>923</v>
      </c>
      <c r="B437" s="806" t="s">
        <v>1930</v>
      </c>
      <c r="C437" s="749">
        <v>800</v>
      </c>
      <c r="D437" s="285">
        <f>D438</f>
        <v>0.1</v>
      </c>
      <c r="E437" s="285">
        <f>E438</f>
        <v>0</v>
      </c>
      <c r="F437" s="285">
        <f>F438</f>
        <v>0</v>
      </c>
      <c r="G437" s="461"/>
    </row>
    <row r="438" spans="1:7" s="513" customFormat="1" x14ac:dyDescent="0.25">
      <c r="A438" s="519" t="s">
        <v>1319</v>
      </c>
      <c r="B438" s="806" t="s">
        <v>1930</v>
      </c>
      <c r="C438" s="749">
        <v>850</v>
      </c>
      <c r="D438" s="285">
        <f>'Функц. 2021-2023'!F115</f>
        <v>0.1</v>
      </c>
      <c r="E438" s="285">
        <f>'Функц. 2021-2023'!H115</f>
        <v>0</v>
      </c>
      <c r="F438" s="285">
        <f>'Функц. 2021-2023'!J115</f>
        <v>0</v>
      </c>
      <c r="G438" s="461"/>
    </row>
    <row r="439" spans="1:7" ht="31.5" x14ac:dyDescent="0.25">
      <c r="A439" s="514" t="s">
        <v>1934</v>
      </c>
      <c r="B439" s="284" t="str">
        <f>B440</f>
        <v>12 5 01 00162</v>
      </c>
      <c r="C439" s="749"/>
      <c r="D439" s="285">
        <f t="shared" ref="D439:F440" si="89">D440</f>
        <v>7844.7</v>
      </c>
      <c r="E439" s="285">
        <f t="shared" si="89"/>
        <v>7844.7</v>
      </c>
      <c r="F439" s="285">
        <f t="shared" si="89"/>
        <v>7844.7</v>
      </c>
      <c r="G439" s="461"/>
    </row>
    <row r="440" spans="1:7" ht="47.25" x14ac:dyDescent="0.25">
      <c r="A440" s="514" t="s">
        <v>921</v>
      </c>
      <c r="B440" s="284" t="str">
        <f>B441</f>
        <v>12 5 01 00162</v>
      </c>
      <c r="C440" s="749">
        <v>100</v>
      </c>
      <c r="D440" s="285">
        <f t="shared" si="89"/>
        <v>7844.7</v>
      </c>
      <c r="E440" s="285">
        <f t="shared" si="89"/>
        <v>7844.7</v>
      </c>
      <c r="F440" s="285">
        <f t="shared" si="89"/>
        <v>7844.7</v>
      </c>
      <c r="G440" s="461"/>
    </row>
    <row r="441" spans="1:7" x14ac:dyDescent="0.25">
      <c r="A441" s="514" t="s">
        <v>1747</v>
      </c>
      <c r="B441" s="806" t="s">
        <v>1931</v>
      </c>
      <c r="C441" s="749">
        <v>120</v>
      </c>
      <c r="D441" s="285">
        <f>'Функц. 2021-2023'!F118</f>
        <v>7844.7</v>
      </c>
      <c r="E441" s="285">
        <f>'Функц. 2021-2023'!H118</f>
        <v>7844.7</v>
      </c>
      <c r="F441" s="285">
        <f>'Функц. 2021-2023'!J118</f>
        <v>7844.7</v>
      </c>
      <c r="G441" s="461"/>
    </row>
    <row r="442" spans="1:7" ht="31.5" x14ac:dyDescent="0.25">
      <c r="A442" s="514" t="s">
        <v>1933</v>
      </c>
      <c r="B442" s="284" t="str">
        <f>B443</f>
        <v>12 5 01 00163</v>
      </c>
      <c r="C442" s="749"/>
      <c r="D442" s="285">
        <f t="shared" ref="D442:F443" si="90">D443</f>
        <v>5938.8</v>
      </c>
      <c r="E442" s="285">
        <f t="shared" si="90"/>
        <v>5938.8</v>
      </c>
      <c r="F442" s="285">
        <f t="shared" si="90"/>
        <v>5938.8</v>
      </c>
      <c r="G442" s="461"/>
    </row>
    <row r="443" spans="1:7" ht="47.25" x14ac:dyDescent="0.25">
      <c r="A443" s="514" t="s">
        <v>921</v>
      </c>
      <c r="B443" s="284" t="str">
        <f>B444</f>
        <v>12 5 01 00163</v>
      </c>
      <c r="C443" s="749">
        <v>100</v>
      </c>
      <c r="D443" s="285">
        <f t="shared" si="90"/>
        <v>5938.8</v>
      </c>
      <c r="E443" s="285">
        <f t="shared" si="90"/>
        <v>5938.8</v>
      </c>
      <c r="F443" s="285">
        <f t="shared" si="90"/>
        <v>5938.8</v>
      </c>
      <c r="G443" s="461"/>
    </row>
    <row r="444" spans="1:7" x14ac:dyDescent="0.25">
      <c r="A444" s="514" t="s">
        <v>1747</v>
      </c>
      <c r="B444" s="806" t="s">
        <v>1932</v>
      </c>
      <c r="C444" s="749">
        <v>120</v>
      </c>
      <c r="D444" s="285">
        <f>'Функц. 2021-2023'!F121</f>
        <v>5938.8</v>
      </c>
      <c r="E444" s="285">
        <f>'Функц. 2021-2023'!H121</f>
        <v>5938.8</v>
      </c>
      <c r="F444" s="285">
        <f>'Функц. 2021-2023'!J121</f>
        <v>5938.8</v>
      </c>
      <c r="G444" s="461"/>
    </row>
    <row r="445" spans="1:7" x14ac:dyDescent="0.25">
      <c r="A445" s="525" t="s">
        <v>1941</v>
      </c>
      <c r="B445" s="806" t="s">
        <v>1942</v>
      </c>
      <c r="C445" s="750"/>
      <c r="D445" s="285">
        <f t="shared" ref="D445:F446" si="91">D446</f>
        <v>305.7</v>
      </c>
      <c r="E445" s="285">
        <f t="shared" si="91"/>
        <v>200</v>
      </c>
      <c r="F445" s="285">
        <f t="shared" si="91"/>
        <v>200</v>
      </c>
      <c r="G445" s="461"/>
    </row>
    <row r="446" spans="1:7" x14ac:dyDescent="0.25">
      <c r="A446" s="514" t="s">
        <v>1781</v>
      </c>
      <c r="B446" s="806" t="s">
        <v>1942</v>
      </c>
      <c r="C446" s="761">
        <v>200</v>
      </c>
      <c r="D446" s="285">
        <f t="shared" si="91"/>
        <v>305.7</v>
      </c>
      <c r="E446" s="285">
        <f t="shared" si="91"/>
        <v>200</v>
      </c>
      <c r="F446" s="285">
        <f t="shared" si="91"/>
        <v>200</v>
      </c>
      <c r="G446" s="461"/>
    </row>
    <row r="447" spans="1:7" x14ac:dyDescent="0.25">
      <c r="A447" s="514" t="s">
        <v>1273</v>
      </c>
      <c r="B447" s="806" t="s">
        <v>1942</v>
      </c>
      <c r="C447" s="761">
        <v>240</v>
      </c>
      <c r="D447" s="285">
        <f>'Функц. 2021-2023'!F286</f>
        <v>305.7</v>
      </c>
      <c r="E447" s="285">
        <f>'Функц. 2021-2023'!H286</f>
        <v>200</v>
      </c>
      <c r="F447" s="285">
        <f>'Функц. 2021-2023'!J286</f>
        <v>200</v>
      </c>
      <c r="G447" s="461"/>
    </row>
    <row r="448" spans="1:7" x14ac:dyDescent="0.25">
      <c r="A448" s="525" t="s">
        <v>1943</v>
      </c>
      <c r="B448" s="806" t="s">
        <v>1944</v>
      </c>
      <c r="C448" s="749"/>
      <c r="D448" s="285">
        <f t="shared" ref="D448:F449" si="92">D449</f>
        <v>125</v>
      </c>
      <c r="E448" s="285">
        <f t="shared" si="92"/>
        <v>125</v>
      </c>
      <c r="F448" s="285">
        <f t="shared" si="92"/>
        <v>125</v>
      </c>
      <c r="G448" s="461"/>
    </row>
    <row r="449" spans="1:7" x14ac:dyDescent="0.25">
      <c r="A449" s="514" t="s">
        <v>923</v>
      </c>
      <c r="B449" s="806" t="s">
        <v>1944</v>
      </c>
      <c r="C449" s="749">
        <v>800</v>
      </c>
      <c r="D449" s="285">
        <f t="shared" si="92"/>
        <v>125</v>
      </c>
      <c r="E449" s="285">
        <f t="shared" si="92"/>
        <v>125</v>
      </c>
      <c r="F449" s="285">
        <f t="shared" si="92"/>
        <v>125</v>
      </c>
      <c r="G449" s="461"/>
    </row>
    <row r="450" spans="1:7" x14ac:dyDescent="0.25">
      <c r="A450" s="514" t="s">
        <v>1319</v>
      </c>
      <c r="B450" s="806" t="s">
        <v>1944</v>
      </c>
      <c r="C450" s="749">
        <v>850</v>
      </c>
      <c r="D450" s="285">
        <f>'Функц. 2021-2023'!F213</f>
        <v>125</v>
      </c>
      <c r="E450" s="285">
        <f>'Функц. 2021-2023'!H213</f>
        <v>125</v>
      </c>
      <c r="F450" s="285">
        <f>'Функц. 2021-2023'!J213</f>
        <v>125</v>
      </c>
      <c r="G450" s="461"/>
    </row>
    <row r="451" spans="1:7" ht="31.5" x14ac:dyDescent="0.25">
      <c r="A451" s="525" t="s">
        <v>1935</v>
      </c>
      <c r="B451" s="806" t="s">
        <v>1936</v>
      </c>
      <c r="C451" s="751"/>
      <c r="D451" s="285">
        <f t="shared" ref="D451:F452" si="93">D452</f>
        <v>18022</v>
      </c>
      <c r="E451" s="285">
        <f t="shared" si="93"/>
        <v>18022</v>
      </c>
      <c r="F451" s="285">
        <f t="shared" si="93"/>
        <v>18022</v>
      </c>
      <c r="G451" s="461"/>
    </row>
    <row r="452" spans="1:7" ht="31.5" x14ac:dyDescent="0.25">
      <c r="A452" s="514" t="s">
        <v>1342</v>
      </c>
      <c r="B452" s="806" t="s">
        <v>1936</v>
      </c>
      <c r="C452" s="769">
        <v>600</v>
      </c>
      <c r="D452" s="285">
        <f t="shared" si="93"/>
        <v>18022</v>
      </c>
      <c r="E452" s="285">
        <f t="shared" si="93"/>
        <v>18022</v>
      </c>
      <c r="F452" s="285">
        <f t="shared" si="93"/>
        <v>18022</v>
      </c>
      <c r="G452" s="461"/>
    </row>
    <row r="453" spans="1:7" x14ac:dyDescent="0.25">
      <c r="A453" s="514" t="s">
        <v>1343</v>
      </c>
      <c r="B453" s="806" t="s">
        <v>1936</v>
      </c>
      <c r="C453" s="769">
        <v>610</v>
      </c>
      <c r="D453" s="285">
        <f>'Функц. 2021-2023'!F216</f>
        <v>18022</v>
      </c>
      <c r="E453" s="285">
        <f>'Функц. 2021-2023'!H216</f>
        <v>18022</v>
      </c>
      <c r="F453" s="285">
        <f>'Функц. 2021-2023'!J216</f>
        <v>18022</v>
      </c>
      <c r="G453" s="461"/>
    </row>
    <row r="454" spans="1:7" ht="31.5" x14ac:dyDescent="0.25">
      <c r="A454" s="525" t="s">
        <v>1921</v>
      </c>
      <c r="B454" s="806" t="s">
        <v>1922</v>
      </c>
      <c r="C454" s="749"/>
      <c r="D454" s="285">
        <f>D455+D460+D476+D469</f>
        <v>84810.299999999988</v>
      </c>
      <c r="E454" s="285">
        <f>E455+E460+E476+E469</f>
        <v>61408.1</v>
      </c>
      <c r="F454" s="285">
        <f>F455+F460+F476+F469</f>
        <v>51408.1</v>
      </c>
      <c r="G454" s="461"/>
    </row>
    <row r="455" spans="1:7" ht="47.25" x14ac:dyDescent="0.25">
      <c r="A455" s="525" t="s">
        <v>1937</v>
      </c>
      <c r="B455" s="806" t="s">
        <v>1938</v>
      </c>
      <c r="C455" s="749"/>
      <c r="D455" s="285">
        <f>D456+D458</f>
        <v>8775.0999999999985</v>
      </c>
      <c r="E455" s="285">
        <f>E456+E458</f>
        <v>6396.2</v>
      </c>
      <c r="F455" s="285">
        <f>F456+F458</f>
        <v>4951.2</v>
      </c>
      <c r="G455" s="461"/>
    </row>
    <row r="456" spans="1:7" ht="47.25" x14ac:dyDescent="0.25">
      <c r="A456" s="514" t="s">
        <v>921</v>
      </c>
      <c r="B456" s="806" t="s">
        <v>1938</v>
      </c>
      <c r="C456" s="763" t="s">
        <v>1797</v>
      </c>
      <c r="D456" s="285">
        <f>D457</f>
        <v>7964.7999999999993</v>
      </c>
      <c r="E456" s="285">
        <f>E457</f>
        <v>5585.9</v>
      </c>
      <c r="F456" s="285">
        <f>F457</f>
        <v>4140.8999999999996</v>
      </c>
      <c r="G456" s="461"/>
    </row>
    <row r="457" spans="1:7" x14ac:dyDescent="0.25">
      <c r="A457" s="514" t="s">
        <v>1568</v>
      </c>
      <c r="B457" s="806" t="s">
        <v>1938</v>
      </c>
      <c r="C457" s="763" t="s">
        <v>1798</v>
      </c>
      <c r="D457" s="285">
        <f>'Функц. 2021-2023'!F220</f>
        <v>7964.7999999999993</v>
      </c>
      <c r="E457" s="285">
        <f>'Функц. 2021-2023'!H220</f>
        <v>5585.9</v>
      </c>
      <c r="F457" s="285">
        <f>'Функц. 2021-2023'!J220</f>
        <v>4140.8999999999996</v>
      </c>
      <c r="G457" s="461"/>
    </row>
    <row r="458" spans="1:7" x14ac:dyDescent="0.25">
      <c r="A458" s="514" t="s">
        <v>1781</v>
      </c>
      <c r="B458" s="806" t="s">
        <v>1938</v>
      </c>
      <c r="C458" s="763" t="s">
        <v>821</v>
      </c>
      <c r="D458" s="285">
        <f>D459</f>
        <v>810.3</v>
      </c>
      <c r="E458" s="285">
        <f>E459</f>
        <v>810.3</v>
      </c>
      <c r="F458" s="285">
        <f>F459</f>
        <v>810.3</v>
      </c>
      <c r="G458" s="461"/>
    </row>
    <row r="459" spans="1:7" x14ac:dyDescent="0.25">
      <c r="A459" s="514" t="s">
        <v>1273</v>
      </c>
      <c r="B459" s="806" t="s">
        <v>1938</v>
      </c>
      <c r="C459" s="763" t="s">
        <v>1479</v>
      </c>
      <c r="D459" s="285">
        <f>'Функц. 2021-2023'!F222</f>
        <v>810.3</v>
      </c>
      <c r="E459" s="285">
        <f>'Функц. 2021-2023'!H222</f>
        <v>810.3</v>
      </c>
      <c r="F459" s="285">
        <f>'Функц. 2021-2023'!J222</f>
        <v>810.3</v>
      </c>
      <c r="G459" s="461"/>
    </row>
    <row r="460" spans="1:7" ht="47.25" x14ac:dyDescent="0.25">
      <c r="A460" s="514" t="s">
        <v>1939</v>
      </c>
      <c r="B460" s="806" t="s">
        <v>1940</v>
      </c>
      <c r="C460" s="763"/>
      <c r="D460" s="285">
        <f>D461+D463+D467+D465</f>
        <v>43198.400000000001</v>
      </c>
      <c r="E460" s="285">
        <f t="shared" ref="E460:F460" si="94">E461+E463+E467+E465</f>
        <v>26212.2</v>
      </c>
      <c r="F460" s="285">
        <f t="shared" si="94"/>
        <v>19567.2</v>
      </c>
      <c r="G460" s="461"/>
    </row>
    <row r="461" spans="1:7" ht="47.25" x14ac:dyDescent="0.25">
      <c r="A461" s="514" t="s">
        <v>921</v>
      </c>
      <c r="B461" s="806" t="s">
        <v>1940</v>
      </c>
      <c r="C461" s="763" t="s">
        <v>1797</v>
      </c>
      <c r="D461" s="285">
        <f>D462</f>
        <v>42552.299999999996</v>
      </c>
      <c r="E461" s="285">
        <f>E462</f>
        <v>25611.5</v>
      </c>
      <c r="F461" s="285">
        <f>F462</f>
        <v>18966.5</v>
      </c>
      <c r="G461" s="461"/>
    </row>
    <row r="462" spans="1:7" x14ac:dyDescent="0.25">
      <c r="A462" s="514" t="s">
        <v>1568</v>
      </c>
      <c r="B462" s="806" t="s">
        <v>1940</v>
      </c>
      <c r="C462" s="763" t="s">
        <v>1798</v>
      </c>
      <c r="D462" s="285">
        <f>'Функц. 2021-2023'!F225</f>
        <v>42552.299999999996</v>
      </c>
      <c r="E462" s="285">
        <f>'Функц. 2021-2023'!H225</f>
        <v>25611.5</v>
      </c>
      <c r="F462" s="285">
        <f>'Функц. 2021-2023'!J225</f>
        <v>18966.5</v>
      </c>
      <c r="G462" s="461"/>
    </row>
    <row r="463" spans="1:7" x14ac:dyDescent="0.25">
      <c r="A463" s="514" t="s">
        <v>1781</v>
      </c>
      <c r="B463" s="806" t="s">
        <v>1940</v>
      </c>
      <c r="C463" s="763" t="s">
        <v>821</v>
      </c>
      <c r="D463" s="285">
        <f>D464</f>
        <v>562.80000000000007</v>
      </c>
      <c r="E463" s="285">
        <f>E464</f>
        <v>600.70000000000005</v>
      </c>
      <c r="F463" s="285">
        <f>F464</f>
        <v>600.70000000000005</v>
      </c>
      <c r="G463" s="461"/>
    </row>
    <row r="464" spans="1:7" x14ac:dyDescent="0.25">
      <c r="A464" s="514" t="s">
        <v>1273</v>
      </c>
      <c r="B464" s="806" t="s">
        <v>1940</v>
      </c>
      <c r="C464" s="763" t="s">
        <v>1479</v>
      </c>
      <c r="D464" s="291">
        <f>'Функц. 2021-2023'!F227</f>
        <v>562.80000000000007</v>
      </c>
      <c r="E464" s="291">
        <f>'Функц. 2021-2023'!H227</f>
        <v>600.70000000000005</v>
      </c>
      <c r="F464" s="291">
        <f>'Функц. 2021-2023'!J227</f>
        <v>600.70000000000005</v>
      </c>
      <c r="G464" s="461"/>
    </row>
    <row r="465" spans="1:7" s="513" customFormat="1" x14ac:dyDescent="0.25">
      <c r="A465" s="519" t="s">
        <v>1754</v>
      </c>
      <c r="B465" s="806" t="s">
        <v>1940</v>
      </c>
      <c r="C465" s="763" t="s">
        <v>2431</v>
      </c>
      <c r="D465" s="291">
        <f>D466</f>
        <v>3</v>
      </c>
      <c r="E465" s="291">
        <f t="shared" ref="E465:F465" si="95">E466</f>
        <v>0</v>
      </c>
      <c r="F465" s="291">
        <f t="shared" si="95"/>
        <v>0</v>
      </c>
      <c r="G465" s="461"/>
    </row>
    <row r="466" spans="1:7" s="513" customFormat="1" x14ac:dyDescent="0.25">
      <c r="A466" s="519" t="s">
        <v>868</v>
      </c>
      <c r="B466" s="806" t="s">
        <v>1940</v>
      </c>
      <c r="C466" s="763" t="s">
        <v>2432</v>
      </c>
      <c r="D466" s="291">
        <f>'Функц. 2021-2023'!F229</f>
        <v>3</v>
      </c>
      <c r="E466" s="291">
        <f>'Функц. 2021-2023'!H229</f>
        <v>0</v>
      </c>
      <c r="F466" s="291">
        <f>'Функц. 2021-2023'!J229</f>
        <v>0</v>
      </c>
      <c r="G466" s="461"/>
    </row>
    <row r="467" spans="1:7" s="513" customFormat="1" x14ac:dyDescent="0.25">
      <c r="A467" s="519" t="s">
        <v>923</v>
      </c>
      <c r="B467" s="806" t="s">
        <v>1940</v>
      </c>
      <c r="C467" s="763" t="s">
        <v>2240</v>
      </c>
      <c r="D467" s="291">
        <f>D468</f>
        <v>80.3</v>
      </c>
      <c r="E467" s="291">
        <f>E468</f>
        <v>0</v>
      </c>
      <c r="F467" s="291">
        <f>F468</f>
        <v>0</v>
      </c>
      <c r="G467" s="461"/>
    </row>
    <row r="468" spans="1:7" s="513" customFormat="1" x14ac:dyDescent="0.25">
      <c r="A468" s="519" t="s">
        <v>1319</v>
      </c>
      <c r="B468" s="806" t="s">
        <v>1940</v>
      </c>
      <c r="C468" s="763" t="s">
        <v>2391</v>
      </c>
      <c r="D468" s="291">
        <f>'Функц. 2021-2023'!F231</f>
        <v>80.3</v>
      </c>
      <c r="E468" s="291">
        <f>'Функц. 2021-2023'!H231</f>
        <v>0</v>
      </c>
      <c r="F468" s="291">
        <f>'Функц. 2021-2023'!J231</f>
        <v>0</v>
      </c>
      <c r="G468" s="461"/>
    </row>
    <row r="469" spans="1:7" s="513" customFormat="1" ht="47.25" x14ac:dyDescent="0.25">
      <c r="A469" s="514" t="s">
        <v>2381</v>
      </c>
      <c r="B469" s="806" t="s">
        <v>2382</v>
      </c>
      <c r="C469" s="763"/>
      <c r="D469" s="285">
        <f>D470+D472+D474</f>
        <v>10374.9</v>
      </c>
      <c r="E469" s="285">
        <f t="shared" ref="E469:F469" si="96">E470+E472+E474</f>
        <v>7958.9000000000005</v>
      </c>
      <c r="F469" s="285">
        <f t="shared" si="96"/>
        <v>6048.9000000000005</v>
      </c>
      <c r="G469" s="461"/>
    </row>
    <row r="470" spans="1:7" s="513" customFormat="1" ht="47.25" x14ac:dyDescent="0.25">
      <c r="A470" s="514" t="s">
        <v>921</v>
      </c>
      <c r="B470" s="806" t="s">
        <v>2382</v>
      </c>
      <c r="C470" s="763" t="s">
        <v>1797</v>
      </c>
      <c r="D470" s="285">
        <f>D471</f>
        <v>9775.6</v>
      </c>
      <c r="E470" s="285">
        <f>E471</f>
        <v>7359.6</v>
      </c>
      <c r="F470" s="285">
        <f>F471</f>
        <v>5449.6</v>
      </c>
      <c r="G470" s="461"/>
    </row>
    <row r="471" spans="1:7" s="513" customFormat="1" x14ac:dyDescent="0.25">
      <c r="A471" s="514" t="s">
        <v>1568</v>
      </c>
      <c r="B471" s="806" t="s">
        <v>2382</v>
      </c>
      <c r="C471" s="763" t="s">
        <v>1798</v>
      </c>
      <c r="D471" s="285">
        <f>'Функц. 2021-2023'!F234</f>
        <v>9775.6</v>
      </c>
      <c r="E471" s="285">
        <f>'Функц. 2021-2023'!H234</f>
        <v>7359.6</v>
      </c>
      <c r="F471" s="285">
        <f>'Функц. 2021-2023'!J234</f>
        <v>5449.6</v>
      </c>
      <c r="G471" s="461"/>
    </row>
    <row r="472" spans="1:7" s="513" customFormat="1" x14ac:dyDescent="0.25">
      <c r="A472" s="514" t="s">
        <v>1781</v>
      </c>
      <c r="B472" s="806" t="s">
        <v>2382</v>
      </c>
      <c r="C472" s="763" t="s">
        <v>821</v>
      </c>
      <c r="D472" s="285">
        <f>D473</f>
        <v>521.9</v>
      </c>
      <c r="E472" s="285">
        <f>E473</f>
        <v>599.29999999999995</v>
      </c>
      <c r="F472" s="285">
        <f>F473</f>
        <v>599.29999999999995</v>
      </c>
      <c r="G472" s="461"/>
    </row>
    <row r="473" spans="1:7" s="513" customFormat="1" x14ac:dyDescent="0.25">
      <c r="A473" s="514" t="s">
        <v>1273</v>
      </c>
      <c r="B473" s="806" t="s">
        <v>2382</v>
      </c>
      <c r="C473" s="763" t="s">
        <v>1479</v>
      </c>
      <c r="D473" s="285">
        <f>'Функц. 2021-2023'!F236</f>
        <v>521.9</v>
      </c>
      <c r="E473" s="285">
        <f>'Функц. 2021-2023'!H236</f>
        <v>599.29999999999995</v>
      </c>
      <c r="F473" s="285">
        <f>'Функц. 2021-2023'!J236</f>
        <v>599.29999999999995</v>
      </c>
      <c r="G473" s="461"/>
    </row>
    <row r="474" spans="1:7" s="513" customFormat="1" x14ac:dyDescent="0.25">
      <c r="A474" s="519" t="s">
        <v>923</v>
      </c>
      <c r="B474" s="806" t="s">
        <v>2382</v>
      </c>
      <c r="C474" s="763" t="s">
        <v>2240</v>
      </c>
      <c r="D474" s="285">
        <f>D475</f>
        <v>77.400000000000006</v>
      </c>
      <c r="E474" s="285">
        <f t="shared" ref="E474:F474" si="97">E475</f>
        <v>0</v>
      </c>
      <c r="F474" s="285">
        <f t="shared" si="97"/>
        <v>0</v>
      </c>
      <c r="G474" s="461"/>
    </row>
    <row r="475" spans="1:7" s="513" customFormat="1" x14ac:dyDescent="0.25">
      <c r="A475" s="519" t="s">
        <v>1319</v>
      </c>
      <c r="B475" s="806" t="s">
        <v>2382</v>
      </c>
      <c r="C475" s="763" t="s">
        <v>2391</v>
      </c>
      <c r="D475" s="285">
        <f>'Функц. 2021-2023'!F238</f>
        <v>77.400000000000006</v>
      </c>
      <c r="E475" s="285">
        <f>'Функц. 2021-2023'!H238</f>
        <v>0</v>
      </c>
      <c r="F475" s="285">
        <f>'Функц. 2021-2023'!J238</f>
        <v>0</v>
      </c>
      <c r="G475" s="461"/>
    </row>
    <row r="476" spans="1:7" ht="47.25" x14ac:dyDescent="0.25">
      <c r="A476" s="531" t="s">
        <v>2331</v>
      </c>
      <c r="B476" s="806" t="s">
        <v>2133</v>
      </c>
      <c r="C476" s="760"/>
      <c r="D476" s="285">
        <f t="shared" ref="D476:F477" si="98">D477</f>
        <v>22461.9</v>
      </c>
      <c r="E476" s="285">
        <f t="shared" si="98"/>
        <v>20840.8</v>
      </c>
      <c r="F476" s="285">
        <f t="shared" si="98"/>
        <v>20840.8</v>
      </c>
      <c r="G476" s="461"/>
    </row>
    <row r="477" spans="1:7" ht="31.5" x14ac:dyDescent="0.25">
      <c r="A477" s="460" t="s">
        <v>1342</v>
      </c>
      <c r="B477" s="806" t="s">
        <v>2133</v>
      </c>
      <c r="C477" s="760">
        <v>600</v>
      </c>
      <c r="D477" s="285">
        <f t="shared" si="98"/>
        <v>22461.9</v>
      </c>
      <c r="E477" s="285">
        <f t="shared" si="98"/>
        <v>20840.8</v>
      </c>
      <c r="F477" s="285">
        <f t="shared" si="98"/>
        <v>20840.8</v>
      </c>
      <c r="G477" s="461"/>
    </row>
    <row r="478" spans="1:7" x14ac:dyDescent="0.25">
      <c r="A478" s="460" t="s">
        <v>1343</v>
      </c>
      <c r="B478" s="806" t="s">
        <v>2133</v>
      </c>
      <c r="C478" s="760">
        <v>610</v>
      </c>
      <c r="D478" s="285">
        <f>'Функц. 2021-2023'!F372</f>
        <v>22461.9</v>
      </c>
      <c r="E478" s="285">
        <f>'Функц. 2021-2023'!H372</f>
        <v>20840.8</v>
      </c>
      <c r="F478" s="285">
        <f>'Функц. 2021-2023'!J372</f>
        <v>20840.8</v>
      </c>
      <c r="G478" s="461"/>
    </row>
    <row r="479" spans="1:7" ht="31.5" x14ac:dyDescent="0.25">
      <c r="A479" s="776" t="s">
        <v>2102</v>
      </c>
      <c r="B479" s="500" t="s">
        <v>1805</v>
      </c>
      <c r="C479" s="759"/>
      <c r="D479" s="289">
        <f>D480+D537+D544+D489</f>
        <v>23715.599999999999</v>
      </c>
      <c r="E479" s="289">
        <f>E480+E537+E544+E489</f>
        <v>9368</v>
      </c>
      <c r="F479" s="289">
        <f>F480+F537+F544+F489</f>
        <v>8984</v>
      </c>
      <c r="G479" s="461"/>
    </row>
    <row r="480" spans="1:7" ht="47.25" x14ac:dyDescent="0.25">
      <c r="A480" s="517" t="s">
        <v>2103</v>
      </c>
      <c r="B480" s="467" t="s">
        <v>2104</v>
      </c>
      <c r="C480" s="749"/>
      <c r="D480" s="285">
        <f>D481+D485</f>
        <v>9204.4</v>
      </c>
      <c r="E480" s="285">
        <f>E481+E485</f>
        <v>3906</v>
      </c>
      <c r="F480" s="285">
        <f>F481+F485</f>
        <v>3906</v>
      </c>
      <c r="G480" s="461"/>
    </row>
    <row r="481" spans="1:7" ht="31.5" x14ac:dyDescent="0.25">
      <c r="A481" s="518" t="s">
        <v>2105</v>
      </c>
      <c r="B481" s="467" t="s">
        <v>2106</v>
      </c>
      <c r="C481" s="749"/>
      <c r="D481" s="285">
        <f t="shared" ref="D481:F483" si="99">D482</f>
        <v>8387.5</v>
      </c>
      <c r="E481" s="285">
        <f t="shared" si="99"/>
        <v>3392.5</v>
      </c>
      <c r="F481" s="285">
        <f t="shared" si="99"/>
        <v>3392.5</v>
      </c>
      <c r="G481" s="461"/>
    </row>
    <row r="482" spans="1:7" ht="94.5" x14ac:dyDescent="0.25">
      <c r="A482" s="528" t="s">
        <v>2242</v>
      </c>
      <c r="B482" s="806" t="s">
        <v>2107</v>
      </c>
      <c r="C482" s="749"/>
      <c r="D482" s="285">
        <f t="shared" si="99"/>
        <v>8387.5</v>
      </c>
      <c r="E482" s="285">
        <f t="shared" si="99"/>
        <v>3392.5</v>
      </c>
      <c r="F482" s="285">
        <f t="shared" si="99"/>
        <v>3392.5</v>
      </c>
      <c r="G482" s="461"/>
    </row>
    <row r="483" spans="1:7" x14ac:dyDescent="0.25">
      <c r="A483" s="514" t="s">
        <v>1781</v>
      </c>
      <c r="B483" s="806" t="s">
        <v>2107</v>
      </c>
      <c r="C483" s="749">
        <v>200</v>
      </c>
      <c r="D483" s="285">
        <f t="shared" si="99"/>
        <v>8387.5</v>
      </c>
      <c r="E483" s="285">
        <f t="shared" si="99"/>
        <v>3392.5</v>
      </c>
      <c r="F483" s="285">
        <f t="shared" si="99"/>
        <v>3392.5</v>
      </c>
      <c r="G483" s="461"/>
    </row>
    <row r="484" spans="1:7" x14ac:dyDescent="0.25">
      <c r="A484" s="514" t="s">
        <v>1273</v>
      </c>
      <c r="B484" s="806" t="s">
        <v>2107</v>
      </c>
      <c r="C484" s="749">
        <v>240</v>
      </c>
      <c r="D484" s="285">
        <f>'Функц. 2021-2023'!F99+'Функц. 2021-2023'!F127+'Функц. 2021-2023'!F150+'Функц. 2021-2023'!F244+'Функц. 2021-2023'!F611+'Функц. 2021-2023'!F831+'Функц. 2021-2023'!F36+'Функц. 2021-2023'!F334</f>
        <v>8387.5</v>
      </c>
      <c r="E484" s="285">
        <f>'Функц. 2021-2023'!H99+'Функц. 2021-2023'!H127+'Функц. 2021-2023'!H150+'Функц. 2021-2023'!H244+'Функц. 2021-2023'!H611+'Функц. 2021-2023'!H831+'Функц. 2021-2023'!H36+'Функц. 2021-2023'!H334</f>
        <v>3392.5</v>
      </c>
      <c r="F484" s="285">
        <f>'Функц. 2021-2023'!J99+'Функц. 2021-2023'!J127+'Функц. 2021-2023'!J150+'Функц. 2021-2023'!J244+'Функц. 2021-2023'!J611+'Функц. 2021-2023'!J831+'Функц. 2021-2023'!J36+'Функц. 2021-2023'!J334</f>
        <v>3392.5</v>
      </c>
      <c r="G484" s="461"/>
    </row>
    <row r="485" spans="1:7" ht="31.5" x14ac:dyDescent="0.25">
      <c r="A485" s="528" t="s">
        <v>2108</v>
      </c>
      <c r="B485" s="467" t="s">
        <v>2109</v>
      </c>
      <c r="C485" s="749"/>
      <c r="D485" s="285">
        <f t="shared" ref="D485:F487" si="100">D486</f>
        <v>816.90000000000009</v>
      </c>
      <c r="E485" s="285">
        <f t="shared" si="100"/>
        <v>513.5</v>
      </c>
      <c r="F485" s="285">
        <f t="shared" si="100"/>
        <v>513.5</v>
      </c>
      <c r="G485" s="461"/>
    </row>
    <row r="486" spans="1:7" ht="47.25" x14ac:dyDescent="0.25">
      <c r="A486" s="518" t="s">
        <v>2247</v>
      </c>
      <c r="B486" s="467" t="s">
        <v>2110</v>
      </c>
      <c r="C486" s="749"/>
      <c r="D486" s="285">
        <f t="shared" si="100"/>
        <v>816.90000000000009</v>
      </c>
      <c r="E486" s="285">
        <f t="shared" si="100"/>
        <v>513.5</v>
      </c>
      <c r="F486" s="285">
        <f t="shared" si="100"/>
        <v>513.5</v>
      </c>
      <c r="G486" s="461"/>
    </row>
    <row r="487" spans="1:7" x14ac:dyDescent="0.25">
      <c r="A487" s="514" t="s">
        <v>1781</v>
      </c>
      <c r="B487" s="467" t="s">
        <v>2110</v>
      </c>
      <c r="C487" s="749">
        <v>200</v>
      </c>
      <c r="D487" s="285">
        <f t="shared" si="100"/>
        <v>816.90000000000009</v>
      </c>
      <c r="E487" s="285">
        <f t="shared" si="100"/>
        <v>513.5</v>
      </c>
      <c r="F487" s="285">
        <f t="shared" si="100"/>
        <v>513.5</v>
      </c>
      <c r="G487" s="461"/>
    </row>
    <row r="488" spans="1:7" x14ac:dyDescent="0.25">
      <c r="A488" s="514" t="s">
        <v>1273</v>
      </c>
      <c r="B488" s="467" t="s">
        <v>2110</v>
      </c>
      <c r="C488" s="749">
        <v>240</v>
      </c>
      <c r="D488" s="285">
        <f>'Функц. 2021-2023'!F500</f>
        <v>816.90000000000009</v>
      </c>
      <c r="E488" s="285">
        <f>'Функц. 2021-2023'!H500</f>
        <v>513.5</v>
      </c>
      <c r="F488" s="285">
        <f>'Функц. 2021-2023'!J500</f>
        <v>513.5</v>
      </c>
      <c r="G488" s="461"/>
    </row>
    <row r="489" spans="1:7" s="513" customFormat="1" x14ac:dyDescent="0.25">
      <c r="A489" s="514" t="s">
        <v>2371</v>
      </c>
      <c r="B489" s="467" t="s">
        <v>2372</v>
      </c>
      <c r="C489" s="763"/>
      <c r="D489" s="285">
        <f t="shared" ref="D489:F489" si="101">D490</f>
        <v>8536.6</v>
      </c>
      <c r="E489" s="285">
        <f t="shared" si="101"/>
        <v>0</v>
      </c>
      <c r="F489" s="285">
        <f t="shared" si="101"/>
        <v>0</v>
      </c>
      <c r="G489" s="461"/>
    </row>
    <row r="490" spans="1:7" s="513" customFormat="1" ht="31.5" x14ac:dyDescent="0.25">
      <c r="A490" s="514" t="s">
        <v>2373</v>
      </c>
      <c r="B490" s="467" t="s">
        <v>2374</v>
      </c>
      <c r="C490" s="763"/>
      <c r="D490" s="285">
        <f>D491</f>
        <v>8536.6</v>
      </c>
      <c r="E490" s="285">
        <f>E491</f>
        <v>0</v>
      </c>
      <c r="F490" s="285">
        <f>F491</f>
        <v>0</v>
      </c>
      <c r="G490" s="461"/>
    </row>
    <row r="491" spans="1:7" s="513" customFormat="1" ht="31.5" x14ac:dyDescent="0.25">
      <c r="A491" s="514" t="s">
        <v>2375</v>
      </c>
      <c r="B491" s="467" t="s">
        <v>2376</v>
      </c>
      <c r="C491" s="763"/>
      <c r="D491" s="285">
        <f>D492+D495+D498+D501+D504+D507+D513+D516+D519+D522+D525+D528+D531+D534+D510</f>
        <v>8536.6</v>
      </c>
      <c r="E491" s="285">
        <f t="shared" ref="E491:F491" si="102">E495+E534</f>
        <v>0</v>
      </c>
      <c r="F491" s="285">
        <f t="shared" si="102"/>
        <v>0</v>
      </c>
      <c r="G491" s="461"/>
    </row>
    <row r="492" spans="1:7" s="513" customFormat="1" ht="47.25" x14ac:dyDescent="0.25">
      <c r="A492" s="514" t="s">
        <v>2444</v>
      </c>
      <c r="B492" s="467" t="s">
        <v>2445</v>
      </c>
      <c r="C492" s="763"/>
      <c r="D492" s="285">
        <f t="shared" ref="D492:F493" si="103">D493</f>
        <v>517.70000000000005</v>
      </c>
      <c r="E492" s="285">
        <f t="shared" si="103"/>
        <v>0</v>
      </c>
      <c r="F492" s="285">
        <f t="shared" si="103"/>
        <v>0</v>
      </c>
      <c r="G492" s="461"/>
    </row>
    <row r="493" spans="1:7" s="513" customFormat="1" x14ac:dyDescent="0.25">
      <c r="A493" s="514" t="s">
        <v>1781</v>
      </c>
      <c r="B493" s="467" t="s">
        <v>2445</v>
      </c>
      <c r="C493" s="749">
        <v>200</v>
      </c>
      <c r="D493" s="285">
        <f t="shared" si="103"/>
        <v>517.70000000000005</v>
      </c>
      <c r="E493" s="285">
        <f t="shared" si="103"/>
        <v>0</v>
      </c>
      <c r="F493" s="285">
        <f t="shared" si="103"/>
        <v>0</v>
      </c>
      <c r="G493" s="461"/>
    </row>
    <row r="494" spans="1:7" s="513" customFormat="1" x14ac:dyDescent="0.25">
      <c r="A494" s="514" t="s">
        <v>1273</v>
      </c>
      <c r="B494" s="467" t="s">
        <v>2445</v>
      </c>
      <c r="C494" s="749">
        <v>240</v>
      </c>
      <c r="D494" s="285">
        <f>'Функц. 2021-2023'!F506</f>
        <v>517.70000000000005</v>
      </c>
      <c r="E494" s="285">
        <v>0</v>
      </c>
      <c r="F494" s="285">
        <v>0</v>
      </c>
      <c r="G494" s="461"/>
    </row>
    <row r="495" spans="1:7" s="513" customFormat="1" ht="35.450000000000003" customHeight="1" x14ac:dyDescent="0.25">
      <c r="A495" s="519" t="s">
        <v>2377</v>
      </c>
      <c r="B495" s="467" t="s">
        <v>2378</v>
      </c>
      <c r="C495" s="763"/>
      <c r="D495" s="285">
        <f t="shared" ref="D495:F496" si="104">D496</f>
        <v>185.4</v>
      </c>
      <c r="E495" s="285">
        <f t="shared" si="104"/>
        <v>0</v>
      </c>
      <c r="F495" s="285">
        <f t="shared" si="104"/>
        <v>0</v>
      </c>
      <c r="G495" s="461"/>
    </row>
    <row r="496" spans="1:7" s="513" customFormat="1" x14ac:dyDescent="0.25">
      <c r="A496" s="514" t="s">
        <v>1781</v>
      </c>
      <c r="B496" s="467" t="s">
        <v>2378</v>
      </c>
      <c r="C496" s="749">
        <v>200</v>
      </c>
      <c r="D496" s="285">
        <f t="shared" si="104"/>
        <v>185.4</v>
      </c>
      <c r="E496" s="285">
        <f t="shared" si="104"/>
        <v>0</v>
      </c>
      <c r="F496" s="285">
        <f t="shared" si="104"/>
        <v>0</v>
      </c>
      <c r="G496" s="461"/>
    </row>
    <row r="497" spans="1:7" s="513" customFormat="1" x14ac:dyDescent="0.25">
      <c r="A497" s="514" t="s">
        <v>1273</v>
      </c>
      <c r="B497" s="467" t="s">
        <v>2378</v>
      </c>
      <c r="C497" s="749">
        <v>240</v>
      </c>
      <c r="D497" s="285">
        <f>'Функц. 2021-2023'!F509</f>
        <v>185.4</v>
      </c>
      <c r="E497" s="285">
        <v>0</v>
      </c>
      <c r="F497" s="285">
        <v>0</v>
      </c>
      <c r="G497" s="461"/>
    </row>
    <row r="498" spans="1:7" s="513" customFormat="1" ht="47.25" x14ac:dyDescent="0.25">
      <c r="A498" s="519" t="s">
        <v>2446</v>
      </c>
      <c r="B498" s="467" t="s">
        <v>2447</v>
      </c>
      <c r="C498" s="763"/>
      <c r="D498" s="285">
        <f t="shared" ref="D498:F499" si="105">D499</f>
        <v>608.79999999999995</v>
      </c>
      <c r="E498" s="285">
        <f t="shared" si="105"/>
        <v>0</v>
      </c>
      <c r="F498" s="285">
        <f t="shared" si="105"/>
        <v>0</v>
      </c>
      <c r="G498" s="461"/>
    </row>
    <row r="499" spans="1:7" s="513" customFormat="1" x14ac:dyDescent="0.25">
      <c r="A499" s="514" t="s">
        <v>1781</v>
      </c>
      <c r="B499" s="467" t="s">
        <v>2447</v>
      </c>
      <c r="C499" s="749">
        <v>200</v>
      </c>
      <c r="D499" s="285">
        <f t="shared" si="105"/>
        <v>608.79999999999995</v>
      </c>
      <c r="E499" s="285">
        <f t="shared" si="105"/>
        <v>0</v>
      </c>
      <c r="F499" s="285">
        <f t="shared" si="105"/>
        <v>0</v>
      </c>
      <c r="G499" s="461"/>
    </row>
    <row r="500" spans="1:7" s="513" customFormat="1" x14ac:dyDescent="0.25">
      <c r="A500" s="514" t="s">
        <v>1273</v>
      </c>
      <c r="B500" s="467" t="s">
        <v>2447</v>
      </c>
      <c r="C500" s="749">
        <v>240</v>
      </c>
      <c r="D500" s="285">
        <f>'Функц. 2021-2023'!F512</f>
        <v>608.79999999999995</v>
      </c>
      <c r="E500" s="285">
        <v>0</v>
      </c>
      <c r="F500" s="285">
        <v>0</v>
      </c>
      <c r="G500" s="461"/>
    </row>
    <row r="501" spans="1:7" s="513" customFormat="1" ht="39" customHeight="1" x14ac:dyDescent="0.25">
      <c r="A501" s="519" t="s">
        <v>2448</v>
      </c>
      <c r="B501" s="467" t="s">
        <v>2449</v>
      </c>
      <c r="C501" s="763"/>
      <c r="D501" s="285">
        <f t="shared" ref="D501:F502" si="106">D502</f>
        <v>681.7</v>
      </c>
      <c r="E501" s="285">
        <f t="shared" si="106"/>
        <v>0</v>
      </c>
      <c r="F501" s="285">
        <f t="shared" si="106"/>
        <v>0</v>
      </c>
      <c r="G501" s="461"/>
    </row>
    <row r="502" spans="1:7" s="513" customFormat="1" x14ac:dyDescent="0.25">
      <c r="A502" s="514" t="s">
        <v>1781</v>
      </c>
      <c r="B502" s="467" t="s">
        <v>2449</v>
      </c>
      <c r="C502" s="749">
        <v>200</v>
      </c>
      <c r="D502" s="285">
        <f t="shared" si="106"/>
        <v>681.7</v>
      </c>
      <c r="E502" s="285">
        <f t="shared" si="106"/>
        <v>0</v>
      </c>
      <c r="F502" s="285">
        <f t="shared" si="106"/>
        <v>0</v>
      </c>
      <c r="G502" s="461"/>
    </row>
    <row r="503" spans="1:7" s="513" customFormat="1" x14ac:dyDescent="0.25">
      <c r="A503" s="514" t="s">
        <v>1273</v>
      </c>
      <c r="B503" s="467" t="s">
        <v>2449</v>
      </c>
      <c r="C503" s="749">
        <v>240</v>
      </c>
      <c r="D503" s="285">
        <f>'Функц. 2021-2023'!F515</f>
        <v>681.7</v>
      </c>
      <c r="E503" s="285">
        <v>0</v>
      </c>
      <c r="F503" s="285">
        <v>0</v>
      </c>
      <c r="G503" s="461"/>
    </row>
    <row r="504" spans="1:7" s="513" customFormat="1" ht="47.25" x14ac:dyDescent="0.25">
      <c r="A504" s="514" t="s">
        <v>2450</v>
      </c>
      <c r="B504" s="467" t="s">
        <v>2451</v>
      </c>
      <c r="C504" s="763"/>
      <c r="D504" s="285">
        <f t="shared" ref="D504:F505" si="107">D505</f>
        <v>1122.7</v>
      </c>
      <c r="E504" s="285">
        <f t="shared" si="107"/>
        <v>0</v>
      </c>
      <c r="F504" s="285">
        <f t="shared" si="107"/>
        <v>0</v>
      </c>
      <c r="G504" s="461"/>
    </row>
    <row r="505" spans="1:7" s="513" customFormat="1" x14ac:dyDescent="0.25">
      <c r="A505" s="514" t="s">
        <v>1781</v>
      </c>
      <c r="B505" s="467" t="s">
        <v>2451</v>
      </c>
      <c r="C505" s="749">
        <v>200</v>
      </c>
      <c r="D505" s="285">
        <f t="shared" si="107"/>
        <v>1122.7</v>
      </c>
      <c r="E505" s="285">
        <f t="shared" si="107"/>
        <v>0</v>
      </c>
      <c r="F505" s="285">
        <f t="shared" si="107"/>
        <v>0</v>
      </c>
      <c r="G505" s="461"/>
    </row>
    <row r="506" spans="1:7" s="513" customFormat="1" x14ac:dyDescent="0.25">
      <c r="A506" s="514" t="s">
        <v>1273</v>
      </c>
      <c r="B506" s="467" t="s">
        <v>2451</v>
      </c>
      <c r="C506" s="749">
        <v>240</v>
      </c>
      <c r="D506" s="285">
        <f>'Функц. 2021-2023'!F518</f>
        <v>1122.7</v>
      </c>
      <c r="E506" s="285">
        <v>0</v>
      </c>
      <c r="F506" s="285">
        <v>0</v>
      </c>
      <c r="G506" s="461"/>
    </row>
    <row r="507" spans="1:7" s="513" customFormat="1" ht="47.25" x14ac:dyDescent="0.25">
      <c r="A507" s="514" t="s">
        <v>2469</v>
      </c>
      <c r="B507" s="467" t="s">
        <v>2452</v>
      </c>
      <c r="C507" s="763"/>
      <c r="D507" s="285">
        <f t="shared" ref="D507:F508" si="108">D508</f>
        <v>523.9</v>
      </c>
      <c r="E507" s="285">
        <f t="shared" si="108"/>
        <v>0</v>
      </c>
      <c r="F507" s="285">
        <f t="shared" si="108"/>
        <v>0</v>
      </c>
      <c r="G507" s="461"/>
    </row>
    <row r="508" spans="1:7" s="513" customFormat="1" x14ac:dyDescent="0.25">
      <c r="A508" s="514" t="s">
        <v>1781</v>
      </c>
      <c r="B508" s="467" t="s">
        <v>2452</v>
      </c>
      <c r="C508" s="749">
        <v>200</v>
      </c>
      <c r="D508" s="285">
        <f t="shared" si="108"/>
        <v>523.9</v>
      </c>
      <c r="E508" s="285">
        <f t="shared" si="108"/>
        <v>0</v>
      </c>
      <c r="F508" s="285">
        <f t="shared" si="108"/>
        <v>0</v>
      </c>
      <c r="G508" s="461"/>
    </row>
    <row r="509" spans="1:7" s="513" customFormat="1" x14ac:dyDescent="0.25">
      <c r="A509" s="514" t="s">
        <v>1273</v>
      </c>
      <c r="B509" s="467" t="s">
        <v>2452</v>
      </c>
      <c r="C509" s="749">
        <v>240</v>
      </c>
      <c r="D509" s="285">
        <f>'Функц. 2021-2023'!F521</f>
        <v>523.9</v>
      </c>
      <c r="E509" s="285">
        <v>0</v>
      </c>
      <c r="F509" s="285">
        <v>0</v>
      </c>
      <c r="G509" s="461"/>
    </row>
    <row r="510" spans="1:7" s="513" customFormat="1" ht="31.5" x14ac:dyDescent="0.25">
      <c r="A510" s="514" t="s">
        <v>2453</v>
      </c>
      <c r="B510" s="467" t="s">
        <v>2454</v>
      </c>
      <c r="C510" s="763"/>
      <c r="D510" s="285">
        <f t="shared" ref="D510:F511" si="109">D511</f>
        <v>331.20000000000005</v>
      </c>
      <c r="E510" s="285">
        <f t="shared" si="109"/>
        <v>0</v>
      </c>
      <c r="F510" s="285">
        <f t="shared" si="109"/>
        <v>0</v>
      </c>
      <c r="G510" s="461"/>
    </row>
    <row r="511" spans="1:7" s="513" customFormat="1" x14ac:dyDescent="0.25">
      <c r="A511" s="514" t="s">
        <v>1781</v>
      </c>
      <c r="B511" s="467" t="s">
        <v>2454</v>
      </c>
      <c r="C511" s="749">
        <v>200</v>
      </c>
      <c r="D511" s="285">
        <f t="shared" si="109"/>
        <v>331.20000000000005</v>
      </c>
      <c r="E511" s="285">
        <f t="shared" si="109"/>
        <v>0</v>
      </c>
      <c r="F511" s="285">
        <f t="shared" si="109"/>
        <v>0</v>
      </c>
      <c r="G511" s="461"/>
    </row>
    <row r="512" spans="1:7" s="513" customFormat="1" x14ac:dyDescent="0.25">
      <c r="A512" s="514" t="s">
        <v>1273</v>
      </c>
      <c r="B512" s="467" t="s">
        <v>2454</v>
      </c>
      <c r="C512" s="749">
        <v>240</v>
      </c>
      <c r="D512" s="285">
        <f>'Функц. 2021-2023'!F524</f>
        <v>331.20000000000005</v>
      </c>
      <c r="E512" s="285">
        <v>0</v>
      </c>
      <c r="F512" s="285">
        <v>0</v>
      </c>
      <c r="G512" s="461"/>
    </row>
    <row r="513" spans="1:7" s="513" customFormat="1" ht="47.25" x14ac:dyDescent="0.25">
      <c r="A513" s="514" t="s">
        <v>2455</v>
      </c>
      <c r="B513" s="467" t="s">
        <v>2456</v>
      </c>
      <c r="C513" s="763"/>
      <c r="D513" s="285">
        <f t="shared" ref="D513:F514" si="110">D514</f>
        <v>330.7</v>
      </c>
      <c r="E513" s="285">
        <f t="shared" si="110"/>
        <v>0</v>
      </c>
      <c r="F513" s="285">
        <f t="shared" si="110"/>
        <v>0</v>
      </c>
      <c r="G513" s="461"/>
    </row>
    <row r="514" spans="1:7" s="513" customFormat="1" x14ac:dyDescent="0.25">
      <c r="A514" s="514" t="s">
        <v>1781</v>
      </c>
      <c r="B514" s="467" t="s">
        <v>2456</v>
      </c>
      <c r="C514" s="749">
        <v>200</v>
      </c>
      <c r="D514" s="285">
        <f t="shared" si="110"/>
        <v>330.7</v>
      </c>
      <c r="E514" s="285">
        <f t="shared" si="110"/>
        <v>0</v>
      </c>
      <c r="F514" s="285">
        <f t="shared" si="110"/>
        <v>0</v>
      </c>
      <c r="G514" s="461"/>
    </row>
    <row r="515" spans="1:7" s="513" customFormat="1" x14ac:dyDescent="0.25">
      <c r="A515" s="514" t="s">
        <v>1273</v>
      </c>
      <c r="B515" s="467" t="s">
        <v>2456</v>
      </c>
      <c r="C515" s="749">
        <v>240</v>
      </c>
      <c r="D515" s="285">
        <f>'Функц. 2021-2023'!F527</f>
        <v>330.7</v>
      </c>
      <c r="E515" s="285">
        <v>0</v>
      </c>
      <c r="F515" s="285">
        <v>0</v>
      </c>
      <c r="G515" s="461"/>
    </row>
    <row r="516" spans="1:7" s="513" customFormat="1" ht="47.25" x14ac:dyDescent="0.25">
      <c r="A516" s="514" t="s">
        <v>2457</v>
      </c>
      <c r="B516" s="467" t="s">
        <v>2458</v>
      </c>
      <c r="C516" s="749"/>
      <c r="D516" s="285">
        <f t="shared" ref="D516:F517" si="111">D517</f>
        <v>42.7</v>
      </c>
      <c r="E516" s="285">
        <f t="shared" si="111"/>
        <v>0</v>
      </c>
      <c r="F516" s="285">
        <f t="shared" si="111"/>
        <v>0</v>
      </c>
      <c r="G516" s="461"/>
    </row>
    <row r="517" spans="1:7" s="513" customFormat="1" x14ac:dyDescent="0.25">
      <c r="A517" s="514" t="s">
        <v>1781</v>
      </c>
      <c r="B517" s="467" t="s">
        <v>2458</v>
      </c>
      <c r="C517" s="749">
        <v>200</v>
      </c>
      <c r="D517" s="285">
        <f t="shared" si="111"/>
        <v>42.7</v>
      </c>
      <c r="E517" s="285">
        <f t="shared" si="111"/>
        <v>0</v>
      </c>
      <c r="F517" s="285">
        <f t="shared" si="111"/>
        <v>0</v>
      </c>
      <c r="G517" s="461"/>
    </row>
    <row r="518" spans="1:7" s="513" customFormat="1" x14ac:dyDescent="0.25">
      <c r="A518" s="514" t="s">
        <v>1273</v>
      </c>
      <c r="B518" s="467" t="s">
        <v>2458</v>
      </c>
      <c r="C518" s="749">
        <v>240</v>
      </c>
      <c r="D518" s="285">
        <f>'Функц. 2021-2023'!F530</f>
        <v>42.7</v>
      </c>
      <c r="E518" s="285">
        <v>0</v>
      </c>
      <c r="F518" s="285">
        <v>0</v>
      </c>
      <c r="G518" s="461"/>
    </row>
    <row r="519" spans="1:7" s="513" customFormat="1" ht="47.25" x14ac:dyDescent="0.25">
      <c r="A519" s="514" t="s">
        <v>2459</v>
      </c>
      <c r="B519" s="467" t="s">
        <v>2460</v>
      </c>
      <c r="C519" s="749"/>
      <c r="D519" s="285">
        <f t="shared" ref="D519:F520" si="112">D520</f>
        <v>277.7</v>
      </c>
      <c r="E519" s="285">
        <f t="shared" si="112"/>
        <v>0</v>
      </c>
      <c r="F519" s="285">
        <f t="shared" si="112"/>
        <v>0</v>
      </c>
      <c r="G519" s="461"/>
    </row>
    <row r="520" spans="1:7" s="513" customFormat="1" x14ac:dyDescent="0.25">
      <c r="A520" s="514" t="s">
        <v>1781</v>
      </c>
      <c r="B520" s="467" t="s">
        <v>2460</v>
      </c>
      <c r="C520" s="749">
        <v>200</v>
      </c>
      <c r="D520" s="285">
        <f t="shared" si="112"/>
        <v>277.7</v>
      </c>
      <c r="E520" s="285">
        <f t="shared" si="112"/>
        <v>0</v>
      </c>
      <c r="F520" s="285">
        <f t="shared" si="112"/>
        <v>0</v>
      </c>
      <c r="G520" s="461"/>
    </row>
    <row r="521" spans="1:7" s="513" customFormat="1" x14ac:dyDescent="0.25">
      <c r="A521" s="514" t="s">
        <v>1273</v>
      </c>
      <c r="B521" s="467" t="s">
        <v>2460</v>
      </c>
      <c r="C521" s="749">
        <v>240</v>
      </c>
      <c r="D521" s="285">
        <f>'Функц. 2021-2023'!F533</f>
        <v>277.7</v>
      </c>
      <c r="E521" s="285">
        <v>0</v>
      </c>
      <c r="F521" s="285">
        <v>0</v>
      </c>
      <c r="G521" s="461"/>
    </row>
    <row r="522" spans="1:7" s="513" customFormat="1" ht="47.25" x14ac:dyDescent="0.25">
      <c r="A522" s="514" t="s">
        <v>2461</v>
      </c>
      <c r="B522" s="467" t="s">
        <v>2462</v>
      </c>
      <c r="C522" s="749"/>
      <c r="D522" s="285">
        <f t="shared" ref="D522:F523" si="113">D523</f>
        <v>350.70000000000005</v>
      </c>
      <c r="E522" s="285">
        <f t="shared" si="113"/>
        <v>0</v>
      </c>
      <c r="F522" s="285">
        <f t="shared" si="113"/>
        <v>0</v>
      </c>
      <c r="G522" s="461"/>
    </row>
    <row r="523" spans="1:7" s="513" customFormat="1" x14ac:dyDescent="0.25">
      <c r="A523" s="514" t="s">
        <v>1781</v>
      </c>
      <c r="B523" s="467" t="s">
        <v>2462</v>
      </c>
      <c r="C523" s="749">
        <v>200</v>
      </c>
      <c r="D523" s="285">
        <f t="shared" si="113"/>
        <v>350.70000000000005</v>
      </c>
      <c r="E523" s="285">
        <f t="shared" si="113"/>
        <v>0</v>
      </c>
      <c r="F523" s="285">
        <f t="shared" si="113"/>
        <v>0</v>
      </c>
      <c r="G523" s="461"/>
    </row>
    <row r="524" spans="1:7" s="513" customFormat="1" x14ac:dyDescent="0.25">
      <c r="A524" s="514" t="s">
        <v>1273</v>
      </c>
      <c r="B524" s="467" t="s">
        <v>2462</v>
      </c>
      <c r="C524" s="749">
        <v>240</v>
      </c>
      <c r="D524" s="285">
        <f>'Функц. 2021-2023'!F536</f>
        <v>350.70000000000005</v>
      </c>
      <c r="E524" s="285">
        <v>0</v>
      </c>
      <c r="F524" s="285">
        <v>0</v>
      </c>
      <c r="G524" s="461"/>
    </row>
    <row r="525" spans="1:7" s="513" customFormat="1" ht="47.25" x14ac:dyDescent="0.25">
      <c r="A525" s="514" t="s">
        <v>2463</v>
      </c>
      <c r="B525" s="467" t="s">
        <v>2464</v>
      </c>
      <c r="C525" s="749"/>
      <c r="D525" s="285">
        <f t="shared" ref="D525:F526" si="114">D526</f>
        <v>219</v>
      </c>
      <c r="E525" s="285">
        <f t="shared" si="114"/>
        <v>0</v>
      </c>
      <c r="F525" s="285">
        <f t="shared" si="114"/>
        <v>0</v>
      </c>
      <c r="G525" s="461"/>
    </row>
    <row r="526" spans="1:7" s="513" customFormat="1" x14ac:dyDescent="0.25">
      <c r="A526" s="514" t="s">
        <v>1781</v>
      </c>
      <c r="B526" s="467" t="s">
        <v>2464</v>
      </c>
      <c r="C526" s="749">
        <v>200</v>
      </c>
      <c r="D526" s="285">
        <f t="shared" si="114"/>
        <v>219</v>
      </c>
      <c r="E526" s="285">
        <f t="shared" si="114"/>
        <v>0</v>
      </c>
      <c r="F526" s="285">
        <f t="shared" si="114"/>
        <v>0</v>
      </c>
      <c r="G526" s="461"/>
    </row>
    <row r="527" spans="1:7" s="513" customFormat="1" x14ac:dyDescent="0.25">
      <c r="A527" s="514" t="s">
        <v>1273</v>
      </c>
      <c r="B527" s="467" t="s">
        <v>2464</v>
      </c>
      <c r="C527" s="749">
        <v>240</v>
      </c>
      <c r="D527" s="285">
        <f>'Функц. 2021-2023'!F539</f>
        <v>219</v>
      </c>
      <c r="E527" s="285">
        <v>0</v>
      </c>
      <c r="F527" s="285">
        <v>0</v>
      </c>
      <c r="G527" s="461"/>
    </row>
    <row r="528" spans="1:7" s="513" customFormat="1" ht="63" x14ac:dyDescent="0.25">
      <c r="A528" s="514" t="s">
        <v>2465</v>
      </c>
      <c r="B528" s="467" t="s">
        <v>2466</v>
      </c>
      <c r="C528" s="749"/>
      <c r="D528" s="285">
        <f t="shared" ref="D528:F529" si="115">D529</f>
        <v>702.7</v>
      </c>
      <c r="E528" s="285">
        <f t="shared" si="115"/>
        <v>0</v>
      </c>
      <c r="F528" s="285">
        <f t="shared" si="115"/>
        <v>0</v>
      </c>
      <c r="G528" s="461"/>
    </row>
    <row r="529" spans="1:7" s="513" customFormat="1" x14ac:dyDescent="0.25">
      <c r="A529" s="514" t="s">
        <v>1781</v>
      </c>
      <c r="B529" s="467" t="s">
        <v>2466</v>
      </c>
      <c r="C529" s="749">
        <v>200</v>
      </c>
      <c r="D529" s="285">
        <f t="shared" si="115"/>
        <v>702.7</v>
      </c>
      <c r="E529" s="285">
        <f t="shared" si="115"/>
        <v>0</v>
      </c>
      <c r="F529" s="285">
        <f t="shared" si="115"/>
        <v>0</v>
      </c>
      <c r="G529" s="461"/>
    </row>
    <row r="530" spans="1:7" s="513" customFormat="1" x14ac:dyDescent="0.25">
      <c r="A530" s="514" t="s">
        <v>1273</v>
      </c>
      <c r="B530" s="467" t="s">
        <v>2466</v>
      </c>
      <c r="C530" s="749">
        <v>240</v>
      </c>
      <c r="D530" s="285">
        <f>'Функц. 2021-2023'!F542</f>
        <v>702.7</v>
      </c>
      <c r="E530" s="285">
        <v>0</v>
      </c>
      <c r="F530" s="285">
        <v>0</v>
      </c>
      <c r="G530" s="461"/>
    </row>
    <row r="531" spans="1:7" s="513" customFormat="1" ht="31.5" x14ac:dyDescent="0.25">
      <c r="A531" s="514" t="s">
        <v>2467</v>
      </c>
      <c r="B531" s="467" t="s">
        <v>2468</v>
      </c>
      <c r="C531" s="749"/>
      <c r="D531" s="285">
        <f t="shared" ref="D531:F532" si="116">D532</f>
        <v>202.7</v>
      </c>
      <c r="E531" s="285">
        <f t="shared" si="116"/>
        <v>0</v>
      </c>
      <c r="F531" s="285">
        <f t="shared" si="116"/>
        <v>0</v>
      </c>
      <c r="G531" s="461"/>
    </row>
    <row r="532" spans="1:7" s="513" customFormat="1" x14ac:dyDescent="0.25">
      <c r="A532" s="514" t="s">
        <v>1781</v>
      </c>
      <c r="B532" s="467" t="s">
        <v>2468</v>
      </c>
      <c r="C532" s="749">
        <v>200</v>
      </c>
      <c r="D532" s="285">
        <f t="shared" si="116"/>
        <v>202.7</v>
      </c>
      <c r="E532" s="285">
        <f t="shared" si="116"/>
        <v>0</v>
      </c>
      <c r="F532" s="285">
        <f t="shared" si="116"/>
        <v>0</v>
      </c>
      <c r="G532" s="461"/>
    </row>
    <row r="533" spans="1:7" s="513" customFormat="1" x14ac:dyDescent="0.25">
      <c r="A533" s="514" t="s">
        <v>1273</v>
      </c>
      <c r="B533" s="467" t="s">
        <v>2468</v>
      </c>
      <c r="C533" s="749">
        <v>240</v>
      </c>
      <c r="D533" s="285">
        <f>'Функц. 2021-2023'!F545</f>
        <v>202.7</v>
      </c>
      <c r="E533" s="285">
        <v>0</v>
      </c>
      <c r="F533" s="285">
        <v>0</v>
      </c>
      <c r="G533" s="461"/>
    </row>
    <row r="534" spans="1:7" s="513" customFormat="1" ht="47.25" x14ac:dyDescent="0.25">
      <c r="A534" s="514" t="s">
        <v>2379</v>
      </c>
      <c r="B534" s="467" t="s">
        <v>2380</v>
      </c>
      <c r="C534" s="749"/>
      <c r="D534" s="285">
        <f t="shared" ref="D534:F535" si="117">D535</f>
        <v>2439</v>
      </c>
      <c r="E534" s="285">
        <f t="shared" si="117"/>
        <v>0</v>
      </c>
      <c r="F534" s="285">
        <f t="shared" si="117"/>
        <v>0</v>
      </c>
      <c r="G534" s="461"/>
    </row>
    <row r="535" spans="1:7" s="513" customFormat="1" x14ac:dyDescent="0.25">
      <c r="A535" s="514" t="s">
        <v>1781</v>
      </c>
      <c r="B535" s="467" t="s">
        <v>2380</v>
      </c>
      <c r="C535" s="749">
        <v>200</v>
      </c>
      <c r="D535" s="285">
        <f t="shared" si="117"/>
        <v>2439</v>
      </c>
      <c r="E535" s="285">
        <f t="shared" si="117"/>
        <v>0</v>
      </c>
      <c r="F535" s="285">
        <f t="shared" si="117"/>
        <v>0</v>
      </c>
      <c r="G535" s="461"/>
    </row>
    <row r="536" spans="1:7" s="513" customFormat="1" x14ac:dyDescent="0.25">
      <c r="A536" s="514" t="s">
        <v>1273</v>
      </c>
      <c r="B536" s="467" t="s">
        <v>2380</v>
      </c>
      <c r="C536" s="749">
        <v>240</v>
      </c>
      <c r="D536" s="285">
        <f>'Функц. 2021-2023'!F548</f>
        <v>2439</v>
      </c>
      <c r="E536" s="285">
        <v>0</v>
      </c>
      <c r="F536" s="285">
        <v>0</v>
      </c>
      <c r="G536" s="461"/>
    </row>
    <row r="537" spans="1:7" x14ac:dyDescent="0.25">
      <c r="A537" s="517" t="s">
        <v>2111</v>
      </c>
      <c r="B537" s="467" t="s">
        <v>2112</v>
      </c>
      <c r="C537" s="749"/>
      <c r="D537" s="285">
        <f t="shared" ref="D537:F540" si="118">D538</f>
        <v>1438.6</v>
      </c>
      <c r="E537" s="285">
        <f t="shared" si="118"/>
        <v>1265</v>
      </c>
      <c r="F537" s="285">
        <f t="shared" si="118"/>
        <v>1265</v>
      </c>
      <c r="G537" s="461"/>
    </row>
    <row r="538" spans="1:7" ht="47.25" x14ac:dyDescent="0.25">
      <c r="A538" s="518" t="s">
        <v>2113</v>
      </c>
      <c r="B538" s="467" t="s">
        <v>2114</v>
      </c>
      <c r="C538" s="749"/>
      <c r="D538" s="285">
        <f t="shared" si="118"/>
        <v>1438.6</v>
      </c>
      <c r="E538" s="285">
        <f t="shared" si="118"/>
        <v>1265</v>
      </c>
      <c r="F538" s="285">
        <f t="shared" si="118"/>
        <v>1265</v>
      </c>
      <c r="G538" s="461"/>
    </row>
    <row r="539" spans="1:7" ht="31.5" x14ac:dyDescent="0.25">
      <c r="A539" s="518" t="s">
        <v>2115</v>
      </c>
      <c r="B539" s="467" t="s">
        <v>2116</v>
      </c>
      <c r="C539" s="749"/>
      <c r="D539" s="285">
        <f>D540+D542</f>
        <v>1438.6</v>
      </c>
      <c r="E539" s="285">
        <f>E540+E542</f>
        <v>1265</v>
      </c>
      <c r="F539" s="285">
        <f>F540+F542</f>
        <v>1265</v>
      </c>
      <c r="G539" s="461"/>
    </row>
    <row r="540" spans="1:7" x14ac:dyDescent="0.25">
      <c r="A540" s="514" t="s">
        <v>1781</v>
      </c>
      <c r="B540" s="467" t="s">
        <v>2116</v>
      </c>
      <c r="C540" s="749">
        <v>200</v>
      </c>
      <c r="D540" s="285">
        <f t="shared" si="118"/>
        <v>425.6</v>
      </c>
      <c r="E540" s="285">
        <f t="shared" si="118"/>
        <v>775</v>
      </c>
      <c r="F540" s="285">
        <f t="shared" si="118"/>
        <v>775</v>
      </c>
      <c r="G540" s="461"/>
    </row>
    <row r="541" spans="1:7" x14ac:dyDescent="0.25">
      <c r="A541" s="514" t="s">
        <v>1273</v>
      </c>
      <c r="B541" s="467" t="s">
        <v>2116</v>
      </c>
      <c r="C541" s="749">
        <v>240</v>
      </c>
      <c r="D541" s="285">
        <f>'Функц. 2021-2023'!F782</f>
        <v>425.6</v>
      </c>
      <c r="E541" s="285">
        <f>'Функц. 2021-2023'!H782</f>
        <v>775</v>
      </c>
      <c r="F541" s="285">
        <f>'Функц. 2021-2023'!J782</f>
        <v>775</v>
      </c>
      <c r="G541" s="461"/>
    </row>
    <row r="542" spans="1:7" s="503" customFormat="1" ht="31.5" x14ac:dyDescent="0.25">
      <c r="A542" s="460" t="s">
        <v>1342</v>
      </c>
      <c r="B542" s="467" t="s">
        <v>2116</v>
      </c>
      <c r="C542" s="760">
        <v>600</v>
      </c>
      <c r="D542" s="285">
        <f>D543</f>
        <v>1013</v>
      </c>
      <c r="E542" s="285">
        <f>E543</f>
        <v>490</v>
      </c>
      <c r="F542" s="285">
        <f>F543</f>
        <v>490</v>
      </c>
      <c r="G542" s="461"/>
    </row>
    <row r="543" spans="1:7" s="503" customFormat="1" x14ac:dyDescent="0.25">
      <c r="A543" s="460" t="s">
        <v>1343</v>
      </c>
      <c r="B543" s="467" t="s">
        <v>2116</v>
      </c>
      <c r="C543" s="760">
        <v>610</v>
      </c>
      <c r="D543" s="285">
        <f>'Функц. 2021-2023'!F784</f>
        <v>1013</v>
      </c>
      <c r="E543" s="285">
        <f>'Функц. 2021-2023'!H784</f>
        <v>490</v>
      </c>
      <c r="F543" s="285">
        <f>'Функц. 2021-2023'!J784</f>
        <v>490</v>
      </c>
      <c r="G543" s="461"/>
    </row>
    <row r="544" spans="1:7" x14ac:dyDescent="0.25">
      <c r="A544" s="517" t="s">
        <v>1160</v>
      </c>
      <c r="B544" s="467" t="s">
        <v>2117</v>
      </c>
      <c r="C544" s="751"/>
      <c r="D544" s="285">
        <f>D545+D549+D553</f>
        <v>4536</v>
      </c>
      <c r="E544" s="285">
        <f>E545+E549+E553</f>
        <v>4197</v>
      </c>
      <c r="F544" s="285">
        <f>F545+F549+F553</f>
        <v>3813</v>
      </c>
      <c r="G544" s="461"/>
    </row>
    <row r="545" spans="1:7" ht="31.5" x14ac:dyDescent="0.25">
      <c r="A545" s="518" t="s">
        <v>2118</v>
      </c>
      <c r="B545" s="467" t="s">
        <v>2119</v>
      </c>
      <c r="C545" s="751"/>
      <c r="D545" s="285">
        <f t="shared" ref="D545:F547" si="119">D546</f>
        <v>3773</v>
      </c>
      <c r="E545" s="285">
        <f t="shared" si="119"/>
        <v>3773</v>
      </c>
      <c r="F545" s="285">
        <f t="shared" si="119"/>
        <v>3773</v>
      </c>
      <c r="G545" s="461"/>
    </row>
    <row r="546" spans="1:7" ht="31.5" x14ac:dyDescent="0.25">
      <c r="A546" s="517" t="s">
        <v>494</v>
      </c>
      <c r="B546" s="467" t="s">
        <v>2120</v>
      </c>
      <c r="C546" s="770"/>
      <c r="D546" s="285">
        <f t="shared" si="119"/>
        <v>3773</v>
      </c>
      <c r="E546" s="285">
        <f t="shared" si="119"/>
        <v>3773</v>
      </c>
      <c r="F546" s="285">
        <f t="shared" si="119"/>
        <v>3773</v>
      </c>
      <c r="G546" s="461"/>
    </row>
    <row r="547" spans="1:7" ht="47.25" x14ac:dyDescent="0.25">
      <c r="A547" s="514" t="s">
        <v>921</v>
      </c>
      <c r="B547" s="467" t="s">
        <v>2120</v>
      </c>
      <c r="C547" s="749">
        <v>100</v>
      </c>
      <c r="D547" s="285">
        <f t="shared" si="119"/>
        <v>3773</v>
      </c>
      <c r="E547" s="285">
        <f t="shared" si="119"/>
        <v>3773</v>
      </c>
      <c r="F547" s="285">
        <f t="shared" si="119"/>
        <v>3773</v>
      </c>
      <c r="G547" s="461"/>
    </row>
    <row r="548" spans="1:7" x14ac:dyDescent="0.25">
      <c r="A548" s="514" t="s">
        <v>1747</v>
      </c>
      <c r="B548" s="467" t="s">
        <v>2120</v>
      </c>
      <c r="C548" s="749">
        <v>120</v>
      </c>
      <c r="D548" s="285">
        <f>'Функц. 2021-2023'!F279</f>
        <v>3773</v>
      </c>
      <c r="E548" s="285">
        <f>'Функц. 2021-2023'!H279</f>
        <v>3773</v>
      </c>
      <c r="F548" s="285">
        <f>'Функц. 2021-2023'!J279</f>
        <v>3773</v>
      </c>
      <c r="G548" s="461"/>
    </row>
    <row r="549" spans="1:7" ht="31.5" x14ac:dyDescent="0.25">
      <c r="A549" s="518" t="s">
        <v>2121</v>
      </c>
      <c r="B549" s="467" t="s">
        <v>2122</v>
      </c>
      <c r="C549" s="749"/>
      <c r="D549" s="285">
        <f t="shared" ref="D549:F551" si="120">D550</f>
        <v>2</v>
      </c>
      <c r="E549" s="285">
        <f t="shared" si="120"/>
        <v>424</v>
      </c>
      <c r="F549" s="285">
        <f t="shared" si="120"/>
        <v>40</v>
      </c>
      <c r="G549" s="461"/>
    </row>
    <row r="550" spans="1:7" ht="31.5" x14ac:dyDescent="0.25">
      <c r="A550" s="517" t="s">
        <v>2123</v>
      </c>
      <c r="B550" s="467" t="s">
        <v>2124</v>
      </c>
      <c r="C550" s="749"/>
      <c r="D550" s="285">
        <f t="shared" si="120"/>
        <v>2</v>
      </c>
      <c r="E550" s="285">
        <f t="shared" si="120"/>
        <v>424</v>
      </c>
      <c r="F550" s="285">
        <f t="shared" si="120"/>
        <v>40</v>
      </c>
      <c r="G550" s="461"/>
    </row>
    <row r="551" spans="1:7" x14ac:dyDescent="0.25">
      <c r="A551" s="514" t="s">
        <v>1781</v>
      </c>
      <c r="B551" s="467" t="s">
        <v>2124</v>
      </c>
      <c r="C551" s="749">
        <v>200</v>
      </c>
      <c r="D551" s="285">
        <f t="shared" si="120"/>
        <v>2</v>
      </c>
      <c r="E551" s="285">
        <f t="shared" si="120"/>
        <v>424</v>
      </c>
      <c r="F551" s="285">
        <f t="shared" si="120"/>
        <v>40</v>
      </c>
      <c r="G551" s="461"/>
    </row>
    <row r="552" spans="1:7" x14ac:dyDescent="0.25">
      <c r="A552" s="514" t="s">
        <v>1273</v>
      </c>
      <c r="B552" s="467" t="s">
        <v>2124</v>
      </c>
      <c r="C552" s="749">
        <v>240</v>
      </c>
      <c r="D552" s="285">
        <f>'Функц. 2021-2023'!F249</f>
        <v>2</v>
      </c>
      <c r="E552" s="285">
        <f>'Функц. 2021-2023'!H249</f>
        <v>424</v>
      </c>
      <c r="F552" s="285">
        <f>'Функц. 2021-2023'!J249</f>
        <v>40</v>
      </c>
      <c r="G552" s="461"/>
    </row>
    <row r="553" spans="1:7" x14ac:dyDescent="0.25">
      <c r="A553" s="519" t="s">
        <v>2243</v>
      </c>
      <c r="B553" s="467" t="s">
        <v>2160</v>
      </c>
      <c r="C553" s="749"/>
      <c r="D553" s="285">
        <f t="shared" ref="D553:F555" si="121">D554</f>
        <v>761</v>
      </c>
      <c r="E553" s="285">
        <f t="shared" si="121"/>
        <v>0</v>
      </c>
      <c r="F553" s="285">
        <f t="shared" si="121"/>
        <v>0</v>
      </c>
      <c r="G553" s="461"/>
    </row>
    <row r="554" spans="1:7" x14ac:dyDescent="0.25">
      <c r="A554" s="519" t="s">
        <v>2261</v>
      </c>
      <c r="B554" s="467" t="s">
        <v>2159</v>
      </c>
      <c r="C554" s="749"/>
      <c r="D554" s="285">
        <f t="shared" si="121"/>
        <v>761</v>
      </c>
      <c r="E554" s="285">
        <f t="shared" si="121"/>
        <v>0</v>
      </c>
      <c r="F554" s="285">
        <f t="shared" si="121"/>
        <v>0</v>
      </c>
      <c r="G554" s="461"/>
    </row>
    <row r="555" spans="1:7" x14ac:dyDescent="0.25">
      <c r="A555" s="514" t="s">
        <v>1781</v>
      </c>
      <c r="B555" s="467" t="s">
        <v>2159</v>
      </c>
      <c r="C555" s="749">
        <v>200</v>
      </c>
      <c r="D555" s="285">
        <f t="shared" si="121"/>
        <v>761</v>
      </c>
      <c r="E555" s="285">
        <f t="shared" si="121"/>
        <v>0</v>
      </c>
      <c r="F555" s="285">
        <f t="shared" si="121"/>
        <v>0</v>
      </c>
      <c r="G555" s="461"/>
    </row>
    <row r="556" spans="1:7" x14ac:dyDescent="0.25">
      <c r="A556" s="514" t="s">
        <v>1273</v>
      </c>
      <c r="B556" s="467" t="s">
        <v>2159</v>
      </c>
      <c r="C556" s="749">
        <v>240</v>
      </c>
      <c r="D556" s="285">
        <f>'Функц. 2021-2023'!F253</f>
        <v>761</v>
      </c>
      <c r="E556" s="285">
        <f>'Функц. 2021-2023'!H253</f>
        <v>0</v>
      </c>
      <c r="F556" s="285">
        <f>'Функц. 2021-2023'!J253</f>
        <v>0</v>
      </c>
      <c r="G556" s="461"/>
    </row>
    <row r="557" spans="1:7" ht="31.5" x14ac:dyDescent="0.25">
      <c r="A557" s="782" t="s">
        <v>1949</v>
      </c>
      <c r="B557" s="500" t="s">
        <v>1950</v>
      </c>
      <c r="C557" s="759"/>
      <c r="D557" s="289">
        <f>D578+D558+D567</f>
        <v>92317.6</v>
      </c>
      <c r="E557" s="289">
        <f>E578+E558+E567</f>
        <v>28170.9</v>
      </c>
      <c r="F557" s="289">
        <f>F578+F558+F567</f>
        <v>30237.9</v>
      </c>
      <c r="G557" s="461"/>
    </row>
    <row r="558" spans="1:7" x14ac:dyDescent="0.25">
      <c r="A558" s="524" t="s">
        <v>1951</v>
      </c>
      <c r="B558" s="467" t="s">
        <v>1952</v>
      </c>
      <c r="C558" s="749"/>
      <c r="D558" s="285">
        <f t="shared" ref="D558:F559" si="122">D559</f>
        <v>115</v>
      </c>
      <c r="E558" s="285">
        <f t="shared" si="122"/>
        <v>124.9</v>
      </c>
      <c r="F558" s="285">
        <f t="shared" si="122"/>
        <v>124.9</v>
      </c>
      <c r="G558" s="461"/>
    </row>
    <row r="559" spans="1:7" ht="47.25" x14ac:dyDescent="0.25">
      <c r="A559" s="526" t="s">
        <v>2233</v>
      </c>
      <c r="B559" s="467" t="s">
        <v>2207</v>
      </c>
      <c r="C559" s="749"/>
      <c r="D559" s="285">
        <f t="shared" si="122"/>
        <v>115</v>
      </c>
      <c r="E559" s="285">
        <f t="shared" si="122"/>
        <v>124.9</v>
      </c>
      <c r="F559" s="285">
        <f t="shared" si="122"/>
        <v>124.9</v>
      </c>
      <c r="G559" s="461"/>
    </row>
    <row r="560" spans="1:7" ht="47.25" x14ac:dyDescent="0.25">
      <c r="A560" s="526" t="s">
        <v>1953</v>
      </c>
      <c r="B560" s="467" t="s">
        <v>2208</v>
      </c>
      <c r="C560" s="749"/>
      <c r="D560" s="285">
        <f>D561+D564</f>
        <v>115</v>
      </c>
      <c r="E560" s="285">
        <f>E561+E564</f>
        <v>124.9</v>
      </c>
      <c r="F560" s="285">
        <f>F561+F564</f>
        <v>124.9</v>
      </c>
      <c r="G560" s="461"/>
    </row>
    <row r="561" spans="1:7" ht="47.25" x14ac:dyDescent="0.25">
      <c r="A561" s="526" t="s">
        <v>2139</v>
      </c>
      <c r="B561" s="467" t="s">
        <v>2209</v>
      </c>
      <c r="C561" s="749"/>
      <c r="D561" s="285">
        <f t="shared" ref="D561:F562" si="123">D562</f>
        <v>0.1</v>
      </c>
      <c r="E561" s="285">
        <f t="shared" si="123"/>
        <v>10</v>
      </c>
      <c r="F561" s="285">
        <f t="shared" si="123"/>
        <v>10</v>
      </c>
      <c r="G561" s="461"/>
    </row>
    <row r="562" spans="1:7" x14ac:dyDescent="0.25">
      <c r="A562" s="514" t="s">
        <v>1781</v>
      </c>
      <c r="B562" s="467" t="s">
        <v>2209</v>
      </c>
      <c r="C562" s="749">
        <v>200</v>
      </c>
      <c r="D562" s="285">
        <f t="shared" si="123"/>
        <v>0.1</v>
      </c>
      <c r="E562" s="285">
        <f t="shared" si="123"/>
        <v>10</v>
      </c>
      <c r="F562" s="285">
        <f t="shared" si="123"/>
        <v>10</v>
      </c>
      <c r="G562" s="461"/>
    </row>
    <row r="563" spans="1:7" x14ac:dyDescent="0.25">
      <c r="A563" s="514" t="s">
        <v>1273</v>
      </c>
      <c r="B563" s="467" t="s">
        <v>2209</v>
      </c>
      <c r="C563" s="749">
        <v>240</v>
      </c>
      <c r="D563" s="285">
        <f>'Функц. 2021-2023'!F378</f>
        <v>0.1</v>
      </c>
      <c r="E563" s="285">
        <f>'Функц. 2021-2023'!H378</f>
        <v>10</v>
      </c>
      <c r="F563" s="285">
        <f>'Функц. 2021-2023'!J378</f>
        <v>10</v>
      </c>
      <c r="G563" s="461"/>
    </row>
    <row r="564" spans="1:7" ht="47.25" x14ac:dyDescent="0.25">
      <c r="A564" s="514" t="s">
        <v>2140</v>
      </c>
      <c r="B564" s="467" t="s">
        <v>2210</v>
      </c>
      <c r="C564" s="749"/>
      <c r="D564" s="285">
        <f t="shared" ref="D564:F565" si="124">D565</f>
        <v>114.9</v>
      </c>
      <c r="E564" s="285">
        <f t="shared" si="124"/>
        <v>114.9</v>
      </c>
      <c r="F564" s="285">
        <f t="shared" si="124"/>
        <v>114.9</v>
      </c>
      <c r="G564" s="461"/>
    </row>
    <row r="565" spans="1:7" x14ac:dyDescent="0.25">
      <c r="A565" s="514" t="s">
        <v>1781</v>
      </c>
      <c r="B565" s="467" t="s">
        <v>2210</v>
      </c>
      <c r="C565" s="749">
        <v>200</v>
      </c>
      <c r="D565" s="285">
        <f t="shared" si="124"/>
        <v>114.9</v>
      </c>
      <c r="E565" s="285">
        <f t="shared" si="124"/>
        <v>114.9</v>
      </c>
      <c r="F565" s="285">
        <f t="shared" si="124"/>
        <v>114.9</v>
      </c>
      <c r="G565" s="461"/>
    </row>
    <row r="566" spans="1:7" x14ac:dyDescent="0.25">
      <c r="A566" s="514" t="s">
        <v>1273</v>
      </c>
      <c r="B566" s="467" t="s">
        <v>2210</v>
      </c>
      <c r="C566" s="749">
        <v>240</v>
      </c>
      <c r="D566" s="285">
        <f>'Функц. 2021-2023'!F382</f>
        <v>114.9</v>
      </c>
      <c r="E566" s="285">
        <f>'Функц. 2021-2023'!H382</f>
        <v>114.9</v>
      </c>
      <c r="F566" s="285">
        <f>'Функц. 2021-2023'!J382</f>
        <v>114.9</v>
      </c>
      <c r="G566" s="461"/>
    </row>
    <row r="567" spans="1:7" x14ac:dyDescent="0.25">
      <c r="A567" s="524" t="s">
        <v>1955</v>
      </c>
      <c r="B567" s="467" t="s">
        <v>1956</v>
      </c>
      <c r="C567" s="749"/>
      <c r="D567" s="285">
        <f>D568</f>
        <v>31629.5</v>
      </c>
      <c r="E567" s="285">
        <f>E568</f>
        <v>7327.9</v>
      </c>
      <c r="F567" s="285">
        <f>F568</f>
        <v>9394.9</v>
      </c>
      <c r="G567" s="461"/>
    </row>
    <row r="568" spans="1:7" ht="31.5" x14ac:dyDescent="0.25">
      <c r="A568" s="526" t="s">
        <v>1954</v>
      </c>
      <c r="B568" s="467" t="s">
        <v>2211</v>
      </c>
      <c r="C568" s="751"/>
      <c r="D568" s="285">
        <f>D572+D575+D569</f>
        <v>31629.5</v>
      </c>
      <c r="E568" s="285">
        <f>E572+E575+E569</f>
        <v>7327.9</v>
      </c>
      <c r="F568" s="285">
        <f>F572+F575+F569</f>
        <v>9394.9</v>
      </c>
      <c r="G568" s="461"/>
    </row>
    <row r="569" spans="1:7" s="513" customFormat="1" ht="31.5" x14ac:dyDescent="0.25">
      <c r="A569" s="603" t="s">
        <v>2268</v>
      </c>
      <c r="B569" s="467" t="s">
        <v>2269</v>
      </c>
      <c r="C569" s="751"/>
      <c r="D569" s="285">
        <f t="shared" ref="D569:F570" si="125">D570</f>
        <v>1996.5000000000005</v>
      </c>
      <c r="E569" s="285">
        <f t="shared" si="125"/>
        <v>728.9</v>
      </c>
      <c r="F569" s="285">
        <f t="shared" si="125"/>
        <v>728.9</v>
      </c>
      <c r="G569" s="461"/>
    </row>
    <row r="570" spans="1:7" s="513" customFormat="1" x14ac:dyDescent="0.25">
      <c r="A570" s="519" t="s">
        <v>1781</v>
      </c>
      <c r="B570" s="467" t="s">
        <v>2269</v>
      </c>
      <c r="C570" s="749">
        <v>200</v>
      </c>
      <c r="D570" s="285">
        <f t="shared" si="125"/>
        <v>1996.5000000000005</v>
      </c>
      <c r="E570" s="285">
        <f t="shared" si="125"/>
        <v>728.9</v>
      </c>
      <c r="F570" s="285">
        <f t="shared" si="125"/>
        <v>728.9</v>
      </c>
      <c r="G570" s="461"/>
    </row>
    <row r="571" spans="1:7" s="513" customFormat="1" x14ac:dyDescent="0.25">
      <c r="A571" s="519" t="s">
        <v>1273</v>
      </c>
      <c r="B571" s="467" t="s">
        <v>2269</v>
      </c>
      <c r="C571" s="749">
        <v>240</v>
      </c>
      <c r="D571" s="285">
        <f>'Функц. 2021-2023'!F389</f>
        <v>1996.5000000000005</v>
      </c>
      <c r="E571" s="285">
        <f>'Функц. 2021-2023'!H389</f>
        <v>728.9</v>
      </c>
      <c r="F571" s="285">
        <f>'Функц. 2021-2023'!J389</f>
        <v>728.9</v>
      </c>
      <c r="G571" s="461"/>
    </row>
    <row r="572" spans="1:7" x14ac:dyDescent="0.25">
      <c r="A572" s="531" t="s">
        <v>2234</v>
      </c>
      <c r="B572" s="467" t="s">
        <v>2235</v>
      </c>
      <c r="C572" s="749"/>
      <c r="D572" s="285">
        <f t="shared" ref="D572:F573" si="126">D573</f>
        <v>4649</v>
      </c>
      <c r="E572" s="285">
        <f t="shared" si="126"/>
        <v>1000</v>
      </c>
      <c r="F572" s="285">
        <f t="shared" si="126"/>
        <v>1000</v>
      </c>
      <c r="G572" s="461"/>
    </row>
    <row r="573" spans="1:7" x14ac:dyDescent="0.25">
      <c r="A573" s="514" t="s">
        <v>1273</v>
      </c>
      <c r="B573" s="467" t="s">
        <v>2235</v>
      </c>
      <c r="C573" s="749">
        <v>200</v>
      </c>
      <c r="D573" s="285">
        <f t="shared" si="126"/>
        <v>4649</v>
      </c>
      <c r="E573" s="285">
        <f t="shared" si="126"/>
        <v>1000</v>
      </c>
      <c r="F573" s="285">
        <f t="shared" si="126"/>
        <v>1000</v>
      </c>
      <c r="G573" s="461"/>
    </row>
    <row r="574" spans="1:7" x14ac:dyDescent="0.25">
      <c r="A574" s="514" t="s">
        <v>1781</v>
      </c>
      <c r="B574" s="467" t="s">
        <v>2235</v>
      </c>
      <c r="C574" s="749">
        <v>240</v>
      </c>
      <c r="D574" s="285">
        <f>'Функц. 2021-2023'!F392</f>
        <v>4649</v>
      </c>
      <c r="E574" s="285">
        <f>'Функц. 2021-2023'!H392</f>
        <v>1000</v>
      </c>
      <c r="F574" s="285">
        <f>'Функц. 2021-2023'!J392</f>
        <v>1000</v>
      </c>
      <c r="G574" s="461"/>
    </row>
    <row r="575" spans="1:7" ht="31.5" x14ac:dyDescent="0.25">
      <c r="A575" s="526" t="s">
        <v>2147</v>
      </c>
      <c r="B575" s="467" t="s">
        <v>2212</v>
      </c>
      <c r="C575" s="749"/>
      <c r="D575" s="285">
        <f t="shared" ref="D575:F576" si="127">D576</f>
        <v>24984</v>
      </c>
      <c r="E575" s="285">
        <f t="shared" si="127"/>
        <v>5599</v>
      </c>
      <c r="F575" s="285">
        <f t="shared" si="127"/>
        <v>7666</v>
      </c>
      <c r="G575" s="461"/>
    </row>
    <row r="576" spans="1:7" x14ac:dyDescent="0.25">
      <c r="A576" s="514" t="s">
        <v>1781</v>
      </c>
      <c r="B576" s="467" t="s">
        <v>2212</v>
      </c>
      <c r="C576" s="749">
        <v>200</v>
      </c>
      <c r="D576" s="285">
        <f t="shared" si="127"/>
        <v>24984</v>
      </c>
      <c r="E576" s="285">
        <f t="shared" si="127"/>
        <v>5599</v>
      </c>
      <c r="F576" s="285">
        <f t="shared" si="127"/>
        <v>7666</v>
      </c>
      <c r="G576" s="461"/>
    </row>
    <row r="577" spans="1:7" x14ac:dyDescent="0.25">
      <c r="A577" s="514" t="s">
        <v>1273</v>
      </c>
      <c r="B577" s="467" t="s">
        <v>2212</v>
      </c>
      <c r="C577" s="749">
        <v>240</v>
      </c>
      <c r="D577" s="285">
        <f>'Функц. 2021-2023'!F395</f>
        <v>24984</v>
      </c>
      <c r="E577" s="285">
        <f>'Функц. 2021-2023'!H395</f>
        <v>5599</v>
      </c>
      <c r="F577" s="285">
        <f>'Функц. 2021-2023'!J395</f>
        <v>7666</v>
      </c>
      <c r="G577" s="461"/>
    </row>
    <row r="578" spans="1:7" x14ac:dyDescent="0.25">
      <c r="A578" s="524" t="s">
        <v>1160</v>
      </c>
      <c r="B578" s="467" t="s">
        <v>2213</v>
      </c>
      <c r="C578" s="751"/>
      <c r="D578" s="285">
        <f t="shared" ref="D578:F581" si="128">D579</f>
        <v>60573.1</v>
      </c>
      <c r="E578" s="285">
        <f t="shared" si="128"/>
        <v>20718.099999999999</v>
      </c>
      <c r="F578" s="285">
        <f t="shared" si="128"/>
        <v>20718.099999999999</v>
      </c>
      <c r="G578" s="461"/>
    </row>
    <row r="579" spans="1:7" ht="31.5" x14ac:dyDescent="0.25">
      <c r="A579" s="524" t="s">
        <v>1909</v>
      </c>
      <c r="B579" s="467" t="s">
        <v>2214</v>
      </c>
      <c r="C579" s="749"/>
      <c r="D579" s="285">
        <f t="shared" si="128"/>
        <v>60573.1</v>
      </c>
      <c r="E579" s="285">
        <f t="shared" si="128"/>
        <v>20718.099999999999</v>
      </c>
      <c r="F579" s="285">
        <f t="shared" si="128"/>
        <v>20718.099999999999</v>
      </c>
      <c r="G579" s="461"/>
    </row>
    <row r="580" spans="1:7" ht="31.5" x14ac:dyDescent="0.25">
      <c r="A580" s="525" t="s">
        <v>2138</v>
      </c>
      <c r="B580" s="467" t="s">
        <v>2215</v>
      </c>
      <c r="C580" s="749"/>
      <c r="D580" s="285">
        <f t="shared" si="128"/>
        <v>60573.1</v>
      </c>
      <c r="E580" s="285">
        <f t="shared" si="128"/>
        <v>20718.099999999999</v>
      </c>
      <c r="F580" s="285">
        <f t="shared" si="128"/>
        <v>20718.099999999999</v>
      </c>
      <c r="G580" s="461"/>
    </row>
    <row r="581" spans="1:7" ht="31.5" x14ac:dyDescent="0.25">
      <c r="A581" s="460" t="s">
        <v>1342</v>
      </c>
      <c r="B581" s="467" t="s">
        <v>2215</v>
      </c>
      <c r="C581" s="749">
        <v>600</v>
      </c>
      <c r="D581" s="285">
        <f t="shared" si="128"/>
        <v>60573.1</v>
      </c>
      <c r="E581" s="285">
        <f t="shared" si="128"/>
        <v>20718.099999999999</v>
      </c>
      <c r="F581" s="285">
        <f t="shared" si="128"/>
        <v>20718.099999999999</v>
      </c>
      <c r="G581" s="461"/>
    </row>
    <row r="582" spans="1:7" x14ac:dyDescent="0.25">
      <c r="A582" s="460" t="s">
        <v>1343</v>
      </c>
      <c r="B582" s="467" t="s">
        <v>2215</v>
      </c>
      <c r="C582" s="749">
        <v>610</v>
      </c>
      <c r="D582" s="285">
        <f>'Функц. 2021-2023'!F400</f>
        <v>60573.1</v>
      </c>
      <c r="E582" s="285">
        <f>'Функц. 2021-2023'!H400</f>
        <v>20718.099999999999</v>
      </c>
      <c r="F582" s="285">
        <f>'Функц. 2021-2023'!J400</f>
        <v>20718.099999999999</v>
      </c>
      <c r="G582" s="461"/>
    </row>
    <row r="583" spans="1:7" x14ac:dyDescent="0.25">
      <c r="A583" s="782" t="s">
        <v>1957</v>
      </c>
      <c r="B583" s="500" t="s">
        <v>1958</v>
      </c>
      <c r="C583" s="759"/>
      <c r="D583" s="289">
        <f>D593+D584</f>
        <v>41256.5</v>
      </c>
      <c r="E583" s="289">
        <f>E593+E584</f>
        <v>46768.4</v>
      </c>
      <c r="F583" s="289">
        <f>F593+F584</f>
        <v>27001</v>
      </c>
      <c r="G583" s="461"/>
    </row>
    <row r="584" spans="1:7" ht="63" x14ac:dyDescent="0.25">
      <c r="A584" s="524" t="s">
        <v>2436</v>
      </c>
      <c r="B584" s="467" t="s">
        <v>1959</v>
      </c>
      <c r="C584" s="749"/>
      <c r="D584" s="285">
        <f>D585+D589</f>
        <v>35622.800000000003</v>
      </c>
      <c r="E584" s="285">
        <f t="shared" ref="E584:F584" si="129">E585+E589</f>
        <v>26307</v>
      </c>
      <c r="F584" s="285">
        <f t="shared" si="129"/>
        <v>26307</v>
      </c>
      <c r="G584" s="461"/>
    </row>
    <row r="585" spans="1:7" ht="31.5" x14ac:dyDescent="0.25">
      <c r="A585" s="524" t="s">
        <v>1960</v>
      </c>
      <c r="B585" s="467" t="s">
        <v>1961</v>
      </c>
      <c r="C585" s="749"/>
      <c r="D585" s="285">
        <f t="shared" ref="D585:F585" si="130">D586</f>
        <v>35401.800000000003</v>
      </c>
      <c r="E585" s="285">
        <f t="shared" si="130"/>
        <v>26307</v>
      </c>
      <c r="F585" s="285">
        <f t="shared" si="130"/>
        <v>26307</v>
      </c>
      <c r="G585" s="461"/>
    </row>
    <row r="586" spans="1:7" ht="31.5" x14ac:dyDescent="0.25">
      <c r="A586" s="526" t="s">
        <v>1962</v>
      </c>
      <c r="B586" s="467" t="s">
        <v>1963</v>
      </c>
      <c r="C586" s="771"/>
      <c r="D586" s="285">
        <f t="shared" ref="D586:F587" si="131">D587</f>
        <v>35401.800000000003</v>
      </c>
      <c r="E586" s="285">
        <f t="shared" si="131"/>
        <v>26307</v>
      </c>
      <c r="F586" s="285">
        <f t="shared" si="131"/>
        <v>26307</v>
      </c>
      <c r="G586" s="461"/>
    </row>
    <row r="587" spans="1:7" ht="31.5" x14ac:dyDescent="0.25">
      <c r="A587" s="514" t="s">
        <v>1342</v>
      </c>
      <c r="B587" s="467" t="s">
        <v>1963</v>
      </c>
      <c r="C587" s="749">
        <v>600</v>
      </c>
      <c r="D587" s="285">
        <f t="shared" si="131"/>
        <v>35401.800000000003</v>
      </c>
      <c r="E587" s="285">
        <f t="shared" si="131"/>
        <v>26307</v>
      </c>
      <c r="F587" s="285">
        <f t="shared" si="131"/>
        <v>26307</v>
      </c>
      <c r="G587" s="461"/>
    </row>
    <row r="588" spans="1:7" x14ac:dyDescent="0.25">
      <c r="A588" s="514" t="s">
        <v>1343</v>
      </c>
      <c r="B588" s="467" t="s">
        <v>1963</v>
      </c>
      <c r="C588" s="749">
        <v>610</v>
      </c>
      <c r="D588" s="285">
        <f>'Функц. 2021-2023'!F259</f>
        <v>35401.800000000003</v>
      </c>
      <c r="E588" s="285">
        <f>'Функц. 2021-2023'!H259</f>
        <v>26307</v>
      </c>
      <c r="F588" s="285">
        <f>'Функц. 2021-2023'!J259</f>
        <v>26307</v>
      </c>
      <c r="G588" s="461"/>
    </row>
    <row r="589" spans="1:7" s="513" customFormat="1" ht="47.25" x14ac:dyDescent="0.25">
      <c r="A589" s="519" t="s">
        <v>2421</v>
      </c>
      <c r="B589" s="442" t="s">
        <v>2422</v>
      </c>
      <c r="C589" s="238"/>
      <c r="D589" s="285">
        <f>D590</f>
        <v>221</v>
      </c>
      <c r="E589" s="285">
        <f t="shared" ref="E589:F589" si="132">E590</f>
        <v>0</v>
      </c>
      <c r="F589" s="285">
        <f t="shared" si="132"/>
        <v>0</v>
      </c>
      <c r="G589" s="461"/>
    </row>
    <row r="590" spans="1:7" s="513" customFormat="1" ht="78.75" x14ac:dyDescent="0.25">
      <c r="A590" s="519" t="s">
        <v>2439</v>
      </c>
      <c r="B590" s="442" t="s">
        <v>2423</v>
      </c>
      <c r="C590" s="238"/>
      <c r="D590" s="285">
        <f>D591</f>
        <v>221</v>
      </c>
      <c r="E590" s="285">
        <f t="shared" ref="E590:F590" si="133">E591</f>
        <v>0</v>
      </c>
      <c r="F590" s="285">
        <f t="shared" si="133"/>
        <v>0</v>
      </c>
      <c r="G590" s="461"/>
    </row>
    <row r="591" spans="1:7" s="513" customFormat="1" ht="31.5" x14ac:dyDescent="0.25">
      <c r="A591" s="519" t="s">
        <v>1342</v>
      </c>
      <c r="B591" s="442" t="s">
        <v>2423</v>
      </c>
      <c r="C591" s="238">
        <v>600</v>
      </c>
      <c r="D591" s="285">
        <f>D592</f>
        <v>221</v>
      </c>
      <c r="E591" s="285">
        <f t="shared" ref="E591:F591" si="134">E592</f>
        <v>0</v>
      </c>
      <c r="F591" s="285">
        <f t="shared" si="134"/>
        <v>0</v>
      </c>
      <c r="G591" s="461"/>
    </row>
    <row r="592" spans="1:7" s="513" customFormat="1" x14ac:dyDescent="0.25">
      <c r="A592" s="519" t="s">
        <v>1343</v>
      </c>
      <c r="B592" s="442" t="s">
        <v>2423</v>
      </c>
      <c r="C592" s="238">
        <v>610</v>
      </c>
      <c r="D592" s="285">
        <f>'Функц. 2021-2023'!F263</f>
        <v>221</v>
      </c>
      <c r="E592" s="285">
        <v>0</v>
      </c>
      <c r="F592" s="285">
        <v>0</v>
      </c>
      <c r="G592" s="461"/>
    </row>
    <row r="593" spans="1:7" ht="31.5" x14ac:dyDescent="0.25">
      <c r="A593" s="524" t="s">
        <v>1964</v>
      </c>
      <c r="B593" s="467" t="s">
        <v>1965</v>
      </c>
      <c r="C593" s="765"/>
      <c r="D593" s="285">
        <f>D606+D610+D594+D602+D598</f>
        <v>5633.7</v>
      </c>
      <c r="E593" s="285">
        <f>E606+E610+E594+E602+E598</f>
        <v>20461.400000000001</v>
      </c>
      <c r="F593" s="285">
        <f>F606+F610+F594+F602+F598</f>
        <v>694</v>
      </c>
      <c r="G593" s="461"/>
    </row>
    <row r="594" spans="1:7" s="513" customFormat="1" x14ac:dyDescent="0.25">
      <c r="A594" s="548" t="s">
        <v>2352</v>
      </c>
      <c r="B594" s="467" t="s">
        <v>2353</v>
      </c>
      <c r="C594" s="765"/>
      <c r="D594" s="285">
        <f t="shared" ref="D594:F596" si="135">D595</f>
        <v>1550</v>
      </c>
      <c r="E594" s="285">
        <f t="shared" si="135"/>
        <v>0</v>
      </c>
      <c r="F594" s="285">
        <f t="shared" si="135"/>
        <v>0</v>
      </c>
      <c r="G594" s="461"/>
    </row>
    <row r="595" spans="1:7" s="513" customFormat="1" x14ac:dyDescent="0.25">
      <c r="A595" s="531" t="s">
        <v>2354</v>
      </c>
      <c r="B595" s="467" t="s">
        <v>2355</v>
      </c>
      <c r="C595" s="772"/>
      <c r="D595" s="285">
        <f t="shared" si="135"/>
        <v>1550</v>
      </c>
      <c r="E595" s="285">
        <f t="shared" si="135"/>
        <v>0</v>
      </c>
      <c r="F595" s="285">
        <f t="shared" si="135"/>
        <v>0</v>
      </c>
      <c r="G595" s="461"/>
    </row>
    <row r="596" spans="1:7" s="513" customFormat="1" x14ac:dyDescent="0.25">
      <c r="A596" s="519" t="s">
        <v>1781</v>
      </c>
      <c r="B596" s="467" t="s">
        <v>2355</v>
      </c>
      <c r="C596" s="749">
        <v>200</v>
      </c>
      <c r="D596" s="285">
        <f t="shared" si="135"/>
        <v>1550</v>
      </c>
      <c r="E596" s="285">
        <f t="shared" si="135"/>
        <v>0</v>
      </c>
      <c r="F596" s="285">
        <f t="shared" si="135"/>
        <v>0</v>
      </c>
      <c r="G596" s="461"/>
    </row>
    <row r="597" spans="1:7" s="513" customFormat="1" x14ac:dyDescent="0.25">
      <c r="A597" s="519" t="s">
        <v>1273</v>
      </c>
      <c r="B597" s="467" t="s">
        <v>2355</v>
      </c>
      <c r="C597" s="749">
        <v>240</v>
      </c>
      <c r="D597" s="285">
        <f>'Функц. 2021-2023'!F423</f>
        <v>1550</v>
      </c>
      <c r="E597" s="285">
        <f>'Функц. 2021-2023'!H423</f>
        <v>0</v>
      </c>
      <c r="F597" s="285">
        <f>'Функц. 2021-2023'!J423</f>
        <v>0</v>
      </c>
      <c r="G597" s="461"/>
    </row>
    <row r="598" spans="1:7" s="513" customFormat="1" x14ac:dyDescent="0.25">
      <c r="A598" s="548" t="s">
        <v>2403</v>
      </c>
      <c r="B598" s="467" t="s">
        <v>2404</v>
      </c>
      <c r="C598" s="749"/>
      <c r="D598" s="285">
        <f t="shared" ref="D598:F600" si="136">D599</f>
        <v>110</v>
      </c>
      <c r="E598" s="285">
        <f t="shared" si="136"/>
        <v>0</v>
      </c>
      <c r="F598" s="285">
        <f t="shared" si="136"/>
        <v>0</v>
      </c>
      <c r="G598" s="461"/>
    </row>
    <row r="599" spans="1:7" s="513" customFormat="1" x14ac:dyDescent="0.25">
      <c r="A599" s="531" t="s">
        <v>2405</v>
      </c>
      <c r="B599" s="467" t="s">
        <v>2406</v>
      </c>
      <c r="C599" s="749"/>
      <c r="D599" s="285">
        <f t="shared" si="136"/>
        <v>110</v>
      </c>
      <c r="E599" s="285">
        <f t="shared" si="136"/>
        <v>0</v>
      </c>
      <c r="F599" s="285">
        <f t="shared" si="136"/>
        <v>0</v>
      </c>
      <c r="G599" s="461"/>
    </row>
    <row r="600" spans="1:7" s="513" customFormat="1" x14ac:dyDescent="0.25">
      <c r="A600" s="519" t="s">
        <v>1781</v>
      </c>
      <c r="B600" s="467" t="s">
        <v>2406</v>
      </c>
      <c r="C600" s="749">
        <v>200</v>
      </c>
      <c r="D600" s="285">
        <f t="shared" si="136"/>
        <v>110</v>
      </c>
      <c r="E600" s="285">
        <f t="shared" si="136"/>
        <v>0</v>
      </c>
      <c r="F600" s="285">
        <f t="shared" si="136"/>
        <v>0</v>
      </c>
      <c r="G600" s="461"/>
    </row>
    <row r="601" spans="1:7" s="513" customFormat="1" x14ac:dyDescent="0.25">
      <c r="A601" s="519" t="s">
        <v>1273</v>
      </c>
      <c r="B601" s="467" t="s">
        <v>2406</v>
      </c>
      <c r="C601" s="749">
        <v>240</v>
      </c>
      <c r="D601" s="285">
        <f>'Функц. 2021-2023'!F427</f>
        <v>110</v>
      </c>
      <c r="E601" s="285">
        <f>'Функц. 2021-2023'!H427</f>
        <v>0</v>
      </c>
      <c r="F601" s="285">
        <f>'Функц. 2021-2023'!J427</f>
        <v>0</v>
      </c>
      <c r="G601" s="461"/>
    </row>
    <row r="602" spans="1:7" s="513" customFormat="1" x14ac:dyDescent="0.25">
      <c r="A602" s="548" t="s">
        <v>2358</v>
      </c>
      <c r="B602" s="467" t="s">
        <v>2359</v>
      </c>
      <c r="C602" s="749"/>
      <c r="D602" s="285">
        <f t="shared" ref="D602:F604" si="137">D603</f>
        <v>297</v>
      </c>
      <c r="E602" s="285">
        <f t="shared" si="137"/>
        <v>0</v>
      </c>
      <c r="F602" s="285">
        <f t="shared" si="137"/>
        <v>0</v>
      </c>
      <c r="G602" s="461"/>
    </row>
    <row r="603" spans="1:7" s="513" customFormat="1" x14ac:dyDescent="0.25">
      <c r="A603" s="531" t="s">
        <v>2360</v>
      </c>
      <c r="B603" s="467" t="s">
        <v>2361</v>
      </c>
      <c r="C603" s="749"/>
      <c r="D603" s="285">
        <f t="shared" si="137"/>
        <v>297</v>
      </c>
      <c r="E603" s="285">
        <f t="shared" si="137"/>
        <v>0</v>
      </c>
      <c r="F603" s="285">
        <f t="shared" si="137"/>
        <v>0</v>
      </c>
      <c r="G603" s="461"/>
    </row>
    <row r="604" spans="1:7" s="513" customFormat="1" x14ac:dyDescent="0.25">
      <c r="A604" s="519" t="s">
        <v>1781</v>
      </c>
      <c r="B604" s="467" t="s">
        <v>2361</v>
      </c>
      <c r="C604" s="749">
        <v>200</v>
      </c>
      <c r="D604" s="285">
        <f t="shared" si="137"/>
        <v>297</v>
      </c>
      <c r="E604" s="285">
        <f t="shared" si="137"/>
        <v>0</v>
      </c>
      <c r="F604" s="285">
        <f t="shared" si="137"/>
        <v>0</v>
      </c>
      <c r="G604" s="461"/>
    </row>
    <row r="605" spans="1:7" s="513" customFormat="1" x14ac:dyDescent="0.25">
      <c r="A605" s="519" t="s">
        <v>1273</v>
      </c>
      <c r="B605" s="467" t="s">
        <v>2361</v>
      </c>
      <c r="C605" s="749">
        <v>240</v>
      </c>
      <c r="D605" s="285">
        <f>'Функц. 2021-2023'!F431</f>
        <v>297</v>
      </c>
      <c r="E605" s="285">
        <f>'Функц. 2021-2023'!H431</f>
        <v>0</v>
      </c>
      <c r="F605" s="285">
        <f>'Функц. 2021-2023'!J431</f>
        <v>0</v>
      </c>
      <c r="G605" s="461"/>
    </row>
    <row r="606" spans="1:7" x14ac:dyDescent="0.25">
      <c r="A606" s="524" t="s">
        <v>2148</v>
      </c>
      <c r="B606" s="467" t="s">
        <v>2149</v>
      </c>
      <c r="C606" s="769"/>
      <c r="D606" s="285">
        <f>D607</f>
        <v>694</v>
      </c>
      <c r="E606" s="285">
        <f>E607</f>
        <v>693</v>
      </c>
      <c r="F606" s="285">
        <f>F607</f>
        <v>694</v>
      </c>
      <c r="G606" s="461"/>
    </row>
    <row r="607" spans="1:7" ht="63" x14ac:dyDescent="0.25">
      <c r="A607" s="525" t="s">
        <v>2414</v>
      </c>
      <c r="B607" s="467" t="s">
        <v>2150</v>
      </c>
      <c r="C607" s="769"/>
      <c r="D607" s="285">
        <f t="shared" ref="D607:F608" si="138">D608</f>
        <v>694</v>
      </c>
      <c r="E607" s="285">
        <f t="shared" si="138"/>
        <v>693</v>
      </c>
      <c r="F607" s="285">
        <f t="shared" si="138"/>
        <v>694</v>
      </c>
      <c r="G607" s="461"/>
    </row>
    <row r="608" spans="1:7" ht="31.5" x14ac:dyDescent="0.25">
      <c r="A608" s="514" t="s">
        <v>1342</v>
      </c>
      <c r="B608" s="467" t="s">
        <v>2150</v>
      </c>
      <c r="C608" s="769">
        <v>600</v>
      </c>
      <c r="D608" s="285">
        <f t="shared" si="138"/>
        <v>694</v>
      </c>
      <c r="E608" s="285">
        <f t="shared" si="138"/>
        <v>693</v>
      </c>
      <c r="F608" s="285">
        <f t="shared" si="138"/>
        <v>694</v>
      </c>
      <c r="G608" s="461"/>
    </row>
    <row r="609" spans="1:7" x14ac:dyDescent="0.25">
      <c r="A609" s="514" t="s">
        <v>1343</v>
      </c>
      <c r="B609" s="467" t="s">
        <v>2150</v>
      </c>
      <c r="C609" s="769">
        <v>610</v>
      </c>
      <c r="D609" s="285">
        <f>'Функц. 2021-2023'!F435</f>
        <v>694</v>
      </c>
      <c r="E609" s="285">
        <f>'Функц. 2021-2023'!H435</f>
        <v>693</v>
      </c>
      <c r="F609" s="285">
        <f>'Функц. 2021-2023'!J435</f>
        <v>694</v>
      </c>
      <c r="G609" s="461"/>
    </row>
    <row r="610" spans="1:7" x14ac:dyDescent="0.25">
      <c r="A610" s="519" t="s">
        <v>2222</v>
      </c>
      <c r="B610" s="467" t="s">
        <v>2223</v>
      </c>
      <c r="C610" s="751"/>
      <c r="D610" s="285">
        <f>D611+D614+D617+D620</f>
        <v>2982.7</v>
      </c>
      <c r="E610" s="285">
        <f t="shared" ref="E610:F610" si="139">E611+E614+E617+E620</f>
        <v>19768.400000000001</v>
      </c>
      <c r="F610" s="285">
        <f t="shared" si="139"/>
        <v>0</v>
      </c>
      <c r="G610" s="461"/>
    </row>
    <row r="611" spans="1:7" ht="63" x14ac:dyDescent="0.25">
      <c r="A611" s="523" t="s">
        <v>2347</v>
      </c>
      <c r="B611" s="467" t="s">
        <v>2348</v>
      </c>
      <c r="C611" s="751"/>
      <c r="D611" s="285">
        <f t="shared" ref="D611:F612" si="140">D612</f>
        <v>2907.7</v>
      </c>
      <c r="E611" s="285">
        <f t="shared" si="140"/>
        <v>15783.4</v>
      </c>
      <c r="F611" s="285">
        <f t="shared" si="140"/>
        <v>0</v>
      </c>
      <c r="G611" s="461"/>
    </row>
    <row r="612" spans="1:7" x14ac:dyDescent="0.25">
      <c r="A612" s="519" t="s">
        <v>1781</v>
      </c>
      <c r="B612" s="467" t="s">
        <v>2348</v>
      </c>
      <c r="C612" s="749">
        <v>200</v>
      </c>
      <c r="D612" s="285">
        <f t="shared" si="140"/>
        <v>2907.7</v>
      </c>
      <c r="E612" s="285">
        <f t="shared" si="140"/>
        <v>15783.4</v>
      </c>
      <c r="F612" s="285">
        <f t="shared" si="140"/>
        <v>0</v>
      </c>
      <c r="G612" s="461"/>
    </row>
    <row r="613" spans="1:7" x14ac:dyDescent="0.25">
      <c r="A613" s="519" t="s">
        <v>1273</v>
      </c>
      <c r="B613" s="467" t="s">
        <v>2348</v>
      </c>
      <c r="C613" s="749">
        <v>240</v>
      </c>
      <c r="D613" s="285">
        <f>'Функц. 2021-2023'!F837</f>
        <v>2907.7</v>
      </c>
      <c r="E613" s="285">
        <f>'Функц. 2021-2023'!H837</f>
        <v>15783.4</v>
      </c>
      <c r="F613" s="285">
        <f>'Функц. 2021-2023'!J837</f>
        <v>0</v>
      </c>
      <c r="G613" s="461"/>
    </row>
    <row r="614" spans="1:7" ht="94.5" x14ac:dyDescent="0.25">
      <c r="A614" s="519" t="s">
        <v>2349</v>
      </c>
      <c r="B614" s="467" t="s">
        <v>2350</v>
      </c>
      <c r="C614" s="751"/>
      <c r="D614" s="285">
        <f t="shared" ref="D614:F615" si="141">D615</f>
        <v>0</v>
      </c>
      <c r="E614" s="285">
        <f t="shared" si="141"/>
        <v>492</v>
      </c>
      <c r="F614" s="285">
        <f t="shared" si="141"/>
        <v>0</v>
      </c>
      <c r="G614" s="461"/>
    </row>
    <row r="615" spans="1:7" ht="31.5" x14ac:dyDescent="0.25">
      <c r="A615" s="519" t="s">
        <v>1342</v>
      </c>
      <c r="B615" s="467" t="s">
        <v>2350</v>
      </c>
      <c r="C615" s="751">
        <v>600</v>
      </c>
      <c r="D615" s="285">
        <f t="shared" si="141"/>
        <v>0</v>
      </c>
      <c r="E615" s="285">
        <f t="shared" si="141"/>
        <v>492</v>
      </c>
      <c r="F615" s="285">
        <f t="shared" si="141"/>
        <v>0</v>
      </c>
      <c r="G615" s="461"/>
    </row>
    <row r="616" spans="1:7" x14ac:dyDescent="0.25">
      <c r="A616" s="519" t="s">
        <v>1343</v>
      </c>
      <c r="B616" s="467" t="s">
        <v>2350</v>
      </c>
      <c r="C616" s="751">
        <v>610</v>
      </c>
      <c r="D616" s="285">
        <f>'Функц. 2021-2023'!F840</f>
        <v>0</v>
      </c>
      <c r="E616" s="285">
        <f>'Функц. 2021-2023'!H840</f>
        <v>492</v>
      </c>
      <c r="F616" s="285">
        <f>'Функц. 2021-2023'!J840</f>
        <v>0</v>
      </c>
      <c r="G616" s="461"/>
    </row>
    <row r="617" spans="1:7" ht="31.5" x14ac:dyDescent="0.25">
      <c r="A617" s="519" t="s">
        <v>2224</v>
      </c>
      <c r="B617" s="467" t="s">
        <v>2225</v>
      </c>
      <c r="C617" s="751"/>
      <c r="D617" s="285">
        <f t="shared" ref="D617:F618" si="142">D618</f>
        <v>0</v>
      </c>
      <c r="E617" s="285">
        <f t="shared" si="142"/>
        <v>3493</v>
      </c>
      <c r="F617" s="285">
        <f t="shared" si="142"/>
        <v>0</v>
      </c>
      <c r="G617" s="461"/>
    </row>
    <row r="618" spans="1:7" ht="31.5" x14ac:dyDescent="0.25">
      <c r="A618" s="519" t="s">
        <v>1342</v>
      </c>
      <c r="B618" s="467" t="s">
        <v>2225</v>
      </c>
      <c r="C618" s="751">
        <v>600</v>
      </c>
      <c r="D618" s="285">
        <f t="shared" si="142"/>
        <v>0</v>
      </c>
      <c r="E618" s="285">
        <f t="shared" si="142"/>
        <v>3493</v>
      </c>
      <c r="F618" s="285">
        <f t="shared" si="142"/>
        <v>0</v>
      </c>
      <c r="G618" s="461"/>
    </row>
    <row r="619" spans="1:7" x14ac:dyDescent="0.25">
      <c r="A619" s="519" t="s">
        <v>1343</v>
      </c>
      <c r="B619" s="467" t="s">
        <v>2225</v>
      </c>
      <c r="C619" s="751">
        <v>610</v>
      </c>
      <c r="D619" s="285">
        <f>'Функц. 2021-2023'!F843</f>
        <v>0</v>
      </c>
      <c r="E619" s="285">
        <f>'Функц. 2021-2023'!H843</f>
        <v>3493</v>
      </c>
      <c r="F619" s="285">
        <f>'Функц. 2021-2023'!J843</f>
        <v>0</v>
      </c>
      <c r="G619" s="461"/>
    </row>
    <row r="620" spans="1:7" s="513" customFormat="1" ht="78.75" x14ac:dyDescent="0.25">
      <c r="A620" s="519" t="s">
        <v>2443</v>
      </c>
      <c r="B620" s="442" t="s">
        <v>2442</v>
      </c>
      <c r="C620" s="576"/>
      <c r="D620" s="285">
        <f>D621</f>
        <v>75</v>
      </c>
      <c r="E620" s="285">
        <f t="shared" ref="E620:F621" si="143">E621</f>
        <v>0</v>
      </c>
      <c r="F620" s="285">
        <f t="shared" si="143"/>
        <v>0</v>
      </c>
      <c r="G620" s="461"/>
    </row>
    <row r="621" spans="1:7" s="513" customFormat="1" x14ac:dyDescent="0.25">
      <c r="A621" s="519" t="s">
        <v>1781</v>
      </c>
      <c r="B621" s="442" t="s">
        <v>2442</v>
      </c>
      <c r="C621" s="576">
        <v>200</v>
      </c>
      <c r="D621" s="285">
        <f>D622</f>
        <v>75</v>
      </c>
      <c r="E621" s="285">
        <f t="shared" si="143"/>
        <v>0</v>
      </c>
      <c r="F621" s="285">
        <f t="shared" si="143"/>
        <v>0</v>
      </c>
      <c r="G621" s="461"/>
    </row>
    <row r="622" spans="1:7" s="513" customFormat="1" x14ac:dyDescent="0.25">
      <c r="A622" s="519" t="s">
        <v>1273</v>
      </c>
      <c r="B622" s="442" t="s">
        <v>2442</v>
      </c>
      <c r="C622" s="576">
        <v>240</v>
      </c>
      <c r="D622" s="285">
        <f>'Функц. 2021-2023'!F846</f>
        <v>75</v>
      </c>
      <c r="E622" s="285">
        <f>'Функц. 2021-2023'!H846</f>
        <v>0</v>
      </c>
      <c r="F622" s="285">
        <f>'ведом. 2021-2023'!AF874</f>
        <v>0</v>
      </c>
      <c r="G622" s="461"/>
    </row>
    <row r="623" spans="1:7" x14ac:dyDescent="0.25">
      <c r="A623" s="776" t="s">
        <v>1988</v>
      </c>
      <c r="B623" s="500" t="s">
        <v>1989</v>
      </c>
      <c r="C623" s="759"/>
      <c r="D623" s="289">
        <f>D624+D629</f>
        <v>9859.6</v>
      </c>
      <c r="E623" s="289">
        <f>E624+E629</f>
        <v>9764.6</v>
      </c>
      <c r="F623" s="289">
        <f>F624+F629</f>
        <v>9764.6</v>
      </c>
      <c r="G623" s="461"/>
    </row>
    <row r="624" spans="1:7" x14ac:dyDescent="0.25">
      <c r="A624" s="517" t="s">
        <v>2368</v>
      </c>
      <c r="B624" s="467" t="s">
        <v>1990</v>
      </c>
      <c r="C624" s="751"/>
      <c r="D624" s="285">
        <f>D625</f>
        <v>239</v>
      </c>
      <c r="E624" s="285">
        <f>E625</f>
        <v>239</v>
      </c>
      <c r="F624" s="285">
        <f>F625</f>
        <v>239</v>
      </c>
      <c r="G624" s="461"/>
    </row>
    <row r="625" spans="1:7" ht="47.25" x14ac:dyDescent="0.25">
      <c r="A625" s="517" t="s">
        <v>2369</v>
      </c>
      <c r="B625" s="467" t="s">
        <v>2173</v>
      </c>
      <c r="C625" s="749"/>
      <c r="D625" s="285">
        <f t="shared" ref="D625:F627" si="144">D626</f>
        <v>239</v>
      </c>
      <c r="E625" s="285">
        <f t="shared" si="144"/>
        <v>239</v>
      </c>
      <c r="F625" s="285">
        <f t="shared" si="144"/>
        <v>239</v>
      </c>
      <c r="G625" s="461"/>
    </row>
    <row r="626" spans="1:7" ht="110.25" x14ac:dyDescent="0.25">
      <c r="A626" s="517" t="s">
        <v>2175</v>
      </c>
      <c r="B626" s="467" t="s">
        <v>2174</v>
      </c>
      <c r="C626" s="749"/>
      <c r="D626" s="285">
        <f t="shared" si="144"/>
        <v>239</v>
      </c>
      <c r="E626" s="285">
        <f t="shared" si="144"/>
        <v>239</v>
      </c>
      <c r="F626" s="285">
        <f t="shared" si="144"/>
        <v>239</v>
      </c>
      <c r="G626" s="461"/>
    </row>
    <row r="627" spans="1:7" ht="47.25" x14ac:dyDescent="0.25">
      <c r="A627" s="514" t="s">
        <v>921</v>
      </c>
      <c r="B627" s="467" t="s">
        <v>2174</v>
      </c>
      <c r="C627" s="749">
        <v>100</v>
      </c>
      <c r="D627" s="285">
        <f t="shared" si="144"/>
        <v>239</v>
      </c>
      <c r="E627" s="285">
        <f t="shared" si="144"/>
        <v>239</v>
      </c>
      <c r="F627" s="285">
        <f t="shared" si="144"/>
        <v>239</v>
      </c>
      <c r="G627" s="461"/>
    </row>
    <row r="628" spans="1:7" x14ac:dyDescent="0.25">
      <c r="A628" s="514" t="s">
        <v>1747</v>
      </c>
      <c r="B628" s="467" t="s">
        <v>2174</v>
      </c>
      <c r="C628" s="749">
        <v>120</v>
      </c>
      <c r="D628" s="285">
        <f>'Функц. 2021-2023'!F617</f>
        <v>239</v>
      </c>
      <c r="E628" s="285">
        <f>'Функц. 2021-2023'!H617</f>
        <v>239</v>
      </c>
      <c r="F628" s="285">
        <f>'Функц. 2021-2023'!J617</f>
        <v>239</v>
      </c>
      <c r="G628" s="461"/>
    </row>
    <row r="629" spans="1:7" x14ac:dyDescent="0.25">
      <c r="A629" s="517" t="s">
        <v>1160</v>
      </c>
      <c r="B629" s="467" t="s">
        <v>2200</v>
      </c>
      <c r="C629" s="749"/>
      <c r="D629" s="285">
        <f t="shared" ref="D629:F630" si="145">D630</f>
        <v>9620.6</v>
      </c>
      <c r="E629" s="285">
        <f t="shared" si="145"/>
        <v>9525.6</v>
      </c>
      <c r="F629" s="285">
        <f t="shared" si="145"/>
        <v>9525.6</v>
      </c>
      <c r="G629" s="461"/>
    </row>
    <row r="630" spans="1:7" ht="31.5" x14ac:dyDescent="0.25">
      <c r="A630" s="517" t="s">
        <v>1909</v>
      </c>
      <c r="B630" s="467" t="s">
        <v>2199</v>
      </c>
      <c r="C630" s="749"/>
      <c r="D630" s="285">
        <f t="shared" si="145"/>
        <v>9620.6</v>
      </c>
      <c r="E630" s="285">
        <f t="shared" si="145"/>
        <v>9525.6</v>
      </c>
      <c r="F630" s="285">
        <f t="shared" si="145"/>
        <v>9525.6</v>
      </c>
      <c r="G630" s="461"/>
    </row>
    <row r="631" spans="1:7" x14ac:dyDescent="0.25">
      <c r="A631" s="514" t="s">
        <v>1923</v>
      </c>
      <c r="B631" s="467" t="s">
        <v>2198</v>
      </c>
      <c r="C631" s="749"/>
      <c r="D631" s="285">
        <f>D632+D637+D640</f>
        <v>9620.6</v>
      </c>
      <c r="E631" s="285">
        <f>E632+E637+E640</f>
        <v>9525.6</v>
      </c>
      <c r="F631" s="285">
        <f>F632+F637+F640</f>
        <v>9525.6</v>
      </c>
      <c r="G631" s="461"/>
    </row>
    <row r="632" spans="1:7" ht="31.5" x14ac:dyDescent="0.25">
      <c r="A632" s="514" t="s">
        <v>1924</v>
      </c>
      <c r="B632" s="467" t="s">
        <v>2197</v>
      </c>
      <c r="C632" s="749"/>
      <c r="D632" s="285">
        <f>D633+D635</f>
        <v>1220.4000000000003</v>
      </c>
      <c r="E632" s="285">
        <f>E633+E635</f>
        <v>1125.4000000000001</v>
      </c>
      <c r="F632" s="285">
        <f>F633+F635</f>
        <v>1125.4000000000001</v>
      </c>
      <c r="G632" s="461"/>
    </row>
    <row r="633" spans="1:7" x14ac:dyDescent="0.25">
      <c r="A633" s="514" t="s">
        <v>1781</v>
      </c>
      <c r="B633" s="467" t="s">
        <v>2197</v>
      </c>
      <c r="C633" s="749">
        <v>200</v>
      </c>
      <c r="D633" s="285">
        <f>D634</f>
        <v>1195.7000000000003</v>
      </c>
      <c r="E633" s="285">
        <f>E634</f>
        <v>1125.4000000000001</v>
      </c>
      <c r="F633" s="285">
        <f>F634</f>
        <v>1125.4000000000001</v>
      </c>
      <c r="G633" s="461"/>
    </row>
    <row r="634" spans="1:7" x14ac:dyDescent="0.25">
      <c r="A634" s="514" t="s">
        <v>1273</v>
      </c>
      <c r="B634" s="467" t="s">
        <v>2197</v>
      </c>
      <c r="C634" s="749">
        <v>240</v>
      </c>
      <c r="D634" s="285">
        <f>'Функц. 2021-2023'!F623</f>
        <v>1195.7000000000003</v>
      </c>
      <c r="E634" s="285">
        <f>'Функц. 2021-2023'!H623</f>
        <v>1125.4000000000001</v>
      </c>
      <c r="F634" s="285">
        <f>'Функц. 2021-2023'!J623</f>
        <v>1125.4000000000001</v>
      </c>
      <c r="G634" s="461"/>
    </row>
    <row r="635" spans="1:7" s="513" customFormat="1" x14ac:dyDescent="0.25">
      <c r="A635" s="519" t="s">
        <v>923</v>
      </c>
      <c r="B635" s="467" t="s">
        <v>2197</v>
      </c>
      <c r="C635" s="749">
        <v>800</v>
      </c>
      <c r="D635" s="285">
        <f>D636</f>
        <v>24.7</v>
      </c>
      <c r="E635" s="285">
        <f>E636</f>
        <v>0</v>
      </c>
      <c r="F635" s="285">
        <f>F636</f>
        <v>0</v>
      </c>
      <c r="G635" s="461"/>
    </row>
    <row r="636" spans="1:7" s="513" customFormat="1" x14ac:dyDescent="0.25">
      <c r="A636" s="519" t="s">
        <v>1319</v>
      </c>
      <c r="B636" s="467" t="s">
        <v>2197</v>
      </c>
      <c r="C636" s="749">
        <v>850</v>
      </c>
      <c r="D636" s="285">
        <f>'Функц. 2021-2023'!F625</f>
        <v>24.7</v>
      </c>
      <c r="E636" s="285">
        <f>'Функц. 2021-2023'!H625</f>
        <v>0</v>
      </c>
      <c r="F636" s="285">
        <f>'Функц. 2021-2023'!J625</f>
        <v>0</v>
      </c>
      <c r="G636" s="461"/>
    </row>
    <row r="637" spans="1:7" ht="31.5" x14ac:dyDescent="0.25">
      <c r="A637" s="514" t="s">
        <v>1925</v>
      </c>
      <c r="B637" s="467" t="s">
        <v>2196</v>
      </c>
      <c r="C637" s="749"/>
      <c r="D637" s="285">
        <f t="shared" ref="D637:F638" si="146">D638</f>
        <v>4697.3</v>
      </c>
      <c r="E637" s="285">
        <f t="shared" si="146"/>
        <v>4697.3</v>
      </c>
      <c r="F637" s="285">
        <f t="shared" si="146"/>
        <v>4697.3</v>
      </c>
      <c r="G637" s="461"/>
    </row>
    <row r="638" spans="1:7" ht="47.25" x14ac:dyDescent="0.25">
      <c r="A638" s="514" t="s">
        <v>921</v>
      </c>
      <c r="B638" s="467" t="s">
        <v>2196</v>
      </c>
      <c r="C638" s="749">
        <v>100</v>
      </c>
      <c r="D638" s="285">
        <f t="shared" si="146"/>
        <v>4697.3</v>
      </c>
      <c r="E638" s="285">
        <f t="shared" si="146"/>
        <v>4697.3</v>
      </c>
      <c r="F638" s="285">
        <f t="shared" si="146"/>
        <v>4697.3</v>
      </c>
      <c r="G638" s="461"/>
    </row>
    <row r="639" spans="1:7" x14ac:dyDescent="0.25">
      <c r="A639" s="514" t="s">
        <v>1747</v>
      </c>
      <c r="B639" s="467" t="s">
        <v>2196</v>
      </c>
      <c r="C639" s="749">
        <v>120</v>
      </c>
      <c r="D639" s="285">
        <f>'Функц. 2021-2023'!F628</f>
        <v>4697.3</v>
      </c>
      <c r="E639" s="285">
        <f>'Функц. 2021-2023'!H628</f>
        <v>4697.3</v>
      </c>
      <c r="F639" s="285">
        <f>'Функц. 2021-2023'!J628</f>
        <v>4697.3</v>
      </c>
      <c r="G639" s="461"/>
    </row>
    <row r="640" spans="1:7" ht="31.5" x14ac:dyDescent="0.25">
      <c r="A640" s="514" t="s">
        <v>1926</v>
      </c>
      <c r="B640" s="467" t="s">
        <v>2195</v>
      </c>
      <c r="C640" s="749"/>
      <c r="D640" s="285">
        <f t="shared" ref="D640:F641" si="147">D641</f>
        <v>3702.9</v>
      </c>
      <c r="E640" s="285">
        <f t="shared" si="147"/>
        <v>3702.9</v>
      </c>
      <c r="F640" s="285">
        <f t="shared" si="147"/>
        <v>3702.9</v>
      </c>
      <c r="G640" s="461"/>
    </row>
    <row r="641" spans="1:7" ht="47.25" x14ac:dyDescent="0.25">
      <c r="A641" s="514" t="s">
        <v>921</v>
      </c>
      <c r="B641" s="467" t="s">
        <v>2195</v>
      </c>
      <c r="C641" s="749">
        <v>100</v>
      </c>
      <c r="D641" s="285">
        <f t="shared" si="147"/>
        <v>3702.9</v>
      </c>
      <c r="E641" s="285">
        <f t="shared" si="147"/>
        <v>3702.9</v>
      </c>
      <c r="F641" s="285">
        <f t="shared" si="147"/>
        <v>3702.9</v>
      </c>
      <c r="G641" s="461"/>
    </row>
    <row r="642" spans="1:7" x14ac:dyDescent="0.25">
      <c r="A642" s="788" t="s">
        <v>1747</v>
      </c>
      <c r="B642" s="807" t="s">
        <v>2195</v>
      </c>
      <c r="C642" s="768">
        <v>120</v>
      </c>
      <c r="D642" s="291">
        <f>'Функц. 2021-2023'!F631</f>
        <v>3702.9</v>
      </c>
      <c r="E642" s="291">
        <f>'Функц. 2021-2023'!H631</f>
        <v>3702.9</v>
      </c>
      <c r="F642" s="291">
        <f>'Функц. 2021-2023'!J631</f>
        <v>3702.9</v>
      </c>
      <c r="G642" s="461"/>
    </row>
    <row r="643" spans="1:7" x14ac:dyDescent="0.25">
      <c r="A643" s="782" t="s">
        <v>1972</v>
      </c>
      <c r="B643" s="500" t="s">
        <v>1973</v>
      </c>
      <c r="C643" s="773"/>
      <c r="D643" s="289">
        <f>D677+D701+D689+D644</f>
        <v>142778.20000000001</v>
      </c>
      <c r="E643" s="289">
        <f>E677+E701+E689+E644</f>
        <v>39143.9</v>
      </c>
      <c r="F643" s="289">
        <f>F677+F701+F689+F644</f>
        <v>35759.600000000006</v>
      </c>
      <c r="G643" s="461"/>
    </row>
    <row r="644" spans="1:7" s="513" customFormat="1" x14ac:dyDescent="0.25">
      <c r="A644" s="548" t="s">
        <v>2340</v>
      </c>
      <c r="B644" s="467" t="s">
        <v>2341</v>
      </c>
      <c r="C644" s="773"/>
      <c r="D644" s="445">
        <f>D667+D645</f>
        <v>95049.600000000006</v>
      </c>
      <c r="E644" s="445">
        <f>E667+E645</f>
        <v>9250</v>
      </c>
      <c r="F644" s="445">
        <f>F667+F645</f>
        <v>2500</v>
      </c>
      <c r="G644" s="461"/>
    </row>
    <row r="645" spans="1:7" s="513" customFormat="1" ht="31.5" x14ac:dyDescent="0.25">
      <c r="A645" s="548" t="s">
        <v>2407</v>
      </c>
      <c r="B645" s="467" t="s">
        <v>2408</v>
      </c>
      <c r="C645" s="763"/>
      <c r="D645" s="445">
        <f>D649+D652+D661+D664+D655+D658+D646</f>
        <v>19358.600000000002</v>
      </c>
      <c r="E645" s="445">
        <f t="shared" ref="E645:F645" si="148">E649+E652+E661+E664+E655+E658+E646</f>
        <v>9250</v>
      </c>
      <c r="F645" s="445">
        <f t="shared" si="148"/>
        <v>0</v>
      </c>
      <c r="G645" s="461"/>
    </row>
    <row r="646" spans="1:7" s="513" customFormat="1" x14ac:dyDescent="0.25">
      <c r="A646" s="548" t="s">
        <v>2481</v>
      </c>
      <c r="B646" s="442" t="s">
        <v>2482</v>
      </c>
      <c r="C646" s="579"/>
      <c r="D646" s="445">
        <f>D647</f>
        <v>0</v>
      </c>
      <c r="E646" s="445">
        <f t="shared" ref="E646:F646" si="149">E647</f>
        <v>9250</v>
      </c>
      <c r="F646" s="445">
        <f t="shared" si="149"/>
        <v>0</v>
      </c>
      <c r="G646" s="461"/>
    </row>
    <row r="647" spans="1:7" s="513" customFormat="1" x14ac:dyDescent="0.25">
      <c r="A647" s="519" t="s">
        <v>1781</v>
      </c>
      <c r="B647" s="442" t="s">
        <v>2482</v>
      </c>
      <c r="C647" s="579" t="s">
        <v>821</v>
      </c>
      <c r="D647" s="445">
        <f>D648</f>
        <v>0</v>
      </c>
      <c r="E647" s="445">
        <f t="shared" ref="E647:F647" si="150">E648</f>
        <v>9250</v>
      </c>
      <c r="F647" s="445">
        <f t="shared" si="150"/>
        <v>0</v>
      </c>
      <c r="G647" s="461"/>
    </row>
    <row r="648" spans="1:7" s="513" customFormat="1" x14ac:dyDescent="0.25">
      <c r="A648" s="519" t="s">
        <v>1273</v>
      </c>
      <c r="B648" s="442" t="s">
        <v>2482</v>
      </c>
      <c r="C648" s="579" t="s">
        <v>1479</v>
      </c>
      <c r="D648" s="445">
        <f>'Функц. 2021-2023'!F554</f>
        <v>0</v>
      </c>
      <c r="E648" s="445">
        <f>'Функц. 2021-2023'!H554</f>
        <v>9250</v>
      </c>
      <c r="F648" s="445">
        <f>'Функц. 2021-2023'!J554</f>
        <v>0</v>
      </c>
      <c r="G648" s="461"/>
    </row>
    <row r="649" spans="1:7" s="513" customFormat="1" x14ac:dyDescent="0.25">
      <c r="A649" s="548" t="s">
        <v>2420</v>
      </c>
      <c r="B649" s="467" t="s">
        <v>2419</v>
      </c>
      <c r="C649" s="763"/>
      <c r="D649" s="445">
        <f t="shared" ref="D649:F650" si="151">D650</f>
        <v>5009.2</v>
      </c>
      <c r="E649" s="445">
        <f t="shared" si="151"/>
        <v>0</v>
      </c>
      <c r="F649" s="445">
        <f t="shared" si="151"/>
        <v>0</v>
      </c>
      <c r="G649" s="461"/>
    </row>
    <row r="650" spans="1:7" s="513" customFormat="1" x14ac:dyDescent="0.25">
      <c r="A650" s="519" t="s">
        <v>1781</v>
      </c>
      <c r="B650" s="467" t="s">
        <v>2419</v>
      </c>
      <c r="C650" s="763" t="s">
        <v>821</v>
      </c>
      <c r="D650" s="445">
        <f t="shared" si="151"/>
        <v>5009.2</v>
      </c>
      <c r="E650" s="445">
        <f t="shared" si="151"/>
        <v>0</v>
      </c>
      <c r="F650" s="445">
        <f t="shared" si="151"/>
        <v>0</v>
      </c>
      <c r="G650" s="461"/>
    </row>
    <row r="651" spans="1:7" s="513" customFormat="1" x14ac:dyDescent="0.25">
      <c r="A651" s="519" t="s">
        <v>1273</v>
      </c>
      <c r="B651" s="467" t="s">
        <v>2419</v>
      </c>
      <c r="C651" s="763" t="s">
        <v>1479</v>
      </c>
      <c r="D651" s="445">
        <f>'Функц. 2021-2023'!F557</f>
        <v>5009.2</v>
      </c>
      <c r="E651" s="445">
        <f>'Функц. 2021-2023'!H557</f>
        <v>0</v>
      </c>
      <c r="F651" s="445">
        <f>'Функц. 2021-2023'!J557</f>
        <v>0</v>
      </c>
      <c r="G651" s="461"/>
    </row>
    <row r="652" spans="1:7" s="513" customFormat="1" ht="31.5" x14ac:dyDescent="0.25">
      <c r="A652" s="548" t="s">
        <v>2424</v>
      </c>
      <c r="B652" s="442" t="s">
        <v>2425</v>
      </c>
      <c r="C652" s="579"/>
      <c r="D652" s="445">
        <f>D653</f>
        <v>6365.7999999999993</v>
      </c>
      <c r="E652" s="445">
        <f t="shared" ref="E652:F652" si="152">E653</f>
        <v>0</v>
      </c>
      <c r="F652" s="445">
        <f t="shared" si="152"/>
        <v>0</v>
      </c>
      <c r="G652" s="461"/>
    </row>
    <row r="653" spans="1:7" s="513" customFormat="1" x14ac:dyDescent="0.25">
      <c r="A653" s="519" t="s">
        <v>1781</v>
      </c>
      <c r="B653" s="442" t="s">
        <v>2425</v>
      </c>
      <c r="C653" s="579" t="s">
        <v>821</v>
      </c>
      <c r="D653" s="445">
        <f>D654</f>
        <v>6365.7999999999993</v>
      </c>
      <c r="E653" s="445">
        <f>E654</f>
        <v>0</v>
      </c>
      <c r="F653" s="445">
        <f>F654</f>
        <v>0</v>
      </c>
      <c r="G653" s="461"/>
    </row>
    <row r="654" spans="1:7" s="513" customFormat="1" x14ac:dyDescent="0.25">
      <c r="A654" s="519" t="s">
        <v>1273</v>
      </c>
      <c r="B654" s="442" t="s">
        <v>2425</v>
      </c>
      <c r="C654" s="579" t="s">
        <v>1479</v>
      </c>
      <c r="D654" s="445">
        <f>'Функц. 2021-2023'!F560</f>
        <v>6365.7999999999993</v>
      </c>
      <c r="E654" s="445">
        <f>'Функц. 2021-2023'!H560</f>
        <v>0</v>
      </c>
      <c r="F654" s="445">
        <f>'Функц. 2021-2023'!J560</f>
        <v>0</v>
      </c>
      <c r="G654" s="461"/>
    </row>
    <row r="655" spans="1:7" s="513" customFormat="1" x14ac:dyDescent="0.25">
      <c r="A655" s="519" t="s">
        <v>2441</v>
      </c>
      <c r="B655" s="442" t="s">
        <v>2440</v>
      </c>
      <c r="C655" s="579"/>
      <c r="D655" s="445">
        <f>D656</f>
        <v>85.4</v>
      </c>
      <c r="E655" s="445">
        <f t="shared" ref="E655:F655" si="153">E656</f>
        <v>0</v>
      </c>
      <c r="F655" s="445">
        <f t="shared" si="153"/>
        <v>0</v>
      </c>
      <c r="G655" s="461"/>
    </row>
    <row r="656" spans="1:7" s="513" customFormat="1" x14ac:dyDescent="0.25">
      <c r="A656" s="519" t="s">
        <v>1781</v>
      </c>
      <c r="B656" s="442" t="s">
        <v>2440</v>
      </c>
      <c r="C656" s="579" t="s">
        <v>821</v>
      </c>
      <c r="D656" s="445">
        <f>D657</f>
        <v>85.4</v>
      </c>
      <c r="E656" s="445">
        <f t="shared" ref="E656:F656" si="154">E657</f>
        <v>0</v>
      </c>
      <c r="F656" s="445">
        <f t="shared" si="154"/>
        <v>0</v>
      </c>
      <c r="G656" s="461"/>
    </row>
    <row r="657" spans="1:7" s="513" customFormat="1" x14ac:dyDescent="0.25">
      <c r="A657" s="519" t="s">
        <v>1273</v>
      </c>
      <c r="B657" s="442" t="s">
        <v>2440</v>
      </c>
      <c r="C657" s="579" t="s">
        <v>1479</v>
      </c>
      <c r="D657" s="445">
        <f>'Функц. 2021-2023'!F563</f>
        <v>85.4</v>
      </c>
      <c r="E657" s="445">
        <f>'Функц. 2021-2023'!H563</f>
        <v>0</v>
      </c>
      <c r="F657" s="445">
        <f>'Функц. 2021-2023'!J563</f>
        <v>0</v>
      </c>
      <c r="G657" s="461"/>
    </row>
    <row r="658" spans="1:7" s="513" customFormat="1" x14ac:dyDescent="0.25">
      <c r="A658" s="519" t="s">
        <v>2479</v>
      </c>
      <c r="B658" s="442" t="s">
        <v>2480</v>
      </c>
      <c r="C658" s="579"/>
      <c r="D658" s="445">
        <f>D659</f>
        <v>10</v>
      </c>
      <c r="E658" s="445">
        <f t="shared" ref="E658:F658" si="155">E659</f>
        <v>0</v>
      </c>
      <c r="F658" s="445">
        <f t="shared" si="155"/>
        <v>0</v>
      </c>
      <c r="G658" s="461"/>
    </row>
    <row r="659" spans="1:7" s="513" customFormat="1" x14ac:dyDescent="0.25">
      <c r="A659" s="519" t="s">
        <v>1781</v>
      </c>
      <c r="B659" s="442" t="s">
        <v>2480</v>
      </c>
      <c r="C659" s="579" t="s">
        <v>821</v>
      </c>
      <c r="D659" s="445">
        <f>D660</f>
        <v>10</v>
      </c>
      <c r="E659" s="445">
        <f t="shared" ref="E659:F659" si="156">E660</f>
        <v>0</v>
      </c>
      <c r="F659" s="445">
        <f t="shared" si="156"/>
        <v>0</v>
      </c>
      <c r="G659" s="461"/>
    </row>
    <row r="660" spans="1:7" s="513" customFormat="1" x14ac:dyDescent="0.25">
      <c r="A660" s="519" t="s">
        <v>1273</v>
      </c>
      <c r="B660" s="442" t="s">
        <v>2480</v>
      </c>
      <c r="C660" s="579" t="s">
        <v>1479</v>
      </c>
      <c r="D660" s="445">
        <f>'Функц. 2021-2023'!F406</f>
        <v>10</v>
      </c>
      <c r="E660" s="445">
        <f>'Функц. 2021-2023'!H406</f>
        <v>0</v>
      </c>
      <c r="F660" s="445">
        <f>'Функц. 2021-2023'!J406</f>
        <v>0</v>
      </c>
      <c r="G660" s="461"/>
    </row>
    <row r="661" spans="1:7" s="513" customFormat="1" x14ac:dyDescent="0.25">
      <c r="A661" s="519" t="s">
        <v>2433</v>
      </c>
      <c r="B661" s="442" t="s">
        <v>2434</v>
      </c>
      <c r="C661" s="579"/>
      <c r="D661" s="445">
        <f>D662</f>
        <v>7303.5</v>
      </c>
      <c r="E661" s="445">
        <f t="shared" ref="E661:F661" si="157">E662</f>
        <v>0</v>
      </c>
      <c r="F661" s="445">
        <f t="shared" si="157"/>
        <v>0</v>
      </c>
      <c r="G661" s="461"/>
    </row>
    <row r="662" spans="1:7" s="513" customFormat="1" x14ac:dyDescent="0.25">
      <c r="A662" s="519" t="s">
        <v>1781</v>
      </c>
      <c r="B662" s="442" t="s">
        <v>2434</v>
      </c>
      <c r="C662" s="579" t="s">
        <v>821</v>
      </c>
      <c r="D662" s="445">
        <f>D663</f>
        <v>7303.5</v>
      </c>
      <c r="E662" s="445">
        <f t="shared" ref="E662:F662" si="158">E663</f>
        <v>0</v>
      </c>
      <c r="F662" s="445">
        <f t="shared" si="158"/>
        <v>0</v>
      </c>
      <c r="G662" s="461"/>
    </row>
    <row r="663" spans="1:7" s="513" customFormat="1" x14ac:dyDescent="0.25">
      <c r="A663" s="519" t="s">
        <v>1273</v>
      </c>
      <c r="B663" s="442" t="s">
        <v>2434</v>
      </c>
      <c r="C663" s="579" t="s">
        <v>1479</v>
      </c>
      <c r="D663" s="445">
        <f>'Функц. 2021-2023'!F409</f>
        <v>7303.5</v>
      </c>
      <c r="E663" s="445">
        <f>'Функц. 2021-2023'!H409</f>
        <v>0</v>
      </c>
      <c r="F663" s="445">
        <f>'Функц. 2021-2023'!J409</f>
        <v>0</v>
      </c>
      <c r="G663" s="461"/>
    </row>
    <row r="664" spans="1:7" s="513" customFormat="1" x14ac:dyDescent="0.25">
      <c r="A664" s="519" t="s">
        <v>2438</v>
      </c>
      <c r="B664" s="442" t="s">
        <v>2437</v>
      </c>
      <c r="C664" s="579"/>
      <c r="D664" s="821">
        <f>D665</f>
        <v>584.70000000000005</v>
      </c>
      <c r="E664" s="821">
        <f t="shared" ref="E664:F664" si="159">E665</f>
        <v>0</v>
      </c>
      <c r="F664" s="821">
        <f t="shared" si="159"/>
        <v>0</v>
      </c>
      <c r="G664" s="461"/>
    </row>
    <row r="665" spans="1:7" s="513" customFormat="1" x14ac:dyDescent="0.25">
      <c r="A665" s="519" t="s">
        <v>1781</v>
      </c>
      <c r="B665" s="442" t="s">
        <v>2437</v>
      </c>
      <c r="C665" s="579" t="s">
        <v>821</v>
      </c>
      <c r="D665" s="821">
        <f>D666</f>
        <v>584.70000000000005</v>
      </c>
      <c r="E665" s="821">
        <f t="shared" ref="E665:F665" si="160">E666</f>
        <v>0</v>
      </c>
      <c r="F665" s="821">
        <f t="shared" si="160"/>
        <v>0</v>
      </c>
      <c r="G665" s="461"/>
    </row>
    <row r="666" spans="1:7" s="513" customFormat="1" x14ac:dyDescent="0.25">
      <c r="A666" s="519" t="s">
        <v>1273</v>
      </c>
      <c r="B666" s="442" t="s">
        <v>2437</v>
      </c>
      <c r="C666" s="579" t="s">
        <v>1479</v>
      </c>
      <c r="D666" s="821">
        <f>'ведом. 2021-2023'!AD942</f>
        <v>584.70000000000005</v>
      </c>
      <c r="E666" s="821">
        <v>0</v>
      </c>
      <c r="F666" s="821">
        <v>0</v>
      </c>
      <c r="G666" s="461"/>
    </row>
    <row r="667" spans="1:7" s="513" customFormat="1" x14ac:dyDescent="0.25">
      <c r="A667" s="529" t="s">
        <v>2342</v>
      </c>
      <c r="B667" s="467" t="s">
        <v>2345</v>
      </c>
      <c r="C667" s="763"/>
      <c r="D667" s="445">
        <f>D668+D671+D674</f>
        <v>75691</v>
      </c>
      <c r="E667" s="445">
        <f>E668+E671+E674</f>
        <v>0</v>
      </c>
      <c r="F667" s="445">
        <f>F668+F671+F674</f>
        <v>2500</v>
      </c>
      <c r="G667" s="461"/>
    </row>
    <row r="668" spans="1:7" s="513" customFormat="1" ht="31.5" x14ac:dyDescent="0.25">
      <c r="A668" s="519" t="s">
        <v>2343</v>
      </c>
      <c r="B668" s="467" t="s">
        <v>2344</v>
      </c>
      <c r="C668" s="749"/>
      <c r="D668" s="445">
        <f xml:space="preserve"> D669</f>
        <v>5500</v>
      </c>
      <c r="E668" s="445">
        <f xml:space="preserve"> E669</f>
        <v>0</v>
      </c>
      <c r="F668" s="445">
        <f xml:space="preserve"> F669</f>
        <v>0</v>
      </c>
      <c r="G668" s="461"/>
    </row>
    <row r="669" spans="1:7" s="513" customFormat="1" x14ac:dyDescent="0.25">
      <c r="A669" s="519" t="s">
        <v>1781</v>
      </c>
      <c r="B669" s="467" t="s">
        <v>2344</v>
      </c>
      <c r="C669" s="763" t="s">
        <v>821</v>
      </c>
      <c r="D669" s="445">
        <f>D670</f>
        <v>5500</v>
      </c>
      <c r="E669" s="445">
        <f>E670</f>
        <v>0</v>
      </c>
      <c r="F669" s="445">
        <f>F670</f>
        <v>0</v>
      </c>
      <c r="G669" s="461"/>
    </row>
    <row r="670" spans="1:7" s="513" customFormat="1" x14ac:dyDescent="0.25">
      <c r="A670" s="519" t="s">
        <v>1273</v>
      </c>
      <c r="B670" s="467" t="s">
        <v>2344</v>
      </c>
      <c r="C670" s="763" t="s">
        <v>1479</v>
      </c>
      <c r="D670" s="445">
        <f>'Функц. 2021-2023'!F567</f>
        <v>5500</v>
      </c>
      <c r="E670" s="445">
        <f>'Функц. 2021-2023'!H567</f>
        <v>0</v>
      </c>
      <c r="F670" s="445">
        <f>'Функц. 2021-2023'!J567</f>
        <v>0</v>
      </c>
      <c r="G670" s="461"/>
    </row>
    <row r="671" spans="1:7" s="513" customFormat="1" ht="31.5" x14ac:dyDescent="0.25">
      <c r="A671" s="529" t="s">
        <v>2430</v>
      </c>
      <c r="B671" s="467" t="s">
        <v>2346</v>
      </c>
      <c r="C671" s="763"/>
      <c r="D671" s="445">
        <f t="shared" ref="D671:F672" si="161">D672</f>
        <v>55442.3</v>
      </c>
      <c r="E671" s="445">
        <f t="shared" si="161"/>
        <v>0</v>
      </c>
      <c r="F671" s="445">
        <f t="shared" si="161"/>
        <v>2500</v>
      </c>
      <c r="G671" s="461"/>
    </row>
    <row r="672" spans="1:7" s="513" customFormat="1" x14ac:dyDescent="0.25">
      <c r="A672" s="519" t="s">
        <v>1781</v>
      </c>
      <c r="B672" s="467" t="s">
        <v>2346</v>
      </c>
      <c r="C672" s="763" t="s">
        <v>821</v>
      </c>
      <c r="D672" s="445">
        <f t="shared" si="161"/>
        <v>55442.3</v>
      </c>
      <c r="E672" s="445">
        <f t="shared" si="161"/>
        <v>0</v>
      </c>
      <c r="F672" s="445">
        <f t="shared" si="161"/>
        <v>2500</v>
      </c>
      <c r="G672" s="461"/>
    </row>
    <row r="673" spans="1:7" s="513" customFormat="1" x14ac:dyDescent="0.25">
      <c r="A673" s="519" t="s">
        <v>1273</v>
      </c>
      <c r="B673" s="467" t="s">
        <v>2346</v>
      </c>
      <c r="C673" s="763" t="s">
        <v>1479</v>
      </c>
      <c r="D673" s="445">
        <f>'Функц. 2021-2023'!F570</f>
        <v>55442.3</v>
      </c>
      <c r="E673" s="445">
        <f>'Функц. 2021-2023'!H570</f>
        <v>0</v>
      </c>
      <c r="F673" s="445">
        <f>'Функц. 2021-2023'!J570</f>
        <v>2500</v>
      </c>
      <c r="G673" s="461"/>
    </row>
    <row r="674" spans="1:7" s="513" customFormat="1" x14ac:dyDescent="0.25">
      <c r="A674" s="519" t="s">
        <v>2417</v>
      </c>
      <c r="B674" s="808" t="s">
        <v>2418</v>
      </c>
      <c r="C674" s="749"/>
      <c r="D674" s="445">
        <f t="shared" ref="D674:F675" si="162">D675</f>
        <v>14748.7</v>
      </c>
      <c r="E674" s="445">
        <f t="shared" si="162"/>
        <v>0</v>
      </c>
      <c r="F674" s="445">
        <f t="shared" si="162"/>
        <v>0</v>
      </c>
      <c r="G674" s="461"/>
    </row>
    <row r="675" spans="1:7" s="513" customFormat="1" x14ac:dyDescent="0.25">
      <c r="A675" s="519" t="s">
        <v>1781</v>
      </c>
      <c r="B675" s="808" t="s">
        <v>2418</v>
      </c>
      <c r="C675" s="749">
        <v>200</v>
      </c>
      <c r="D675" s="445">
        <f t="shared" si="162"/>
        <v>14748.7</v>
      </c>
      <c r="E675" s="445">
        <f t="shared" si="162"/>
        <v>0</v>
      </c>
      <c r="F675" s="445">
        <f t="shared" si="162"/>
        <v>0</v>
      </c>
      <c r="G675" s="461"/>
    </row>
    <row r="676" spans="1:7" s="513" customFormat="1" x14ac:dyDescent="0.25">
      <c r="A676" s="519" t="s">
        <v>1273</v>
      </c>
      <c r="B676" s="808" t="s">
        <v>2418</v>
      </c>
      <c r="C676" s="749">
        <v>240</v>
      </c>
      <c r="D676" s="445">
        <f>'Функц. 2021-2023'!F416</f>
        <v>14748.7</v>
      </c>
      <c r="E676" s="445">
        <f>'Функц. 2021-2023'!H416</f>
        <v>0</v>
      </c>
      <c r="F676" s="445">
        <f>'Функц. 2021-2023'!J416</f>
        <v>0</v>
      </c>
      <c r="G676" s="461"/>
    </row>
    <row r="677" spans="1:7" x14ac:dyDescent="0.25">
      <c r="A677" s="524" t="s">
        <v>1974</v>
      </c>
      <c r="B677" s="467" t="s">
        <v>1975</v>
      </c>
      <c r="C677" s="749"/>
      <c r="D677" s="445">
        <f>D678</f>
        <v>30861.399999999994</v>
      </c>
      <c r="E677" s="445">
        <f>E678</f>
        <v>18825.7</v>
      </c>
      <c r="F677" s="445">
        <f>F678</f>
        <v>22191.4</v>
      </c>
      <c r="G677" s="461"/>
    </row>
    <row r="678" spans="1:7" ht="31.5" x14ac:dyDescent="0.25">
      <c r="A678" s="529" t="s">
        <v>2236</v>
      </c>
      <c r="B678" s="467" t="s">
        <v>1976</v>
      </c>
      <c r="C678" s="749"/>
      <c r="D678" s="445">
        <f>D679+D686</f>
        <v>30861.399999999994</v>
      </c>
      <c r="E678" s="445">
        <f>E679+E686</f>
        <v>18825.7</v>
      </c>
      <c r="F678" s="445">
        <f>F679+F686</f>
        <v>22191.4</v>
      </c>
      <c r="G678" s="461"/>
    </row>
    <row r="679" spans="1:7" x14ac:dyDescent="0.25">
      <c r="A679" s="526" t="s">
        <v>1977</v>
      </c>
      <c r="B679" s="467" t="s">
        <v>1978</v>
      </c>
      <c r="C679" s="749"/>
      <c r="D679" s="445">
        <f>D680+D682+D684</f>
        <v>24150.699999999997</v>
      </c>
      <c r="E679" s="445">
        <f t="shared" ref="E679:F679" si="163">E680+E682+E684</f>
        <v>12115</v>
      </c>
      <c r="F679" s="445">
        <f t="shared" si="163"/>
        <v>15480.7</v>
      </c>
      <c r="G679" s="461"/>
    </row>
    <row r="680" spans="1:7" x14ac:dyDescent="0.25">
      <c r="A680" s="514" t="s">
        <v>1781</v>
      </c>
      <c r="B680" s="467" t="s">
        <v>1978</v>
      </c>
      <c r="C680" s="751">
        <v>200</v>
      </c>
      <c r="D680" s="445">
        <f t="shared" ref="D680:F680" si="164">D681</f>
        <v>23828.6</v>
      </c>
      <c r="E680" s="445">
        <f t="shared" si="164"/>
        <v>12115</v>
      </c>
      <c r="F680" s="445">
        <f t="shared" si="164"/>
        <v>15480.7</v>
      </c>
      <c r="G680" s="461"/>
    </row>
    <row r="681" spans="1:7" x14ac:dyDescent="0.25">
      <c r="A681" s="514" t="s">
        <v>1273</v>
      </c>
      <c r="B681" s="467" t="s">
        <v>1978</v>
      </c>
      <c r="C681" s="749">
        <v>240</v>
      </c>
      <c r="D681" s="445">
        <f>'Функц. 2021-2023'!F575</f>
        <v>23828.6</v>
      </c>
      <c r="E681" s="445">
        <f>'Функц. 2021-2023'!H575</f>
        <v>12115</v>
      </c>
      <c r="F681" s="445">
        <f>'Функц. 2021-2023'!J575</f>
        <v>15480.7</v>
      </c>
      <c r="G681" s="461"/>
    </row>
    <row r="682" spans="1:7" s="513" customFormat="1" ht="31.5" x14ac:dyDescent="0.25">
      <c r="A682" s="514" t="s">
        <v>1342</v>
      </c>
      <c r="B682" s="467" t="s">
        <v>1978</v>
      </c>
      <c r="C682" s="751">
        <v>600</v>
      </c>
      <c r="D682" s="445">
        <f>D683</f>
        <v>300</v>
      </c>
      <c r="E682" s="445">
        <f t="shared" ref="E682:F682" si="165">E683</f>
        <v>0</v>
      </c>
      <c r="F682" s="445">
        <f t="shared" si="165"/>
        <v>0</v>
      </c>
      <c r="G682" s="461"/>
    </row>
    <row r="683" spans="1:7" s="513" customFormat="1" x14ac:dyDescent="0.25">
      <c r="A683" s="514" t="s">
        <v>1343</v>
      </c>
      <c r="B683" s="467" t="s">
        <v>1978</v>
      </c>
      <c r="C683" s="749">
        <v>610</v>
      </c>
      <c r="D683" s="445">
        <f>'Функц. 2021-2023'!F577</f>
        <v>300</v>
      </c>
      <c r="E683" s="445">
        <f>'Функц. 2021-2023'!H577</f>
        <v>0</v>
      </c>
      <c r="F683" s="445">
        <f>'Функц. 2021-2023'!J577</f>
        <v>0</v>
      </c>
      <c r="G683" s="461"/>
    </row>
    <row r="684" spans="1:7" s="513" customFormat="1" x14ac:dyDescent="0.25">
      <c r="A684" s="519" t="s">
        <v>923</v>
      </c>
      <c r="B684" s="467" t="s">
        <v>1978</v>
      </c>
      <c r="C684" s="749">
        <v>800</v>
      </c>
      <c r="D684" s="445">
        <f>D685</f>
        <v>22.099999999999994</v>
      </c>
      <c r="E684" s="445">
        <f t="shared" ref="E684:F684" si="166">E685</f>
        <v>0</v>
      </c>
      <c r="F684" s="445">
        <f t="shared" si="166"/>
        <v>0</v>
      </c>
      <c r="G684" s="461"/>
    </row>
    <row r="685" spans="1:7" s="513" customFormat="1" x14ac:dyDescent="0.25">
      <c r="A685" s="519" t="s">
        <v>1810</v>
      </c>
      <c r="B685" s="467" t="s">
        <v>1978</v>
      </c>
      <c r="C685" s="749">
        <v>830</v>
      </c>
      <c r="D685" s="445">
        <f>'Функц. 2021-2023'!F579</f>
        <v>22.099999999999994</v>
      </c>
      <c r="E685" s="445">
        <f>'Функц. 2021-2023'!H579</f>
        <v>0</v>
      </c>
      <c r="F685" s="445">
        <f>'Функц. 2021-2023'!J579</f>
        <v>0</v>
      </c>
      <c r="G685" s="461"/>
    </row>
    <row r="686" spans="1:7" ht="31.5" x14ac:dyDescent="0.25">
      <c r="A686" s="526" t="s">
        <v>2141</v>
      </c>
      <c r="B686" s="467" t="s">
        <v>2142</v>
      </c>
      <c r="C686" s="749"/>
      <c r="D686" s="445">
        <f t="shared" ref="D686:F687" si="167">D687</f>
        <v>6710.6999999999989</v>
      </c>
      <c r="E686" s="445">
        <f t="shared" si="167"/>
        <v>6710.7</v>
      </c>
      <c r="F686" s="445">
        <f t="shared" si="167"/>
        <v>6710.7</v>
      </c>
      <c r="G686" s="461"/>
    </row>
    <row r="687" spans="1:7" ht="31.5" x14ac:dyDescent="0.25">
      <c r="A687" s="514" t="s">
        <v>1342</v>
      </c>
      <c r="B687" s="467" t="s">
        <v>2142</v>
      </c>
      <c r="C687" s="751">
        <v>600</v>
      </c>
      <c r="D687" s="445">
        <f t="shared" si="167"/>
        <v>6710.6999999999989</v>
      </c>
      <c r="E687" s="445">
        <f t="shared" si="167"/>
        <v>6710.7</v>
      </c>
      <c r="F687" s="445">
        <f t="shared" si="167"/>
        <v>6710.7</v>
      </c>
      <c r="G687" s="461"/>
    </row>
    <row r="688" spans="1:7" x14ac:dyDescent="0.25">
      <c r="A688" s="514" t="s">
        <v>1343</v>
      </c>
      <c r="B688" s="467" t="s">
        <v>2142</v>
      </c>
      <c r="C688" s="749">
        <v>610</v>
      </c>
      <c r="D688" s="445">
        <f>'Функц. 2021-2023'!F582</f>
        <v>6710.6999999999989</v>
      </c>
      <c r="E688" s="445">
        <f>'Функц. 2021-2023'!H582</f>
        <v>6710.7</v>
      </c>
      <c r="F688" s="445">
        <f>'Функц. 2021-2023'!J582</f>
        <v>6710.7</v>
      </c>
      <c r="G688" s="461"/>
    </row>
    <row r="689" spans="1:7" ht="31.5" x14ac:dyDescent="0.25">
      <c r="A689" s="524" t="s">
        <v>2298</v>
      </c>
      <c r="B689" s="467" t="s">
        <v>2144</v>
      </c>
      <c r="C689" s="751"/>
      <c r="D689" s="445">
        <f>D690+D697</f>
        <v>5911</v>
      </c>
      <c r="E689" s="445">
        <f>E690+E697</f>
        <v>100</v>
      </c>
      <c r="F689" s="445">
        <f>F690+F697</f>
        <v>100</v>
      </c>
      <c r="G689" s="461"/>
    </row>
    <row r="690" spans="1:7" ht="31.5" x14ac:dyDescent="0.25">
      <c r="A690" s="529" t="s">
        <v>2151</v>
      </c>
      <c r="B690" s="467" t="s">
        <v>2154</v>
      </c>
      <c r="C690" s="751"/>
      <c r="D690" s="445">
        <f>D694+D691</f>
        <v>5751</v>
      </c>
      <c r="E690" s="445">
        <f t="shared" ref="E690:F690" si="168">E694+E691</f>
        <v>0</v>
      </c>
      <c r="F690" s="445">
        <f t="shared" si="168"/>
        <v>0</v>
      </c>
      <c r="G690" s="461"/>
    </row>
    <row r="691" spans="1:7" s="513" customFormat="1" ht="33.6" customHeight="1" x14ac:dyDescent="0.25">
      <c r="A691" s="519" t="s">
        <v>2478</v>
      </c>
      <c r="B691" s="442" t="s">
        <v>2477</v>
      </c>
      <c r="C691" s="579"/>
      <c r="D691" s="445">
        <f>D692</f>
        <v>450</v>
      </c>
      <c r="E691" s="445">
        <f t="shared" ref="E691:F691" si="169">E692</f>
        <v>0</v>
      </c>
      <c r="F691" s="445">
        <f t="shared" si="169"/>
        <v>0</v>
      </c>
      <c r="G691" s="461"/>
    </row>
    <row r="692" spans="1:7" s="513" customFormat="1" x14ac:dyDescent="0.25">
      <c r="A692" s="519" t="s">
        <v>923</v>
      </c>
      <c r="B692" s="442" t="s">
        <v>2477</v>
      </c>
      <c r="C692" s="579" t="s">
        <v>2240</v>
      </c>
      <c r="D692" s="445">
        <f>D693</f>
        <v>450</v>
      </c>
      <c r="E692" s="445">
        <f t="shared" ref="E692:F692" si="170">E693</f>
        <v>0</v>
      </c>
      <c r="F692" s="445">
        <f t="shared" si="170"/>
        <v>0</v>
      </c>
      <c r="G692" s="461"/>
    </row>
    <row r="693" spans="1:7" s="513" customFormat="1" ht="31.5" x14ac:dyDescent="0.25">
      <c r="A693" s="519" t="s">
        <v>1782</v>
      </c>
      <c r="B693" s="442" t="s">
        <v>2477</v>
      </c>
      <c r="C693" s="579" t="s">
        <v>2241</v>
      </c>
      <c r="D693" s="445">
        <f>'Функц. 2021-2023'!F459</f>
        <v>450</v>
      </c>
      <c r="E693" s="445">
        <f>'Функц. 2021-2023'!H459</f>
        <v>0</v>
      </c>
      <c r="F693" s="445">
        <f>'Функц. 2021-2023'!J459</f>
        <v>0</v>
      </c>
      <c r="G693" s="461"/>
    </row>
    <row r="694" spans="1:7" x14ac:dyDescent="0.25">
      <c r="A694" s="526" t="s">
        <v>2152</v>
      </c>
      <c r="B694" s="467" t="s">
        <v>2153</v>
      </c>
      <c r="C694" s="751"/>
      <c r="D694" s="445">
        <f t="shared" ref="D694:F695" si="171">D695</f>
        <v>5301</v>
      </c>
      <c r="E694" s="445">
        <f t="shared" si="171"/>
        <v>0</v>
      </c>
      <c r="F694" s="445">
        <f t="shared" si="171"/>
        <v>0</v>
      </c>
      <c r="G694" s="461"/>
    </row>
    <row r="695" spans="1:7" x14ac:dyDescent="0.25">
      <c r="A695" s="519" t="s">
        <v>923</v>
      </c>
      <c r="B695" s="467" t="s">
        <v>2153</v>
      </c>
      <c r="C695" s="763" t="s">
        <v>2240</v>
      </c>
      <c r="D695" s="445">
        <f t="shared" si="171"/>
        <v>5301</v>
      </c>
      <c r="E695" s="445">
        <f t="shared" si="171"/>
        <v>0</v>
      </c>
      <c r="F695" s="445">
        <f t="shared" si="171"/>
        <v>0</v>
      </c>
      <c r="G695" s="461"/>
    </row>
    <row r="696" spans="1:7" ht="31.5" x14ac:dyDescent="0.25">
      <c r="A696" s="519" t="s">
        <v>1782</v>
      </c>
      <c r="B696" s="467" t="s">
        <v>2153</v>
      </c>
      <c r="C696" s="763" t="s">
        <v>2241</v>
      </c>
      <c r="D696" s="445">
        <f>'Функц. 2021-2023'!F462</f>
        <v>5301</v>
      </c>
      <c r="E696" s="445">
        <f>'Функц. 2021-2023'!H462</f>
        <v>0</v>
      </c>
      <c r="F696" s="445">
        <f>'Функц. 2021-2023'!J462</f>
        <v>0</v>
      </c>
      <c r="G696" s="461"/>
    </row>
    <row r="697" spans="1:7" ht="31.5" x14ac:dyDescent="0.25">
      <c r="A697" s="526" t="s">
        <v>2145</v>
      </c>
      <c r="B697" s="467" t="s">
        <v>2146</v>
      </c>
      <c r="C697" s="751"/>
      <c r="D697" s="445">
        <f>D698</f>
        <v>160</v>
      </c>
      <c r="E697" s="445">
        <f>E698</f>
        <v>100</v>
      </c>
      <c r="F697" s="445">
        <f>F698</f>
        <v>100</v>
      </c>
      <c r="G697" s="461"/>
    </row>
    <row r="698" spans="1:7" x14ac:dyDescent="0.25">
      <c r="A698" s="526" t="s">
        <v>2228</v>
      </c>
      <c r="B698" s="467" t="s">
        <v>2229</v>
      </c>
      <c r="C698" s="751"/>
      <c r="D698" s="445">
        <f t="shared" ref="D698:F699" si="172">D699</f>
        <v>160</v>
      </c>
      <c r="E698" s="445">
        <f t="shared" si="172"/>
        <v>100</v>
      </c>
      <c r="F698" s="445">
        <f t="shared" si="172"/>
        <v>100</v>
      </c>
      <c r="G698" s="461"/>
    </row>
    <row r="699" spans="1:7" x14ac:dyDescent="0.25">
      <c r="A699" s="514" t="s">
        <v>1781</v>
      </c>
      <c r="B699" s="467" t="s">
        <v>2229</v>
      </c>
      <c r="C699" s="763" t="s">
        <v>821</v>
      </c>
      <c r="D699" s="445">
        <f t="shared" si="172"/>
        <v>160</v>
      </c>
      <c r="E699" s="445">
        <f t="shared" si="172"/>
        <v>100</v>
      </c>
      <c r="F699" s="445">
        <f t="shared" si="172"/>
        <v>100</v>
      </c>
      <c r="G699" s="461"/>
    </row>
    <row r="700" spans="1:7" x14ac:dyDescent="0.25">
      <c r="A700" s="514" t="s">
        <v>1273</v>
      </c>
      <c r="B700" s="467" t="s">
        <v>2229</v>
      </c>
      <c r="C700" s="763" t="s">
        <v>1479</v>
      </c>
      <c r="D700" s="445">
        <f>'Функц. 2021-2023'!F466</f>
        <v>160</v>
      </c>
      <c r="E700" s="445">
        <f>'Функц. 2021-2023'!H466</f>
        <v>100</v>
      </c>
      <c r="F700" s="445">
        <f>'Функц. 2021-2023'!J466</f>
        <v>100</v>
      </c>
      <c r="G700" s="461"/>
    </row>
    <row r="701" spans="1:7" x14ac:dyDescent="0.25">
      <c r="A701" s="524" t="s">
        <v>1907</v>
      </c>
      <c r="B701" s="467" t="s">
        <v>1979</v>
      </c>
      <c r="C701" s="749"/>
      <c r="D701" s="445">
        <f t="shared" ref="D701:F702" si="173">D702</f>
        <v>10956.2</v>
      </c>
      <c r="E701" s="445">
        <f t="shared" si="173"/>
        <v>10968.2</v>
      </c>
      <c r="F701" s="445">
        <f t="shared" si="173"/>
        <v>10968.2</v>
      </c>
      <c r="G701" s="461"/>
    </row>
    <row r="702" spans="1:7" ht="31.5" x14ac:dyDescent="0.25">
      <c r="A702" s="524" t="s">
        <v>1909</v>
      </c>
      <c r="B702" s="467" t="s">
        <v>1980</v>
      </c>
      <c r="C702" s="749"/>
      <c r="D702" s="445">
        <f t="shared" si="173"/>
        <v>10956.2</v>
      </c>
      <c r="E702" s="445">
        <f t="shared" si="173"/>
        <v>10968.2</v>
      </c>
      <c r="F702" s="445">
        <f t="shared" si="173"/>
        <v>10968.2</v>
      </c>
      <c r="G702" s="461"/>
    </row>
    <row r="703" spans="1:7" x14ac:dyDescent="0.25">
      <c r="A703" s="526" t="s">
        <v>1923</v>
      </c>
      <c r="B703" s="467" t="s">
        <v>1981</v>
      </c>
      <c r="C703" s="749"/>
      <c r="D703" s="445">
        <f>D704+D709+D712</f>
        <v>10956.2</v>
      </c>
      <c r="E703" s="445">
        <f>E704+E709+E712</f>
        <v>10968.2</v>
      </c>
      <c r="F703" s="445">
        <f>F704+F709+F712</f>
        <v>10968.2</v>
      </c>
      <c r="G703" s="461"/>
    </row>
    <row r="704" spans="1:7" ht="31.5" x14ac:dyDescent="0.25">
      <c r="A704" s="514" t="s">
        <v>1924</v>
      </c>
      <c r="B704" s="467" t="s">
        <v>1982</v>
      </c>
      <c r="C704" s="771"/>
      <c r="D704" s="445">
        <f>D705+D707</f>
        <v>1866</v>
      </c>
      <c r="E704" s="445">
        <f>E705+E707</f>
        <v>1878</v>
      </c>
      <c r="F704" s="445">
        <f>F705+F707</f>
        <v>1878</v>
      </c>
      <c r="G704" s="461"/>
    </row>
    <row r="705" spans="1:7" x14ac:dyDescent="0.25">
      <c r="A705" s="514" t="s">
        <v>1781</v>
      </c>
      <c r="B705" s="467" t="s">
        <v>1982</v>
      </c>
      <c r="C705" s="749">
        <v>200</v>
      </c>
      <c r="D705" s="445">
        <f>D706</f>
        <v>1857.9</v>
      </c>
      <c r="E705" s="445">
        <f>E706</f>
        <v>1878</v>
      </c>
      <c r="F705" s="445">
        <f>F706</f>
        <v>1878</v>
      </c>
      <c r="G705" s="461"/>
    </row>
    <row r="706" spans="1:7" x14ac:dyDescent="0.25">
      <c r="A706" s="514" t="s">
        <v>1273</v>
      </c>
      <c r="B706" s="467" t="s">
        <v>1982</v>
      </c>
      <c r="C706" s="749">
        <v>240</v>
      </c>
      <c r="D706" s="445">
        <f>'Функц. 2021-2023'!F638</f>
        <v>1857.9</v>
      </c>
      <c r="E706" s="445">
        <f>'Функц. 2021-2023'!H638</f>
        <v>1878</v>
      </c>
      <c r="F706" s="445">
        <f>'Функц. 2021-2023'!J638</f>
        <v>1878</v>
      </c>
      <c r="G706" s="461"/>
    </row>
    <row r="707" spans="1:7" s="513" customFormat="1" x14ac:dyDescent="0.25">
      <c r="A707" s="519" t="s">
        <v>923</v>
      </c>
      <c r="B707" s="467" t="s">
        <v>1982</v>
      </c>
      <c r="C707" s="749">
        <v>800</v>
      </c>
      <c r="D707" s="445">
        <f>D708</f>
        <v>8.1</v>
      </c>
      <c r="E707" s="445">
        <f>E708</f>
        <v>0</v>
      </c>
      <c r="F707" s="445">
        <f>F708</f>
        <v>0</v>
      </c>
      <c r="G707" s="461"/>
    </row>
    <row r="708" spans="1:7" s="513" customFormat="1" x14ac:dyDescent="0.25">
      <c r="A708" s="519" t="s">
        <v>1319</v>
      </c>
      <c r="B708" s="467" t="s">
        <v>1982</v>
      </c>
      <c r="C708" s="749">
        <v>850</v>
      </c>
      <c r="D708" s="445">
        <f>'Функц. 2021-2023'!F640</f>
        <v>8.1</v>
      </c>
      <c r="E708" s="445">
        <f>'Функц. 2021-2023'!H640</f>
        <v>0</v>
      </c>
      <c r="F708" s="445">
        <f>'Функц. 2021-2023'!J640</f>
        <v>0</v>
      </c>
      <c r="G708" s="461"/>
    </row>
    <row r="709" spans="1:7" ht="31.5" x14ac:dyDescent="0.25">
      <c r="A709" s="514" t="s">
        <v>1925</v>
      </c>
      <c r="B709" s="467" t="s">
        <v>1983</v>
      </c>
      <c r="C709" s="771"/>
      <c r="D709" s="445">
        <f t="shared" ref="D709:F710" si="174">D710</f>
        <v>4198.8999999999996</v>
      </c>
      <c r="E709" s="445">
        <f t="shared" si="174"/>
        <v>4198.8999999999996</v>
      </c>
      <c r="F709" s="445">
        <f t="shared" si="174"/>
        <v>4198.8999999999996</v>
      </c>
      <c r="G709" s="461"/>
    </row>
    <row r="710" spans="1:7" ht="47.25" x14ac:dyDescent="0.25">
      <c r="A710" s="514" t="s">
        <v>921</v>
      </c>
      <c r="B710" s="467" t="s">
        <v>1983</v>
      </c>
      <c r="C710" s="749">
        <v>100</v>
      </c>
      <c r="D710" s="445">
        <f t="shared" si="174"/>
        <v>4198.8999999999996</v>
      </c>
      <c r="E710" s="445">
        <f t="shared" si="174"/>
        <v>4198.8999999999996</v>
      </c>
      <c r="F710" s="445">
        <f t="shared" si="174"/>
        <v>4198.8999999999996</v>
      </c>
      <c r="G710" s="461"/>
    </row>
    <row r="711" spans="1:7" x14ac:dyDescent="0.25">
      <c r="A711" s="514" t="s">
        <v>1747</v>
      </c>
      <c r="B711" s="467" t="s">
        <v>1983</v>
      </c>
      <c r="C711" s="749">
        <v>120</v>
      </c>
      <c r="D711" s="445">
        <f>'Функц. 2021-2023'!F643</f>
        <v>4198.8999999999996</v>
      </c>
      <c r="E711" s="445">
        <f>'Функц. 2021-2023'!H643</f>
        <v>4198.8999999999996</v>
      </c>
      <c r="F711" s="445">
        <f>'Функц. 2021-2023'!J643</f>
        <v>4198.8999999999996</v>
      </c>
      <c r="G711" s="461"/>
    </row>
    <row r="712" spans="1:7" ht="31.5" x14ac:dyDescent="0.25">
      <c r="A712" s="514" t="s">
        <v>1926</v>
      </c>
      <c r="B712" s="467" t="s">
        <v>1984</v>
      </c>
      <c r="C712" s="771"/>
      <c r="D712" s="445">
        <f t="shared" ref="D712:F713" si="175">D713</f>
        <v>4891.3</v>
      </c>
      <c r="E712" s="445">
        <f t="shared" si="175"/>
        <v>4891.3</v>
      </c>
      <c r="F712" s="445">
        <f t="shared" si="175"/>
        <v>4891.3</v>
      </c>
      <c r="G712" s="461"/>
    </row>
    <row r="713" spans="1:7" ht="47.25" x14ac:dyDescent="0.25">
      <c r="A713" s="514" t="s">
        <v>921</v>
      </c>
      <c r="B713" s="467" t="s">
        <v>1984</v>
      </c>
      <c r="C713" s="749">
        <v>100</v>
      </c>
      <c r="D713" s="445">
        <f t="shared" si="175"/>
        <v>4891.3</v>
      </c>
      <c r="E713" s="445">
        <f t="shared" si="175"/>
        <v>4891.3</v>
      </c>
      <c r="F713" s="445">
        <f t="shared" si="175"/>
        <v>4891.3</v>
      </c>
      <c r="G713" s="461"/>
    </row>
    <row r="714" spans="1:7" x14ac:dyDescent="0.25">
      <c r="A714" s="514" t="s">
        <v>1747</v>
      </c>
      <c r="B714" s="467" t="s">
        <v>1984</v>
      </c>
      <c r="C714" s="749">
        <v>120</v>
      </c>
      <c r="D714" s="445">
        <f>'Функц. 2021-2023'!F646</f>
        <v>4891.3</v>
      </c>
      <c r="E714" s="445">
        <f>'Функц. 2021-2023'!H646</f>
        <v>4891.3</v>
      </c>
      <c r="F714" s="445">
        <f>'Функц. 2021-2023'!J646</f>
        <v>4891.3</v>
      </c>
      <c r="G714" s="461"/>
    </row>
    <row r="715" spans="1:7" x14ac:dyDescent="0.25">
      <c r="A715" s="782" t="s">
        <v>1991</v>
      </c>
      <c r="B715" s="500" t="s">
        <v>1992</v>
      </c>
      <c r="C715" s="759"/>
      <c r="D715" s="447">
        <f>D716</f>
        <v>0</v>
      </c>
      <c r="E715" s="447">
        <f>E716</f>
        <v>0</v>
      </c>
      <c r="F715" s="447">
        <f>F716</f>
        <v>8105.2999999999993</v>
      </c>
      <c r="G715" s="461"/>
    </row>
    <row r="716" spans="1:7" x14ac:dyDescent="0.25">
      <c r="A716" s="790" t="s">
        <v>2231</v>
      </c>
      <c r="B716" s="467" t="s">
        <v>2232</v>
      </c>
      <c r="C716" s="759"/>
      <c r="D716" s="447">
        <f t="shared" ref="D716:F717" si="176">D717</f>
        <v>0</v>
      </c>
      <c r="E716" s="447">
        <f t="shared" si="176"/>
        <v>0</v>
      </c>
      <c r="F716" s="447">
        <f t="shared" si="176"/>
        <v>8105.2999999999993</v>
      </c>
      <c r="G716" s="461"/>
    </row>
    <row r="717" spans="1:7" x14ac:dyDescent="0.25">
      <c r="A717" s="518" t="s">
        <v>1993</v>
      </c>
      <c r="B717" s="467" t="s">
        <v>1994</v>
      </c>
      <c r="C717" s="749"/>
      <c r="D717" s="445">
        <f>D718</f>
        <v>0</v>
      </c>
      <c r="E717" s="445">
        <f t="shared" si="176"/>
        <v>0</v>
      </c>
      <c r="F717" s="445">
        <f t="shared" si="176"/>
        <v>8105.2999999999993</v>
      </c>
      <c r="G717" s="461"/>
    </row>
    <row r="718" spans="1:7" ht="31.5" x14ac:dyDescent="0.25">
      <c r="A718" s="518" t="s">
        <v>1995</v>
      </c>
      <c r="B718" s="467" t="s">
        <v>1996</v>
      </c>
      <c r="C718" s="749"/>
      <c r="D718" s="445">
        <f t="shared" ref="D718:F720" si="177">D719</f>
        <v>0</v>
      </c>
      <c r="E718" s="445">
        <f t="shared" si="177"/>
        <v>0</v>
      </c>
      <c r="F718" s="445">
        <f t="shared" si="177"/>
        <v>8105.2999999999993</v>
      </c>
      <c r="G718" s="461"/>
    </row>
    <row r="719" spans="1:7" ht="47.25" x14ac:dyDescent="0.25">
      <c r="A719" s="791" t="s">
        <v>2416</v>
      </c>
      <c r="B719" s="467" t="s">
        <v>1997</v>
      </c>
      <c r="C719" s="749"/>
      <c r="D719" s="445">
        <f t="shared" si="177"/>
        <v>0</v>
      </c>
      <c r="E719" s="445">
        <f t="shared" si="177"/>
        <v>0</v>
      </c>
      <c r="F719" s="445">
        <f t="shared" si="177"/>
        <v>8105.2999999999993</v>
      </c>
      <c r="G719" s="461"/>
    </row>
    <row r="720" spans="1:7" x14ac:dyDescent="0.25">
      <c r="A720" s="792" t="s">
        <v>1836</v>
      </c>
      <c r="B720" s="809" t="s">
        <v>1997</v>
      </c>
      <c r="C720" s="767">
        <v>400</v>
      </c>
      <c r="D720" s="445">
        <f t="shared" si="177"/>
        <v>0</v>
      </c>
      <c r="E720" s="445">
        <f t="shared" si="177"/>
        <v>0</v>
      </c>
      <c r="F720" s="445">
        <f t="shared" si="177"/>
        <v>8105.2999999999993</v>
      </c>
      <c r="G720" s="461"/>
    </row>
    <row r="721" spans="1:7" x14ac:dyDescent="0.25">
      <c r="A721" s="793" t="s">
        <v>232</v>
      </c>
      <c r="B721" s="467" t="s">
        <v>1997</v>
      </c>
      <c r="C721" s="767">
        <v>410</v>
      </c>
      <c r="D721" s="445">
        <f>'Функц. 2021-2023'!F726</f>
        <v>0</v>
      </c>
      <c r="E721" s="445">
        <f>'Функц. 2021-2023'!H726</f>
        <v>0</v>
      </c>
      <c r="F721" s="445">
        <f>'Функц. 2021-2023'!J726</f>
        <v>8105.2999999999993</v>
      </c>
      <c r="G721" s="461"/>
    </row>
    <row r="722" spans="1:7" s="505" customFormat="1" x14ac:dyDescent="0.25">
      <c r="A722" s="794" t="s">
        <v>2244</v>
      </c>
      <c r="B722" s="467"/>
      <c r="C722" s="767"/>
      <c r="D722" s="447">
        <f>D715+D643+D623+D583+D557+D479+D374+D344+D330+D247+D241+D217+D171+D83+D26+D20</f>
        <v>3778096.8000000007</v>
      </c>
      <c r="E722" s="447">
        <f>E715+E643+E623+E583+E557+E479+E374+E344+E330+E247+E241+E217+E171+E83+E26+E20</f>
        <v>2372308.4000000004</v>
      </c>
      <c r="F722" s="447">
        <f>F715+F643+F623+F583+F557+F479+F374+F344+F330+F247+F241+F217+F171+F83+F26+F20</f>
        <v>1681925.7000000002</v>
      </c>
      <c r="G722" s="461"/>
    </row>
    <row r="723" spans="1:7" s="504" customFormat="1" ht="31.5" x14ac:dyDescent="0.25">
      <c r="A723" s="782" t="s">
        <v>2048</v>
      </c>
      <c r="B723" s="500" t="s">
        <v>1756</v>
      </c>
      <c r="C723" s="759"/>
      <c r="D723" s="289">
        <f>D724+D727+D730+G733+D742+D752+D755</f>
        <v>23469</v>
      </c>
      <c r="E723" s="289">
        <f>E724+E727+E730+H733+E742+E752+E755</f>
        <v>22269</v>
      </c>
      <c r="F723" s="289">
        <f>F724+F727+F730+I733+F742+F752+F755</f>
        <v>22269</v>
      </c>
      <c r="G723" s="461"/>
    </row>
    <row r="724" spans="1:7" x14ac:dyDescent="0.25">
      <c r="A724" s="795" t="s">
        <v>2063</v>
      </c>
      <c r="B724" s="467" t="s">
        <v>2066</v>
      </c>
      <c r="C724" s="749"/>
      <c r="D724" s="285">
        <f t="shared" ref="D724:F725" si="178">D725</f>
        <v>2178.4</v>
      </c>
      <c r="E724" s="285">
        <f t="shared" si="178"/>
        <v>2178.4</v>
      </c>
      <c r="F724" s="285">
        <f t="shared" si="178"/>
        <v>2178.4</v>
      </c>
      <c r="G724" s="461"/>
    </row>
    <row r="725" spans="1:7" ht="47.25" x14ac:dyDescent="0.25">
      <c r="A725" s="514" t="s">
        <v>921</v>
      </c>
      <c r="B725" s="467" t="s">
        <v>2066</v>
      </c>
      <c r="C725" s="751">
        <v>100</v>
      </c>
      <c r="D725" s="285">
        <f t="shared" si="178"/>
        <v>2178.4</v>
      </c>
      <c r="E725" s="285">
        <f t="shared" si="178"/>
        <v>2178.4</v>
      </c>
      <c r="F725" s="285">
        <f t="shared" si="178"/>
        <v>2178.4</v>
      </c>
      <c r="G725" s="461"/>
    </row>
    <row r="726" spans="1:7" x14ac:dyDescent="0.25">
      <c r="A726" s="514" t="s">
        <v>1747</v>
      </c>
      <c r="B726" s="467" t="s">
        <v>2066</v>
      </c>
      <c r="C726" s="749">
        <v>120</v>
      </c>
      <c r="D726" s="285">
        <f>'Функц. 2021-2023'!F40</f>
        <v>2178.4</v>
      </c>
      <c r="E726" s="285">
        <f>'Функц. 2021-2023'!H40</f>
        <v>2178.4</v>
      </c>
      <c r="F726" s="285">
        <f>'Функц. 2021-2023'!J40</f>
        <v>2178.4</v>
      </c>
      <c r="G726" s="461"/>
    </row>
    <row r="727" spans="1:7" x14ac:dyDescent="0.25">
      <c r="A727" s="514" t="s">
        <v>2176</v>
      </c>
      <c r="B727" s="467" t="s">
        <v>2067</v>
      </c>
      <c r="C727" s="749"/>
      <c r="D727" s="285">
        <f t="shared" ref="D727:F728" si="179">D728</f>
        <v>1765.1</v>
      </c>
      <c r="E727" s="285">
        <f t="shared" si="179"/>
        <v>1765.1</v>
      </c>
      <c r="F727" s="285">
        <f t="shared" si="179"/>
        <v>1765.1</v>
      </c>
      <c r="G727" s="461"/>
    </row>
    <row r="728" spans="1:7" ht="47.25" x14ac:dyDescent="0.25">
      <c r="A728" s="514" t="s">
        <v>921</v>
      </c>
      <c r="B728" s="467" t="s">
        <v>2067</v>
      </c>
      <c r="C728" s="751">
        <v>100</v>
      </c>
      <c r="D728" s="285">
        <f t="shared" si="179"/>
        <v>1765.1</v>
      </c>
      <c r="E728" s="285">
        <f t="shared" si="179"/>
        <v>1765.1</v>
      </c>
      <c r="F728" s="285">
        <f t="shared" si="179"/>
        <v>1765.1</v>
      </c>
      <c r="G728" s="461"/>
    </row>
    <row r="729" spans="1:7" x14ac:dyDescent="0.25">
      <c r="A729" s="514" t="s">
        <v>1747</v>
      </c>
      <c r="B729" s="467" t="s">
        <v>2067</v>
      </c>
      <c r="C729" s="749">
        <v>120</v>
      </c>
      <c r="D729" s="285">
        <f>'Функц. 2021-2023'!F43</f>
        <v>1765.1</v>
      </c>
      <c r="E729" s="285">
        <f>'Функц. 2021-2023'!H43</f>
        <v>1765.1</v>
      </c>
      <c r="F729" s="285">
        <f>'Функц. 2021-2023'!J43</f>
        <v>1765.1</v>
      </c>
      <c r="G729" s="461"/>
    </row>
    <row r="730" spans="1:7" x14ac:dyDescent="0.25">
      <c r="A730" s="525" t="s">
        <v>2064</v>
      </c>
      <c r="B730" s="467" t="s">
        <v>2065</v>
      </c>
      <c r="C730" s="749"/>
      <c r="D730" s="285">
        <f>D731+D736+D739</f>
        <v>7834.6</v>
      </c>
      <c r="E730" s="285">
        <f>E731+E736+E739</f>
        <v>6634.6</v>
      </c>
      <c r="F730" s="285">
        <f>F731+F736+F739</f>
        <v>6634.6</v>
      </c>
      <c r="G730" s="461"/>
    </row>
    <row r="731" spans="1:7" ht="31.5" x14ac:dyDescent="0.25">
      <c r="A731" s="514" t="s">
        <v>2068</v>
      </c>
      <c r="B731" s="467" t="s">
        <v>2069</v>
      </c>
      <c r="C731" s="749"/>
      <c r="D731" s="285">
        <f>D732+D734</f>
        <v>1518.1</v>
      </c>
      <c r="E731" s="285">
        <f>E732+E734</f>
        <v>1518.1</v>
      </c>
      <c r="F731" s="285">
        <f>F732+F734</f>
        <v>1518.1</v>
      </c>
      <c r="G731" s="461"/>
    </row>
    <row r="732" spans="1:7" x14ac:dyDescent="0.25">
      <c r="A732" s="514" t="s">
        <v>1781</v>
      </c>
      <c r="B732" s="467" t="s">
        <v>2069</v>
      </c>
      <c r="C732" s="749">
        <v>200</v>
      </c>
      <c r="D732" s="285">
        <f>D733</f>
        <v>1518</v>
      </c>
      <c r="E732" s="285">
        <f>E733</f>
        <v>1518.1</v>
      </c>
      <c r="F732" s="285">
        <f>F733</f>
        <v>1518.1</v>
      </c>
      <c r="G732" s="461"/>
    </row>
    <row r="733" spans="1:7" x14ac:dyDescent="0.25">
      <c r="A733" s="514" t="s">
        <v>1273</v>
      </c>
      <c r="B733" s="467" t="s">
        <v>2069</v>
      </c>
      <c r="C733" s="749">
        <v>240</v>
      </c>
      <c r="D733" s="285">
        <f>'Функц. 2021-2023'!F47</f>
        <v>1518</v>
      </c>
      <c r="E733" s="285">
        <f>'Функц. 2021-2023'!H47</f>
        <v>1518.1</v>
      </c>
      <c r="F733" s="285">
        <f>'Функц. 2021-2023'!J47</f>
        <v>1518.1</v>
      </c>
      <c r="G733" s="461"/>
    </row>
    <row r="734" spans="1:7" s="513" customFormat="1" x14ac:dyDescent="0.25">
      <c r="A734" s="519" t="s">
        <v>923</v>
      </c>
      <c r="B734" s="467" t="s">
        <v>2069</v>
      </c>
      <c r="C734" s="749">
        <v>800</v>
      </c>
      <c r="D734" s="285">
        <f>D735</f>
        <v>0.1</v>
      </c>
      <c r="E734" s="285">
        <f>E735</f>
        <v>0</v>
      </c>
      <c r="F734" s="285">
        <f>F735</f>
        <v>0</v>
      </c>
      <c r="G734" s="461"/>
    </row>
    <row r="735" spans="1:7" s="513" customFormat="1" x14ac:dyDescent="0.25">
      <c r="A735" s="519" t="s">
        <v>1319</v>
      </c>
      <c r="B735" s="467" t="s">
        <v>2069</v>
      </c>
      <c r="C735" s="749">
        <v>850</v>
      </c>
      <c r="D735" s="285">
        <f>'Функц. 2021-2023'!F49</f>
        <v>0.1</v>
      </c>
      <c r="E735" s="285">
        <f>'Функц. 2021-2023'!H49</f>
        <v>0</v>
      </c>
      <c r="F735" s="285">
        <f>'Функц. 2021-2023'!J49</f>
        <v>0</v>
      </c>
      <c r="G735" s="461"/>
    </row>
    <row r="736" spans="1:7" ht="47.25" x14ac:dyDescent="0.25">
      <c r="A736" s="519" t="s">
        <v>2072</v>
      </c>
      <c r="B736" s="467" t="s">
        <v>2070</v>
      </c>
      <c r="C736" s="749"/>
      <c r="D736" s="285">
        <f t="shared" ref="D736:F737" si="180">D737</f>
        <v>2961</v>
      </c>
      <c r="E736" s="285">
        <f t="shared" si="180"/>
        <v>2961</v>
      </c>
      <c r="F736" s="285">
        <f t="shared" si="180"/>
        <v>2961</v>
      </c>
      <c r="G736" s="461"/>
    </row>
    <row r="737" spans="1:7" ht="47.25" x14ac:dyDescent="0.25">
      <c r="A737" s="514" t="s">
        <v>921</v>
      </c>
      <c r="B737" s="467" t="s">
        <v>2070</v>
      </c>
      <c r="C737" s="751">
        <v>100</v>
      </c>
      <c r="D737" s="285">
        <f t="shared" si="180"/>
        <v>2961</v>
      </c>
      <c r="E737" s="285">
        <f t="shared" si="180"/>
        <v>2961</v>
      </c>
      <c r="F737" s="285">
        <f t="shared" si="180"/>
        <v>2961</v>
      </c>
      <c r="G737" s="461"/>
    </row>
    <row r="738" spans="1:7" x14ac:dyDescent="0.25">
      <c r="A738" s="514" t="s">
        <v>1747</v>
      </c>
      <c r="B738" s="467" t="s">
        <v>2070</v>
      </c>
      <c r="C738" s="749">
        <v>120</v>
      </c>
      <c r="D738" s="285">
        <f>'Функц. 2021-2023'!F52</f>
        <v>2961</v>
      </c>
      <c r="E738" s="285">
        <f>'Функц. 2021-2023'!H52</f>
        <v>2961</v>
      </c>
      <c r="F738" s="285">
        <f>'Функц. 2021-2023'!J52</f>
        <v>2961</v>
      </c>
      <c r="G738" s="461"/>
    </row>
    <row r="739" spans="1:7" ht="31.5" x14ac:dyDescent="0.25">
      <c r="A739" s="514" t="s">
        <v>2073</v>
      </c>
      <c r="B739" s="467" t="s">
        <v>2071</v>
      </c>
      <c r="C739" s="749"/>
      <c r="D739" s="285">
        <f t="shared" ref="D739:F740" si="181">D740</f>
        <v>3355.5</v>
      </c>
      <c r="E739" s="285">
        <f t="shared" si="181"/>
        <v>2155.5</v>
      </c>
      <c r="F739" s="285">
        <f t="shared" si="181"/>
        <v>2155.5</v>
      </c>
      <c r="G739" s="461"/>
    </row>
    <row r="740" spans="1:7" ht="47.25" x14ac:dyDescent="0.25">
      <c r="A740" s="514" t="s">
        <v>921</v>
      </c>
      <c r="B740" s="467" t="s">
        <v>2071</v>
      </c>
      <c r="C740" s="751">
        <v>100</v>
      </c>
      <c r="D740" s="285">
        <f t="shared" si="181"/>
        <v>3355.5</v>
      </c>
      <c r="E740" s="285">
        <f t="shared" si="181"/>
        <v>2155.5</v>
      </c>
      <c r="F740" s="285">
        <f t="shared" si="181"/>
        <v>2155.5</v>
      </c>
      <c r="G740" s="461"/>
    </row>
    <row r="741" spans="1:7" x14ac:dyDescent="0.25">
      <c r="A741" s="514" t="s">
        <v>1747</v>
      </c>
      <c r="B741" s="467" t="s">
        <v>2071</v>
      </c>
      <c r="C741" s="749">
        <v>120</v>
      </c>
      <c r="D741" s="285">
        <f>'Функц. 2021-2023'!F55</f>
        <v>3355.5</v>
      </c>
      <c r="E741" s="285">
        <f>'Функц. 2021-2023'!H55</f>
        <v>2155.5</v>
      </c>
      <c r="F741" s="285">
        <f>'Функц. 2021-2023'!J55</f>
        <v>2155.5</v>
      </c>
      <c r="G741" s="461"/>
    </row>
    <row r="742" spans="1:7" x14ac:dyDescent="0.25">
      <c r="A742" s="525" t="s">
        <v>2056</v>
      </c>
      <c r="B742" s="467" t="s">
        <v>2057</v>
      </c>
      <c r="C742" s="749"/>
      <c r="D742" s="285">
        <f>D743+D746+D749</f>
        <v>4404</v>
      </c>
      <c r="E742" s="285">
        <f>E743+E746+E749</f>
        <v>4404</v>
      </c>
      <c r="F742" s="285">
        <f>F743+F746+F749</f>
        <v>4404</v>
      </c>
      <c r="G742" s="461"/>
    </row>
    <row r="743" spans="1:7" ht="31.5" x14ac:dyDescent="0.25">
      <c r="A743" s="514" t="s">
        <v>2058</v>
      </c>
      <c r="B743" s="467" t="s">
        <v>2059</v>
      </c>
      <c r="C743" s="749"/>
      <c r="D743" s="285">
        <f t="shared" ref="D743:F744" si="182">D744</f>
        <v>415.1</v>
      </c>
      <c r="E743" s="285">
        <f t="shared" si="182"/>
        <v>415.1</v>
      </c>
      <c r="F743" s="285">
        <f t="shared" si="182"/>
        <v>415.1</v>
      </c>
      <c r="G743" s="461"/>
    </row>
    <row r="744" spans="1:7" x14ac:dyDescent="0.25">
      <c r="A744" s="514" t="s">
        <v>1781</v>
      </c>
      <c r="B744" s="467" t="s">
        <v>2059</v>
      </c>
      <c r="C744" s="749">
        <v>200</v>
      </c>
      <c r="D744" s="285">
        <f t="shared" si="182"/>
        <v>415.1</v>
      </c>
      <c r="E744" s="285">
        <f t="shared" si="182"/>
        <v>415.1</v>
      </c>
      <c r="F744" s="285">
        <f t="shared" si="182"/>
        <v>415.1</v>
      </c>
      <c r="G744" s="461"/>
    </row>
    <row r="745" spans="1:7" x14ac:dyDescent="0.25">
      <c r="A745" s="514" t="s">
        <v>1273</v>
      </c>
      <c r="B745" s="467" t="s">
        <v>2059</v>
      </c>
      <c r="C745" s="749">
        <v>240</v>
      </c>
      <c r="D745" s="285">
        <f>'Функц. 2021-2023'!F155</f>
        <v>415.1</v>
      </c>
      <c r="E745" s="285">
        <f>'Функц. 2021-2023'!H155</f>
        <v>415.1</v>
      </c>
      <c r="F745" s="285">
        <f>'Функц. 2021-2023'!J155</f>
        <v>415.1</v>
      </c>
      <c r="G745" s="461"/>
    </row>
    <row r="746" spans="1:7" ht="47.25" x14ac:dyDescent="0.25">
      <c r="A746" s="519" t="s">
        <v>2256</v>
      </c>
      <c r="B746" s="467" t="s">
        <v>2060</v>
      </c>
      <c r="C746" s="749"/>
      <c r="D746" s="285">
        <f t="shared" ref="D746:F747" si="183">D747</f>
        <v>1879.2</v>
      </c>
      <c r="E746" s="285">
        <f t="shared" si="183"/>
        <v>1879.2</v>
      </c>
      <c r="F746" s="285">
        <f t="shared" si="183"/>
        <v>1879.2</v>
      </c>
      <c r="G746" s="461"/>
    </row>
    <row r="747" spans="1:7" ht="47.25" x14ac:dyDescent="0.25">
      <c r="A747" s="514" t="s">
        <v>921</v>
      </c>
      <c r="B747" s="467" t="s">
        <v>2060</v>
      </c>
      <c r="C747" s="749">
        <v>100</v>
      </c>
      <c r="D747" s="285">
        <f t="shared" si="183"/>
        <v>1879.2</v>
      </c>
      <c r="E747" s="285">
        <f t="shared" si="183"/>
        <v>1879.2</v>
      </c>
      <c r="F747" s="285">
        <f t="shared" si="183"/>
        <v>1879.2</v>
      </c>
      <c r="G747" s="461"/>
    </row>
    <row r="748" spans="1:7" x14ac:dyDescent="0.25">
      <c r="A748" s="514" t="s">
        <v>1747</v>
      </c>
      <c r="B748" s="467" t="s">
        <v>2060</v>
      </c>
      <c r="C748" s="749">
        <v>120</v>
      </c>
      <c r="D748" s="285">
        <f>'Функц. 2021-2023'!F158</f>
        <v>1879.2</v>
      </c>
      <c r="E748" s="285">
        <f>'Функц. 2021-2023'!H158</f>
        <v>1879.2</v>
      </c>
      <c r="F748" s="285">
        <f>'Функц. 2021-2023'!J158</f>
        <v>1879.2</v>
      </c>
      <c r="G748" s="461"/>
    </row>
    <row r="749" spans="1:7" ht="47.25" x14ac:dyDescent="0.25">
      <c r="A749" s="460" t="s">
        <v>2061</v>
      </c>
      <c r="B749" s="467" t="s">
        <v>2062</v>
      </c>
      <c r="C749" s="749"/>
      <c r="D749" s="285">
        <f t="shared" ref="D749:F750" si="184">D750</f>
        <v>2109.6999999999998</v>
      </c>
      <c r="E749" s="285">
        <f t="shared" si="184"/>
        <v>2109.6999999999998</v>
      </c>
      <c r="F749" s="285">
        <f t="shared" si="184"/>
        <v>2109.6999999999998</v>
      </c>
      <c r="G749" s="461"/>
    </row>
    <row r="750" spans="1:7" ht="47.25" x14ac:dyDescent="0.25">
      <c r="A750" s="514" t="s">
        <v>921</v>
      </c>
      <c r="B750" s="467" t="s">
        <v>2062</v>
      </c>
      <c r="C750" s="749">
        <v>100</v>
      </c>
      <c r="D750" s="285">
        <f t="shared" si="184"/>
        <v>2109.6999999999998</v>
      </c>
      <c r="E750" s="285">
        <f t="shared" si="184"/>
        <v>2109.6999999999998</v>
      </c>
      <c r="F750" s="285">
        <f t="shared" si="184"/>
        <v>2109.6999999999998</v>
      </c>
      <c r="G750" s="461"/>
    </row>
    <row r="751" spans="1:7" x14ac:dyDescent="0.25">
      <c r="A751" s="514" t="s">
        <v>1747</v>
      </c>
      <c r="B751" s="467" t="s">
        <v>2062</v>
      </c>
      <c r="C751" s="749">
        <v>120</v>
      </c>
      <c r="D751" s="285">
        <f>'Функц. 2021-2023'!F161</f>
        <v>2109.6999999999998</v>
      </c>
      <c r="E751" s="285">
        <f>'Функц. 2021-2023'!H161</f>
        <v>2109.6999999999998</v>
      </c>
      <c r="F751" s="285">
        <f>'Функц. 2021-2023'!J161</f>
        <v>2109.6999999999998</v>
      </c>
      <c r="G751" s="461"/>
    </row>
    <row r="752" spans="1:7" x14ac:dyDescent="0.25">
      <c r="A752" s="525" t="s">
        <v>2045</v>
      </c>
      <c r="B752" s="467" t="s">
        <v>2055</v>
      </c>
      <c r="C752" s="753"/>
      <c r="D752" s="285">
        <f t="shared" ref="D752:F753" si="185">D753</f>
        <v>2069</v>
      </c>
      <c r="E752" s="285">
        <f t="shared" si="185"/>
        <v>1880</v>
      </c>
      <c r="F752" s="285">
        <f t="shared" si="185"/>
        <v>1880</v>
      </c>
      <c r="G752" s="461"/>
    </row>
    <row r="753" spans="1:7" ht="47.25" x14ac:dyDescent="0.25">
      <c r="A753" s="514" t="s">
        <v>921</v>
      </c>
      <c r="B753" s="467" t="s">
        <v>2055</v>
      </c>
      <c r="C753" s="749">
        <v>100</v>
      </c>
      <c r="D753" s="285">
        <f t="shared" si="185"/>
        <v>2069</v>
      </c>
      <c r="E753" s="285">
        <f t="shared" si="185"/>
        <v>1880</v>
      </c>
      <c r="F753" s="285">
        <f t="shared" si="185"/>
        <v>1880</v>
      </c>
      <c r="G753" s="461"/>
    </row>
    <row r="754" spans="1:7" x14ac:dyDescent="0.25">
      <c r="A754" s="514" t="s">
        <v>1747</v>
      </c>
      <c r="B754" s="467" t="s">
        <v>2055</v>
      </c>
      <c r="C754" s="749">
        <v>120</v>
      </c>
      <c r="D754" s="285">
        <f>'Функц. 2021-2023'!F131</f>
        <v>2069</v>
      </c>
      <c r="E754" s="285">
        <f>'Функц. 2021-2023'!H131</f>
        <v>1880</v>
      </c>
      <c r="F754" s="285">
        <f>'Функц. 2021-2023'!J131</f>
        <v>1880</v>
      </c>
      <c r="G754" s="461"/>
    </row>
    <row r="755" spans="1:7" x14ac:dyDescent="0.25">
      <c r="A755" s="525" t="s">
        <v>2046</v>
      </c>
      <c r="B755" s="467" t="s">
        <v>2047</v>
      </c>
      <c r="C755" s="749"/>
      <c r="D755" s="285">
        <f>D756+D761+D764</f>
        <v>5217.8999999999996</v>
      </c>
      <c r="E755" s="285">
        <f>E756+E761+E764</f>
        <v>5406.9</v>
      </c>
      <c r="F755" s="285">
        <f>F756+F761+F764</f>
        <v>5406.9</v>
      </c>
      <c r="G755" s="461"/>
    </row>
    <row r="756" spans="1:7" x14ac:dyDescent="0.25">
      <c r="A756" s="514" t="s">
        <v>2049</v>
      </c>
      <c r="B756" s="467" t="s">
        <v>2050</v>
      </c>
      <c r="C756" s="749"/>
      <c r="D756" s="285">
        <f>D757+D759</f>
        <v>862.1</v>
      </c>
      <c r="E756" s="285">
        <f t="shared" ref="E756:F756" si="186">E757+E759</f>
        <v>988.1</v>
      </c>
      <c r="F756" s="285">
        <f t="shared" si="186"/>
        <v>988.1</v>
      </c>
      <c r="G756" s="461"/>
    </row>
    <row r="757" spans="1:7" x14ac:dyDescent="0.25">
      <c r="A757" s="514" t="s">
        <v>1781</v>
      </c>
      <c r="B757" s="467" t="s">
        <v>2050</v>
      </c>
      <c r="C757" s="749">
        <v>200</v>
      </c>
      <c r="D757" s="285">
        <f t="shared" ref="D757:F757" si="187">D758</f>
        <v>847.9</v>
      </c>
      <c r="E757" s="285">
        <f t="shared" si="187"/>
        <v>988.1</v>
      </c>
      <c r="F757" s="285">
        <f t="shared" si="187"/>
        <v>988.1</v>
      </c>
      <c r="G757" s="461"/>
    </row>
    <row r="758" spans="1:7" x14ac:dyDescent="0.25">
      <c r="A758" s="514" t="s">
        <v>1273</v>
      </c>
      <c r="B758" s="467" t="s">
        <v>2050</v>
      </c>
      <c r="C758" s="749">
        <v>240</v>
      </c>
      <c r="D758" s="285">
        <f>'Функц. 2021-2023'!F135</f>
        <v>847.9</v>
      </c>
      <c r="E758" s="285">
        <f>'Функц. 2021-2023'!H135</f>
        <v>988.1</v>
      </c>
      <c r="F758" s="285">
        <f>'Функц. 2021-2023'!J135</f>
        <v>988.1</v>
      </c>
      <c r="G758" s="461"/>
    </row>
    <row r="759" spans="1:7" s="513" customFormat="1" x14ac:dyDescent="0.25">
      <c r="A759" s="514" t="s">
        <v>923</v>
      </c>
      <c r="B759" s="467" t="s">
        <v>2050</v>
      </c>
      <c r="C759" s="749">
        <v>800</v>
      </c>
      <c r="D759" s="285">
        <f>D760</f>
        <v>14.2</v>
      </c>
      <c r="E759" s="285">
        <f t="shared" ref="E759:F759" si="188">E760</f>
        <v>0</v>
      </c>
      <c r="F759" s="285">
        <f t="shared" si="188"/>
        <v>0</v>
      </c>
      <c r="G759" s="461"/>
    </row>
    <row r="760" spans="1:7" s="513" customFormat="1" x14ac:dyDescent="0.25">
      <c r="A760" s="514" t="s">
        <v>1319</v>
      </c>
      <c r="B760" s="467" t="s">
        <v>2050</v>
      </c>
      <c r="C760" s="749">
        <v>850</v>
      </c>
      <c r="D760" s="285">
        <f>'Функц. 2021-2023'!F137</f>
        <v>14.2</v>
      </c>
      <c r="E760" s="285">
        <f>'Функц. 2021-2023'!H137</f>
        <v>0</v>
      </c>
      <c r="F760" s="285">
        <f>'Функц. 2021-2023'!J137</f>
        <v>0</v>
      </c>
      <c r="G760" s="461"/>
    </row>
    <row r="761" spans="1:7" ht="31.5" x14ac:dyDescent="0.25">
      <c r="A761" s="514" t="s">
        <v>2051</v>
      </c>
      <c r="B761" s="467" t="s">
        <v>2052</v>
      </c>
      <c r="C761" s="749"/>
      <c r="D761" s="285">
        <f t="shared" ref="D761:F762" si="189">D762</f>
        <v>1560.2</v>
      </c>
      <c r="E761" s="285">
        <f t="shared" si="189"/>
        <v>1411.2</v>
      </c>
      <c r="F761" s="285">
        <f t="shared" si="189"/>
        <v>1411.2</v>
      </c>
      <c r="G761" s="461"/>
    </row>
    <row r="762" spans="1:7" ht="47.25" x14ac:dyDescent="0.25">
      <c r="A762" s="514" t="s">
        <v>921</v>
      </c>
      <c r="B762" s="467" t="s">
        <v>2052</v>
      </c>
      <c r="C762" s="749">
        <v>100</v>
      </c>
      <c r="D762" s="285">
        <f t="shared" si="189"/>
        <v>1560.2</v>
      </c>
      <c r="E762" s="285">
        <f t="shared" si="189"/>
        <v>1411.2</v>
      </c>
      <c r="F762" s="285">
        <f t="shared" si="189"/>
        <v>1411.2</v>
      </c>
      <c r="G762" s="461"/>
    </row>
    <row r="763" spans="1:7" x14ac:dyDescent="0.25">
      <c r="A763" s="514" t="s">
        <v>1747</v>
      </c>
      <c r="B763" s="467" t="s">
        <v>2052</v>
      </c>
      <c r="C763" s="749">
        <v>120</v>
      </c>
      <c r="D763" s="285">
        <f>'Функц. 2021-2023'!F140</f>
        <v>1560.2</v>
      </c>
      <c r="E763" s="285">
        <f>'Функц. 2021-2023'!H140</f>
        <v>1411.2</v>
      </c>
      <c r="F763" s="285">
        <f>'Функц. 2021-2023'!J140</f>
        <v>1411.2</v>
      </c>
      <c r="G763" s="461"/>
    </row>
    <row r="764" spans="1:7" ht="31.5" x14ac:dyDescent="0.25">
      <c r="A764" s="514" t="s">
        <v>2054</v>
      </c>
      <c r="B764" s="467" t="s">
        <v>2053</v>
      </c>
      <c r="C764" s="749"/>
      <c r="D764" s="285">
        <f t="shared" ref="D764:F765" si="190">D765</f>
        <v>2795.6</v>
      </c>
      <c r="E764" s="285">
        <f t="shared" si="190"/>
        <v>3007.6</v>
      </c>
      <c r="F764" s="285">
        <f t="shared" si="190"/>
        <v>3007.6</v>
      </c>
      <c r="G764" s="461"/>
    </row>
    <row r="765" spans="1:7" ht="47.25" x14ac:dyDescent="0.25">
      <c r="A765" s="514" t="s">
        <v>921</v>
      </c>
      <c r="B765" s="467" t="s">
        <v>2053</v>
      </c>
      <c r="C765" s="749">
        <v>100</v>
      </c>
      <c r="D765" s="285">
        <f t="shared" si="190"/>
        <v>2795.6</v>
      </c>
      <c r="E765" s="285">
        <f t="shared" si="190"/>
        <v>3007.6</v>
      </c>
      <c r="F765" s="285">
        <f t="shared" si="190"/>
        <v>3007.6</v>
      </c>
      <c r="G765" s="461"/>
    </row>
    <row r="766" spans="1:7" x14ac:dyDescent="0.25">
      <c r="A766" s="514" t="s">
        <v>1747</v>
      </c>
      <c r="B766" s="467" t="s">
        <v>2053</v>
      </c>
      <c r="C766" s="749">
        <v>120</v>
      </c>
      <c r="D766" s="285">
        <f>'Функц. 2021-2023'!F143</f>
        <v>2795.6</v>
      </c>
      <c r="E766" s="285">
        <f>'Функц. 2021-2023'!H143</f>
        <v>3007.6</v>
      </c>
      <c r="F766" s="285">
        <f>'Функц. 2021-2023'!J143</f>
        <v>3007.6</v>
      </c>
      <c r="G766" s="461"/>
    </row>
    <row r="767" spans="1:7" s="504" customFormat="1" x14ac:dyDescent="0.25">
      <c r="A767" s="796" t="s">
        <v>2194</v>
      </c>
      <c r="B767" s="810" t="s">
        <v>1815</v>
      </c>
      <c r="C767" s="759"/>
      <c r="D767" s="289">
        <f>D768+D774+D771+D777</f>
        <v>10035</v>
      </c>
      <c r="E767" s="289">
        <f>E768+E774+E771+E777</f>
        <v>1150.9000000000001</v>
      </c>
      <c r="F767" s="289">
        <f>F768+F774+F771+F777</f>
        <v>7029</v>
      </c>
      <c r="G767" s="461"/>
    </row>
    <row r="768" spans="1:7" x14ac:dyDescent="0.25">
      <c r="A768" s="525" t="s">
        <v>2131</v>
      </c>
      <c r="B768" s="467" t="s">
        <v>2132</v>
      </c>
      <c r="C768" s="749"/>
      <c r="D768" s="285">
        <f t="shared" ref="D768:F769" si="191">D769</f>
        <v>1647.7999999999993</v>
      </c>
      <c r="E768" s="285">
        <f t="shared" si="191"/>
        <v>0</v>
      </c>
      <c r="F768" s="285">
        <f t="shared" si="191"/>
        <v>5518</v>
      </c>
      <c r="G768" s="461"/>
    </row>
    <row r="769" spans="1:7" x14ac:dyDescent="0.25">
      <c r="A769" s="514" t="s">
        <v>923</v>
      </c>
      <c r="B769" s="467" t="s">
        <v>2132</v>
      </c>
      <c r="C769" s="749">
        <v>800</v>
      </c>
      <c r="D769" s="285">
        <f t="shared" si="191"/>
        <v>1647.7999999999993</v>
      </c>
      <c r="E769" s="285">
        <f t="shared" si="191"/>
        <v>0</v>
      </c>
      <c r="F769" s="285">
        <f t="shared" si="191"/>
        <v>5518</v>
      </c>
      <c r="G769" s="461"/>
    </row>
    <row r="770" spans="1:7" x14ac:dyDescent="0.25">
      <c r="A770" s="514" t="s">
        <v>1814</v>
      </c>
      <c r="B770" s="467" t="s">
        <v>2132</v>
      </c>
      <c r="C770" s="749">
        <v>870</v>
      </c>
      <c r="D770" s="285">
        <f>'Функц. 2021-2023'!F166</f>
        <v>1647.7999999999993</v>
      </c>
      <c r="E770" s="285">
        <f>'Функц. 2021-2023'!H166</f>
        <v>0</v>
      </c>
      <c r="F770" s="285">
        <f>'Функц. 2021-2023'!J166</f>
        <v>5518</v>
      </c>
      <c r="G770" s="461"/>
    </row>
    <row r="771" spans="1:7" ht="31.5" x14ac:dyDescent="0.25">
      <c r="A771" s="525" t="s">
        <v>2157</v>
      </c>
      <c r="B771" s="467" t="s">
        <v>2158</v>
      </c>
      <c r="C771" s="749"/>
      <c r="D771" s="285">
        <f t="shared" ref="D771:F772" si="192">D772</f>
        <v>1411</v>
      </c>
      <c r="E771" s="285">
        <f t="shared" si="192"/>
        <v>1050.9000000000001</v>
      </c>
      <c r="F771" s="285">
        <f t="shared" si="192"/>
        <v>1411</v>
      </c>
      <c r="G771" s="461"/>
    </row>
    <row r="772" spans="1:7" x14ac:dyDescent="0.25">
      <c r="A772" s="514" t="s">
        <v>923</v>
      </c>
      <c r="B772" s="467" t="s">
        <v>2158</v>
      </c>
      <c r="C772" s="749">
        <v>800</v>
      </c>
      <c r="D772" s="285">
        <f t="shared" si="192"/>
        <v>1411</v>
      </c>
      <c r="E772" s="285">
        <f t="shared" si="192"/>
        <v>1050.9000000000001</v>
      </c>
      <c r="F772" s="285">
        <f t="shared" si="192"/>
        <v>1411</v>
      </c>
      <c r="G772" s="461"/>
    </row>
    <row r="773" spans="1:7" ht="16.5" thickBot="1" x14ac:dyDescent="0.3">
      <c r="A773" s="514" t="s">
        <v>1814</v>
      </c>
      <c r="B773" s="467" t="s">
        <v>2158</v>
      </c>
      <c r="C773" s="749">
        <v>870</v>
      </c>
      <c r="D773" s="291">
        <f>'Функц. 2021-2023'!F169</f>
        <v>1411</v>
      </c>
      <c r="E773" s="291">
        <f>'Функц. 2021-2023'!H169</f>
        <v>1050.9000000000001</v>
      </c>
      <c r="F773" s="291">
        <f>'Функц. 2021-2023'!J169</f>
        <v>1411</v>
      </c>
      <c r="G773" s="461"/>
    </row>
    <row r="774" spans="1:7" x14ac:dyDescent="0.25">
      <c r="A774" s="525" t="s">
        <v>1946</v>
      </c>
      <c r="B774" s="467" t="s">
        <v>1947</v>
      </c>
      <c r="C774" s="829"/>
      <c r="D774" s="832">
        <f t="shared" ref="D774:F775" si="193">D775</f>
        <v>6299.1</v>
      </c>
      <c r="E774" s="832">
        <f t="shared" si="193"/>
        <v>100</v>
      </c>
      <c r="F774" s="832">
        <f t="shared" si="193"/>
        <v>100</v>
      </c>
      <c r="G774" s="461"/>
    </row>
    <row r="775" spans="1:7" x14ac:dyDescent="0.25">
      <c r="A775" s="514" t="s">
        <v>923</v>
      </c>
      <c r="B775" s="467" t="s">
        <v>1947</v>
      </c>
      <c r="C775" s="829">
        <v>800</v>
      </c>
      <c r="D775" s="285">
        <f t="shared" si="193"/>
        <v>6299.1</v>
      </c>
      <c r="E775" s="285">
        <f t="shared" si="193"/>
        <v>100</v>
      </c>
      <c r="F775" s="285">
        <f t="shared" si="193"/>
        <v>100</v>
      </c>
      <c r="G775" s="461"/>
    </row>
    <row r="776" spans="1:7" x14ac:dyDescent="0.25">
      <c r="A776" s="514" t="s">
        <v>1810</v>
      </c>
      <c r="B776" s="467" t="s">
        <v>1947</v>
      </c>
      <c r="C776" s="829">
        <v>830</v>
      </c>
      <c r="D776" s="285">
        <f>'Функц. 2021-2023'!F267</f>
        <v>6299.1</v>
      </c>
      <c r="E776" s="285">
        <f>'Функц. 2021-2023'!H267</f>
        <v>100</v>
      </c>
      <c r="F776" s="285">
        <f>'Функц. 2021-2023'!J267</f>
        <v>100</v>
      </c>
      <c r="G776" s="461"/>
    </row>
    <row r="777" spans="1:7" s="513" customFormat="1" x14ac:dyDescent="0.25">
      <c r="A777" s="546" t="s">
        <v>2257</v>
      </c>
      <c r="B777" s="549" t="s">
        <v>2258</v>
      </c>
      <c r="C777" s="830"/>
      <c r="D777" s="291">
        <f>D778+D781</f>
        <v>677.1</v>
      </c>
      <c r="E777" s="291">
        <f t="shared" ref="E777:F777" si="194">E778+E781</f>
        <v>0</v>
      </c>
      <c r="F777" s="291">
        <f t="shared" si="194"/>
        <v>0</v>
      </c>
      <c r="G777" s="461"/>
    </row>
    <row r="778" spans="1:7" s="513" customFormat="1" x14ac:dyDescent="0.25">
      <c r="A778" s="523" t="s">
        <v>2396</v>
      </c>
      <c r="B778" s="549" t="s">
        <v>2397</v>
      </c>
      <c r="C778" s="829"/>
      <c r="D778" s="285">
        <f>D780</f>
        <v>578</v>
      </c>
      <c r="E778" s="285">
        <f>E780</f>
        <v>0</v>
      </c>
      <c r="F778" s="285">
        <f>F780</f>
        <v>0</v>
      </c>
      <c r="G778" s="461"/>
    </row>
    <row r="779" spans="1:7" s="513" customFormat="1" x14ac:dyDescent="0.25">
      <c r="A779" s="519" t="s">
        <v>923</v>
      </c>
      <c r="B779" s="549" t="s">
        <v>2397</v>
      </c>
      <c r="C779" s="829">
        <v>800</v>
      </c>
      <c r="D779" s="285">
        <f>D780</f>
        <v>578</v>
      </c>
      <c r="E779" s="285">
        <f>E780</f>
        <v>0</v>
      </c>
      <c r="F779" s="285">
        <f>F780</f>
        <v>0</v>
      </c>
      <c r="G779" s="461"/>
    </row>
    <row r="780" spans="1:7" s="513" customFormat="1" x14ac:dyDescent="0.25">
      <c r="A780" s="519" t="s">
        <v>1319</v>
      </c>
      <c r="B780" s="549" t="s">
        <v>2397</v>
      </c>
      <c r="C780" s="829">
        <v>850</v>
      </c>
      <c r="D780" s="285">
        <f>'Функц. 2021-2023'!F271</f>
        <v>578</v>
      </c>
      <c r="E780" s="285">
        <f>'Функц. 2021-2023'!H271</f>
        <v>0</v>
      </c>
      <c r="F780" s="285">
        <f>'Функц. 2021-2023'!J271</f>
        <v>0</v>
      </c>
      <c r="G780" s="461"/>
    </row>
    <row r="781" spans="1:7" s="513" customFormat="1" ht="109.9" customHeight="1" x14ac:dyDescent="0.25">
      <c r="A781" s="519" t="s">
        <v>2410</v>
      </c>
      <c r="B781" s="549" t="s">
        <v>2409</v>
      </c>
      <c r="C781" s="831"/>
      <c r="D781" s="285">
        <f>D782</f>
        <v>99.1</v>
      </c>
      <c r="E781" s="285"/>
      <c r="F781" s="285"/>
      <c r="G781" s="461"/>
    </row>
    <row r="782" spans="1:7" s="513" customFormat="1" x14ac:dyDescent="0.25">
      <c r="A782" s="519" t="s">
        <v>923</v>
      </c>
      <c r="B782" s="549" t="s">
        <v>2409</v>
      </c>
      <c r="C782" s="831" t="s">
        <v>2240</v>
      </c>
      <c r="D782" s="285">
        <f>D783</f>
        <v>99.1</v>
      </c>
      <c r="E782" s="285">
        <f>E783</f>
        <v>0</v>
      </c>
      <c r="F782" s="285">
        <f>F783</f>
        <v>0</v>
      </c>
      <c r="G782" s="461"/>
    </row>
    <row r="783" spans="1:7" s="513" customFormat="1" ht="16.5" thickBot="1" x14ac:dyDescent="0.3">
      <c r="A783" s="519" t="s">
        <v>1319</v>
      </c>
      <c r="B783" s="549" t="s">
        <v>2409</v>
      </c>
      <c r="C783" s="831" t="s">
        <v>2391</v>
      </c>
      <c r="D783" s="291">
        <f>'Функц. 2021-2023'!F730</f>
        <v>99.1</v>
      </c>
      <c r="E783" s="291">
        <f>'Функц. 2021-2023'!H730</f>
        <v>0</v>
      </c>
      <c r="F783" s="291">
        <f>'Функц. 2021-2023'!J730</f>
        <v>0</v>
      </c>
      <c r="G783" s="461"/>
    </row>
    <row r="784" spans="1:7" ht="16.5" thickBot="1" x14ac:dyDescent="0.3">
      <c r="A784" s="797" t="s">
        <v>1219</v>
      </c>
      <c r="B784" s="811"/>
      <c r="C784" s="774"/>
      <c r="D784" s="731">
        <f>D722+D723+D767</f>
        <v>3811600.8000000007</v>
      </c>
      <c r="E784" s="731">
        <f>E722+E723+E767</f>
        <v>2395728.3000000003</v>
      </c>
      <c r="F784" s="731">
        <f>F722+F723+F767</f>
        <v>1711223.7000000002</v>
      </c>
      <c r="G784" s="461"/>
    </row>
    <row r="785" spans="1:5" x14ac:dyDescent="0.25">
      <c r="A785" s="472"/>
      <c r="B785" s="498"/>
      <c r="C785" s="287"/>
      <c r="D785" s="288"/>
      <c r="E785" s="288"/>
    </row>
    <row r="786" spans="1:5" x14ac:dyDescent="0.25">
      <c r="A786" s="274"/>
      <c r="B786" s="498"/>
      <c r="C786" s="287"/>
      <c r="D786" s="288"/>
      <c r="E786" s="288"/>
    </row>
    <row r="787" spans="1:5" x14ac:dyDescent="0.25">
      <c r="A787" s="274"/>
      <c r="B787" s="498"/>
      <c r="C787" s="287"/>
      <c r="D787" s="288"/>
      <c r="E787" s="288"/>
    </row>
    <row r="788" spans="1:5" x14ac:dyDescent="0.25">
      <c r="A788" s="274"/>
      <c r="B788" s="498"/>
      <c r="C788" s="287"/>
      <c r="D788" s="288"/>
      <c r="E788" s="288"/>
    </row>
    <row r="789" spans="1:5" x14ac:dyDescent="0.25">
      <c r="A789" s="274"/>
      <c r="B789" s="498"/>
      <c r="C789" s="287"/>
      <c r="D789" s="288"/>
      <c r="E789" s="288"/>
    </row>
    <row r="790" spans="1:5" x14ac:dyDescent="0.25">
      <c r="A790" s="274"/>
      <c r="B790" s="498"/>
      <c r="C790" s="287"/>
      <c r="D790" s="288"/>
      <c r="E790" s="288"/>
    </row>
    <row r="791" spans="1:5" x14ac:dyDescent="0.25">
      <c r="A791" s="274"/>
      <c r="B791" s="498"/>
      <c r="C791" s="287"/>
      <c r="D791" s="288"/>
      <c r="E791" s="288"/>
    </row>
    <row r="792" spans="1:5" x14ac:dyDescent="0.25">
      <c r="A792" s="274"/>
      <c r="B792" s="498"/>
      <c r="C792" s="287"/>
      <c r="D792" s="288"/>
      <c r="E792" s="288"/>
    </row>
    <row r="793" spans="1:5" x14ac:dyDescent="0.25">
      <c r="A793" s="274"/>
      <c r="B793" s="498"/>
      <c r="C793" s="287"/>
      <c r="D793" s="288"/>
      <c r="E793" s="288"/>
    </row>
    <row r="794" spans="1:5" x14ac:dyDescent="0.25">
      <c r="A794" s="274"/>
      <c r="B794" s="498"/>
      <c r="C794" s="287"/>
      <c r="D794" s="288"/>
      <c r="E794" s="288"/>
    </row>
    <row r="795" spans="1:5" x14ac:dyDescent="0.25">
      <c r="A795" s="274"/>
      <c r="B795" s="498"/>
      <c r="C795" s="287"/>
      <c r="D795" s="288"/>
      <c r="E795" s="288"/>
    </row>
    <row r="796" spans="1:5" x14ac:dyDescent="0.25">
      <c r="A796" s="274"/>
      <c r="B796" s="498"/>
      <c r="C796" s="287"/>
      <c r="D796" s="288"/>
      <c r="E796" s="288"/>
    </row>
    <row r="797" spans="1:5" x14ac:dyDescent="0.25">
      <c r="A797" s="274"/>
      <c r="B797" s="498"/>
      <c r="C797" s="287"/>
      <c r="D797" s="288"/>
      <c r="E797" s="288"/>
    </row>
    <row r="798" spans="1:5" x14ac:dyDescent="0.25">
      <c r="A798" s="274"/>
      <c r="B798" s="498"/>
      <c r="C798" s="287"/>
      <c r="D798" s="288"/>
      <c r="E798" s="288"/>
    </row>
    <row r="799" spans="1:5" x14ac:dyDescent="0.25">
      <c r="A799" s="274"/>
      <c r="B799" s="498"/>
      <c r="C799" s="287"/>
      <c r="D799" s="288"/>
      <c r="E799" s="288"/>
    </row>
    <row r="800" spans="1:5" x14ac:dyDescent="0.25">
      <c r="A800" s="274"/>
      <c r="B800" s="498"/>
      <c r="C800" s="287"/>
      <c r="D800" s="288"/>
      <c r="E800" s="288"/>
    </row>
    <row r="801" spans="1:5" x14ac:dyDescent="0.25">
      <c r="A801" s="274"/>
      <c r="B801" s="498"/>
      <c r="C801" s="287"/>
      <c r="D801" s="288"/>
      <c r="E801" s="288"/>
    </row>
    <row r="802" spans="1:5" x14ac:dyDescent="0.25">
      <c r="A802" s="274"/>
      <c r="B802" s="498"/>
      <c r="C802" s="287"/>
      <c r="D802" s="288"/>
      <c r="E802" s="288"/>
    </row>
    <row r="803" spans="1:5" x14ac:dyDescent="0.25">
      <c r="A803" s="274"/>
      <c r="B803" s="498"/>
      <c r="C803" s="287"/>
      <c r="D803" s="288"/>
      <c r="E803" s="288"/>
    </row>
    <row r="804" spans="1:5" x14ac:dyDescent="0.25">
      <c r="A804" s="274"/>
      <c r="B804" s="498"/>
      <c r="C804" s="287"/>
      <c r="D804" s="288"/>
      <c r="E804" s="288"/>
    </row>
    <row r="805" spans="1:5" x14ac:dyDescent="0.25">
      <c r="A805" s="274"/>
      <c r="B805" s="498"/>
      <c r="C805" s="287"/>
      <c r="D805" s="288"/>
      <c r="E805" s="288"/>
    </row>
    <row r="806" spans="1:5" x14ac:dyDescent="0.25">
      <c r="A806" s="274"/>
      <c r="B806" s="498"/>
      <c r="C806" s="287"/>
      <c r="D806" s="288"/>
      <c r="E806" s="288"/>
    </row>
    <row r="807" spans="1:5" x14ac:dyDescent="0.25">
      <c r="A807" s="274"/>
      <c r="B807" s="498"/>
      <c r="C807" s="287"/>
      <c r="D807" s="288"/>
      <c r="E807" s="288"/>
    </row>
    <row r="808" spans="1:5" x14ac:dyDescent="0.25">
      <c r="A808" s="274"/>
      <c r="B808" s="498"/>
      <c r="C808" s="287"/>
      <c r="D808" s="288"/>
      <c r="E808" s="288"/>
    </row>
    <row r="809" spans="1:5" x14ac:dyDescent="0.25">
      <c r="A809" s="274"/>
      <c r="B809" s="498"/>
      <c r="C809" s="287"/>
      <c r="D809" s="288"/>
      <c r="E809" s="288"/>
    </row>
    <row r="810" spans="1:5" x14ac:dyDescent="0.25">
      <c r="A810" s="274"/>
      <c r="B810" s="498"/>
      <c r="C810" s="287"/>
      <c r="D810" s="288"/>
      <c r="E810" s="288"/>
    </row>
    <row r="811" spans="1:5" x14ac:dyDescent="0.25">
      <c r="A811" s="274"/>
      <c r="B811" s="498"/>
      <c r="C811" s="287"/>
      <c r="D811" s="288"/>
      <c r="E811" s="288"/>
    </row>
    <row r="812" spans="1:5" x14ac:dyDescent="0.25">
      <c r="A812" s="274"/>
      <c r="B812" s="498"/>
      <c r="C812" s="287"/>
      <c r="D812" s="288"/>
      <c r="E812" s="288"/>
    </row>
    <row r="813" spans="1:5" x14ac:dyDescent="0.25">
      <c r="A813" s="274"/>
      <c r="B813" s="498"/>
      <c r="C813" s="287"/>
      <c r="D813" s="288"/>
      <c r="E813" s="288"/>
    </row>
    <row r="814" spans="1:5" x14ac:dyDescent="0.25">
      <c r="A814" s="274"/>
      <c r="B814" s="498"/>
      <c r="C814" s="287"/>
      <c r="D814" s="288"/>
      <c r="E814" s="288"/>
    </row>
    <row r="815" spans="1:5" x14ac:dyDescent="0.25">
      <c r="A815" s="274"/>
      <c r="B815" s="498"/>
      <c r="C815" s="287"/>
      <c r="D815" s="288"/>
      <c r="E815" s="288"/>
    </row>
    <row r="816" spans="1:5" x14ac:dyDescent="0.25">
      <c r="A816" s="274"/>
      <c r="B816" s="498"/>
      <c r="C816" s="287"/>
      <c r="D816" s="288"/>
      <c r="E816" s="288"/>
    </row>
    <row r="817" spans="1:10" x14ac:dyDescent="0.25">
      <c r="A817" s="274"/>
      <c r="B817" s="498"/>
      <c r="C817" s="287"/>
      <c r="D817" s="288"/>
      <c r="E817" s="288"/>
    </row>
    <row r="818" spans="1:10" x14ac:dyDescent="0.25">
      <c r="A818" s="274"/>
      <c r="B818" s="498"/>
      <c r="C818" s="287"/>
      <c r="D818" s="288"/>
      <c r="E818" s="288"/>
    </row>
    <row r="819" spans="1:10" x14ac:dyDescent="0.25">
      <c r="A819" s="274"/>
      <c r="B819" s="498"/>
      <c r="C819" s="287"/>
      <c r="D819" s="288"/>
      <c r="E819" s="288"/>
    </row>
    <row r="820" spans="1:10" x14ac:dyDescent="0.25">
      <c r="A820" s="274"/>
      <c r="B820" s="498"/>
      <c r="C820" s="287"/>
      <c r="D820" s="288"/>
      <c r="E820" s="288"/>
    </row>
    <row r="821" spans="1:10" x14ac:dyDescent="0.25">
      <c r="A821" s="274"/>
      <c r="B821" s="498"/>
      <c r="C821" s="287"/>
      <c r="D821" s="288"/>
      <c r="E821" s="288"/>
    </row>
    <row r="822" spans="1:10" x14ac:dyDescent="0.25">
      <c r="A822" s="274"/>
      <c r="B822" s="498"/>
      <c r="C822" s="287"/>
      <c r="D822" s="288"/>
      <c r="E822" s="288"/>
    </row>
    <row r="823" spans="1:10" x14ac:dyDescent="0.25">
      <c r="A823" s="274"/>
      <c r="B823" s="498"/>
      <c r="C823" s="287"/>
      <c r="D823" s="288"/>
      <c r="E823" s="288"/>
    </row>
    <row r="824" spans="1:10" x14ac:dyDescent="0.25">
      <c r="A824" s="274"/>
      <c r="B824" s="498"/>
      <c r="C824" s="287"/>
      <c r="D824" s="288"/>
      <c r="E824" s="288"/>
    </row>
    <row r="825" spans="1:10" x14ac:dyDescent="0.25">
      <c r="A825" s="274"/>
      <c r="B825" s="498"/>
      <c r="C825" s="287"/>
      <c r="D825" s="288"/>
      <c r="E825" s="288"/>
      <c r="F825" s="438"/>
      <c r="G825" s="438"/>
      <c r="H825" s="438"/>
      <c r="I825" s="438"/>
      <c r="J825" s="438"/>
    </row>
    <row r="826" spans="1:10" x14ac:dyDescent="0.25">
      <c r="A826" s="274"/>
      <c r="B826" s="498"/>
      <c r="C826" s="287"/>
      <c r="D826" s="288"/>
      <c r="E826" s="288"/>
      <c r="F826" s="438"/>
      <c r="G826" s="438"/>
      <c r="H826" s="438"/>
      <c r="I826" s="438"/>
      <c r="J826" s="438"/>
    </row>
    <row r="827" spans="1:10" x14ac:dyDescent="0.25">
      <c r="A827" s="274"/>
      <c r="B827" s="498"/>
      <c r="C827" s="287"/>
      <c r="D827" s="288"/>
      <c r="E827" s="288"/>
      <c r="F827" s="438"/>
      <c r="G827" s="438"/>
      <c r="H827" s="438"/>
      <c r="I827" s="438"/>
      <c r="J827" s="438"/>
    </row>
    <row r="828" spans="1:10" x14ac:dyDescent="0.25">
      <c r="A828" s="274"/>
      <c r="B828" s="498"/>
      <c r="C828" s="287"/>
      <c r="D828" s="288"/>
      <c r="E828" s="288"/>
      <c r="F828" s="438"/>
      <c r="G828" s="438"/>
      <c r="H828" s="438"/>
      <c r="I828" s="438"/>
      <c r="J828" s="438"/>
    </row>
    <row r="829" spans="1:10" x14ac:dyDescent="0.25">
      <c r="A829" s="274"/>
      <c r="B829" s="498"/>
      <c r="C829" s="287"/>
      <c r="D829" s="288"/>
      <c r="E829" s="288"/>
      <c r="F829" s="438"/>
      <c r="G829" s="438"/>
      <c r="H829" s="438"/>
      <c r="I829" s="438"/>
      <c r="J829" s="438"/>
    </row>
    <row r="830" spans="1:10" x14ac:dyDescent="0.25">
      <c r="A830" s="274"/>
      <c r="B830" s="498"/>
      <c r="C830" s="287"/>
      <c r="D830" s="288"/>
      <c r="E830" s="288"/>
      <c r="F830" s="438"/>
      <c r="G830" s="438"/>
      <c r="H830" s="438"/>
      <c r="I830" s="438"/>
      <c r="J830" s="438"/>
    </row>
    <row r="831" spans="1:10" x14ac:dyDescent="0.25">
      <c r="A831" s="274"/>
      <c r="B831" s="498"/>
      <c r="C831" s="287"/>
      <c r="D831" s="288"/>
      <c r="E831" s="288"/>
      <c r="F831" s="438"/>
      <c r="G831" s="438"/>
      <c r="H831" s="438"/>
      <c r="I831" s="438"/>
      <c r="J831" s="438"/>
    </row>
    <row r="832" spans="1:10" x14ac:dyDescent="0.25">
      <c r="A832" s="274"/>
      <c r="B832" s="498"/>
      <c r="C832" s="287"/>
      <c r="D832" s="288"/>
      <c r="E832" s="288"/>
      <c r="F832" s="438"/>
      <c r="G832" s="438"/>
      <c r="H832" s="438"/>
      <c r="I832" s="438"/>
      <c r="J832" s="438"/>
    </row>
    <row r="833" spans="1:10" x14ac:dyDescent="0.25">
      <c r="A833" s="274"/>
      <c r="B833" s="498"/>
      <c r="C833" s="287"/>
      <c r="D833" s="288"/>
      <c r="E833" s="288"/>
      <c r="F833" s="438"/>
      <c r="G833" s="438"/>
      <c r="H833" s="438"/>
      <c r="I833" s="438"/>
      <c r="J833" s="438"/>
    </row>
    <row r="834" spans="1:10" x14ac:dyDescent="0.25">
      <c r="A834" s="274"/>
      <c r="B834" s="498"/>
      <c r="C834" s="287"/>
      <c r="D834" s="288"/>
      <c r="E834" s="288"/>
      <c r="F834" s="438"/>
      <c r="G834" s="438"/>
      <c r="H834" s="438"/>
      <c r="I834" s="438"/>
      <c r="J834" s="438"/>
    </row>
    <row r="835" spans="1:10" x14ac:dyDescent="0.25">
      <c r="A835" s="274"/>
      <c r="B835" s="498"/>
      <c r="C835" s="287"/>
      <c r="D835" s="288"/>
      <c r="E835" s="288"/>
      <c r="F835" s="438"/>
      <c r="G835" s="438"/>
      <c r="H835" s="438"/>
      <c r="I835" s="438"/>
      <c r="J835" s="438"/>
    </row>
    <row r="836" spans="1:10" x14ac:dyDescent="0.25">
      <c r="A836" s="274"/>
      <c r="B836" s="498"/>
      <c r="C836" s="287"/>
      <c r="D836" s="288"/>
      <c r="E836" s="288"/>
      <c r="F836" s="438"/>
      <c r="G836" s="438"/>
      <c r="H836" s="438"/>
      <c r="I836" s="438"/>
      <c r="J836" s="438"/>
    </row>
    <row r="837" spans="1:10" x14ac:dyDescent="0.25">
      <c r="A837" s="274"/>
      <c r="B837" s="498"/>
      <c r="C837" s="287"/>
      <c r="D837" s="288"/>
      <c r="E837" s="288"/>
      <c r="F837" s="438"/>
      <c r="G837" s="438"/>
      <c r="H837" s="438"/>
      <c r="I837" s="438"/>
      <c r="J837" s="438"/>
    </row>
    <row r="838" spans="1:10" x14ac:dyDescent="0.25">
      <c r="A838" s="274"/>
      <c r="B838" s="498"/>
      <c r="C838" s="287"/>
      <c r="D838" s="288"/>
      <c r="E838" s="288"/>
      <c r="F838" s="438"/>
      <c r="G838" s="438"/>
      <c r="H838" s="438"/>
      <c r="I838" s="438"/>
      <c r="J838" s="438"/>
    </row>
    <row r="839" spans="1:10" x14ac:dyDescent="0.25">
      <c r="A839" s="274"/>
      <c r="B839" s="498"/>
      <c r="C839" s="287"/>
      <c r="D839" s="288"/>
      <c r="E839" s="288"/>
      <c r="F839" s="438"/>
      <c r="G839" s="438"/>
      <c r="H839" s="438"/>
      <c r="I839" s="438"/>
      <c r="J839" s="438"/>
    </row>
    <row r="840" spans="1:10" x14ac:dyDescent="0.25">
      <c r="A840" s="274"/>
      <c r="B840" s="498"/>
      <c r="C840" s="287"/>
      <c r="D840" s="288"/>
      <c r="E840" s="288"/>
      <c r="F840" s="438"/>
      <c r="G840" s="438"/>
      <c r="H840" s="438"/>
      <c r="I840" s="438"/>
      <c r="J840" s="438"/>
    </row>
    <row r="841" spans="1:10" x14ac:dyDescent="0.25">
      <c r="A841" s="274"/>
      <c r="B841" s="498"/>
      <c r="C841" s="287"/>
      <c r="D841" s="288"/>
      <c r="E841" s="288"/>
      <c r="F841" s="438"/>
      <c r="G841" s="438"/>
      <c r="H841" s="438"/>
      <c r="I841" s="438"/>
      <c r="J841" s="438"/>
    </row>
    <row r="842" spans="1:10" x14ac:dyDescent="0.25">
      <c r="A842" s="274"/>
      <c r="B842" s="498"/>
      <c r="C842" s="287"/>
      <c r="D842" s="288"/>
      <c r="E842" s="288"/>
      <c r="F842" s="438"/>
      <c r="G842" s="438"/>
      <c r="H842" s="438"/>
      <c r="I842" s="438"/>
      <c r="J842" s="438"/>
    </row>
    <row r="843" spans="1:10" x14ac:dyDescent="0.25">
      <c r="A843" s="274"/>
      <c r="B843" s="498"/>
      <c r="C843" s="287"/>
      <c r="D843" s="288"/>
      <c r="E843" s="288"/>
      <c r="F843" s="438"/>
      <c r="G843" s="438"/>
      <c r="H843" s="438"/>
      <c r="I843" s="438"/>
      <c r="J843" s="438"/>
    </row>
    <row r="844" spans="1:10" x14ac:dyDescent="0.25">
      <c r="A844" s="274"/>
      <c r="B844" s="498"/>
      <c r="C844" s="287"/>
      <c r="D844" s="288"/>
      <c r="E844" s="288"/>
      <c r="F844" s="438"/>
      <c r="G844" s="438"/>
      <c r="H844" s="438"/>
      <c r="I844" s="438"/>
      <c r="J844" s="438"/>
    </row>
    <row r="845" spans="1:10" x14ac:dyDescent="0.25">
      <c r="A845" s="274"/>
      <c r="B845" s="498"/>
      <c r="C845" s="287"/>
      <c r="D845" s="288"/>
      <c r="E845" s="288"/>
      <c r="F845" s="438"/>
      <c r="G845" s="438"/>
      <c r="H845" s="438"/>
      <c r="I845" s="438"/>
      <c r="J845" s="438"/>
    </row>
    <row r="846" spans="1:10" x14ac:dyDescent="0.25">
      <c r="A846" s="274"/>
      <c r="B846" s="498"/>
      <c r="C846" s="287"/>
      <c r="D846" s="288"/>
      <c r="E846" s="288"/>
      <c r="F846" s="438"/>
      <c r="G846" s="438"/>
      <c r="H846" s="438"/>
      <c r="I846" s="438"/>
      <c r="J846" s="438"/>
    </row>
    <row r="847" spans="1:10" x14ac:dyDescent="0.25">
      <c r="A847" s="274"/>
      <c r="B847" s="498"/>
      <c r="C847" s="287"/>
      <c r="D847" s="288"/>
      <c r="E847" s="288"/>
      <c r="F847" s="438"/>
      <c r="G847" s="438"/>
      <c r="H847" s="438"/>
      <c r="I847" s="438"/>
      <c r="J847" s="438"/>
    </row>
    <row r="848" spans="1:10" x14ac:dyDescent="0.25">
      <c r="A848" s="274"/>
      <c r="B848" s="498"/>
      <c r="C848" s="287"/>
      <c r="D848" s="288"/>
      <c r="E848" s="288"/>
      <c r="F848" s="438"/>
      <c r="G848" s="438"/>
      <c r="H848" s="438"/>
      <c r="I848" s="438"/>
      <c r="J848" s="438"/>
    </row>
    <row r="849" spans="1:10" x14ac:dyDescent="0.25">
      <c r="A849" s="274"/>
      <c r="B849" s="498"/>
      <c r="C849" s="287"/>
      <c r="D849" s="288"/>
      <c r="E849" s="288"/>
      <c r="F849" s="438"/>
      <c r="G849" s="438"/>
      <c r="H849" s="438"/>
      <c r="I849" s="438"/>
      <c r="J849" s="438"/>
    </row>
    <row r="850" spans="1:10" x14ac:dyDescent="0.25">
      <c r="A850" s="274"/>
      <c r="B850" s="498"/>
      <c r="C850" s="287"/>
      <c r="D850" s="288"/>
      <c r="E850" s="288"/>
      <c r="F850" s="438"/>
      <c r="G850" s="438"/>
      <c r="H850" s="438"/>
      <c r="I850" s="438"/>
      <c r="J850" s="438"/>
    </row>
    <row r="851" spans="1:10" x14ac:dyDescent="0.25">
      <c r="A851" s="274"/>
      <c r="B851" s="498"/>
      <c r="C851" s="287"/>
      <c r="D851" s="288"/>
      <c r="E851" s="288"/>
      <c r="F851" s="438"/>
      <c r="G851" s="438"/>
      <c r="H851" s="438"/>
      <c r="I851" s="438"/>
      <c r="J851" s="438"/>
    </row>
    <row r="852" spans="1:10" x14ac:dyDescent="0.25">
      <c r="A852" s="274"/>
      <c r="B852" s="498"/>
      <c r="C852" s="287"/>
      <c r="D852" s="288"/>
      <c r="E852" s="288"/>
      <c r="F852" s="438"/>
      <c r="G852" s="438"/>
      <c r="H852" s="438"/>
      <c r="I852" s="438"/>
      <c r="J852" s="438"/>
    </row>
    <row r="853" spans="1:10" x14ac:dyDescent="0.25">
      <c r="A853" s="274"/>
      <c r="B853" s="498"/>
      <c r="C853" s="287"/>
      <c r="D853" s="288"/>
      <c r="E853" s="288"/>
      <c r="F853" s="438"/>
      <c r="G853" s="438"/>
      <c r="H853" s="438"/>
      <c r="I853" s="438"/>
      <c r="J853" s="438"/>
    </row>
    <row r="854" spans="1:10" x14ac:dyDescent="0.25">
      <c r="A854" s="274"/>
      <c r="B854" s="498"/>
      <c r="C854" s="287"/>
      <c r="D854" s="288"/>
      <c r="E854" s="288"/>
      <c r="F854" s="438"/>
      <c r="G854" s="438"/>
      <c r="H854" s="438"/>
      <c r="I854" s="438"/>
      <c r="J854" s="438"/>
    </row>
    <row r="855" spans="1:10" x14ac:dyDescent="0.25">
      <c r="A855" s="274"/>
      <c r="B855" s="498"/>
      <c r="C855" s="287"/>
      <c r="D855" s="288"/>
      <c r="E855" s="288"/>
      <c r="F855" s="438"/>
      <c r="G855" s="438"/>
      <c r="H855" s="438"/>
      <c r="I855" s="438"/>
      <c r="J855" s="438"/>
    </row>
    <row r="856" spans="1:10" x14ac:dyDescent="0.25">
      <c r="A856" s="274"/>
      <c r="B856" s="498"/>
      <c r="C856" s="287"/>
      <c r="D856" s="288"/>
      <c r="E856" s="288"/>
      <c r="F856" s="438"/>
      <c r="G856" s="438"/>
      <c r="H856" s="438"/>
      <c r="I856" s="438"/>
      <c r="J856" s="438"/>
    </row>
    <row r="857" spans="1:10" x14ac:dyDescent="0.25">
      <c r="A857" s="274"/>
      <c r="B857" s="498"/>
      <c r="C857" s="287"/>
      <c r="D857" s="288"/>
      <c r="E857" s="288"/>
      <c r="F857" s="438"/>
      <c r="G857" s="438"/>
      <c r="H857" s="438"/>
      <c r="I857" s="438"/>
      <c r="J857" s="438"/>
    </row>
    <row r="858" spans="1:10" x14ac:dyDescent="0.25">
      <c r="A858" s="274"/>
      <c r="B858" s="498"/>
      <c r="C858" s="287"/>
      <c r="D858" s="288"/>
      <c r="E858" s="288"/>
      <c r="F858" s="438"/>
      <c r="G858" s="438"/>
      <c r="H858" s="438"/>
      <c r="I858" s="438"/>
      <c r="J858" s="438"/>
    </row>
    <row r="859" spans="1:10" x14ac:dyDescent="0.25">
      <c r="A859" s="274"/>
      <c r="B859" s="498"/>
      <c r="C859" s="287"/>
      <c r="D859" s="288"/>
      <c r="E859" s="288"/>
      <c r="F859" s="438"/>
      <c r="G859" s="438"/>
      <c r="H859" s="438"/>
      <c r="I859" s="438"/>
      <c r="J859" s="438"/>
    </row>
    <row r="860" spans="1:10" x14ac:dyDescent="0.25">
      <c r="A860" s="274"/>
      <c r="B860" s="498"/>
      <c r="C860" s="287"/>
      <c r="D860" s="288"/>
      <c r="E860" s="288"/>
      <c r="F860" s="438"/>
      <c r="G860" s="438"/>
      <c r="H860" s="438"/>
      <c r="I860" s="438"/>
      <c r="J860" s="438"/>
    </row>
    <row r="861" spans="1:10" x14ac:dyDescent="0.25">
      <c r="A861" s="274"/>
      <c r="B861" s="498"/>
      <c r="C861" s="287"/>
      <c r="D861" s="288"/>
      <c r="E861" s="288"/>
      <c r="F861" s="438"/>
      <c r="G861" s="438"/>
      <c r="H861" s="438"/>
      <c r="I861" s="438"/>
      <c r="J861" s="438"/>
    </row>
    <row r="862" spans="1:10" x14ac:dyDescent="0.25">
      <c r="A862" s="274"/>
      <c r="B862" s="498"/>
      <c r="C862" s="287"/>
      <c r="D862" s="288"/>
      <c r="E862" s="288"/>
      <c r="F862" s="438"/>
      <c r="G862" s="438"/>
      <c r="H862" s="438"/>
      <c r="I862" s="438"/>
      <c r="J862" s="438"/>
    </row>
    <row r="863" spans="1:10" x14ac:dyDescent="0.25">
      <c r="A863" s="274"/>
      <c r="B863" s="498"/>
      <c r="C863" s="287"/>
      <c r="D863" s="288"/>
      <c r="E863" s="288"/>
      <c r="F863" s="438"/>
      <c r="G863" s="438"/>
      <c r="H863" s="438"/>
      <c r="I863" s="438"/>
      <c r="J863" s="438"/>
    </row>
    <row r="864" spans="1:10" x14ac:dyDescent="0.25">
      <c r="A864" s="274"/>
      <c r="B864" s="498"/>
      <c r="C864" s="287"/>
      <c r="D864" s="288"/>
      <c r="E864" s="288"/>
      <c r="F864" s="438"/>
      <c r="G864" s="438"/>
      <c r="H864" s="438"/>
      <c r="I864" s="438"/>
      <c r="J864" s="438"/>
    </row>
    <row r="865" spans="1:10" x14ac:dyDescent="0.25">
      <c r="A865" s="274"/>
      <c r="B865" s="498"/>
      <c r="C865" s="287"/>
      <c r="D865" s="288"/>
      <c r="E865" s="288"/>
      <c r="F865" s="438"/>
      <c r="G865" s="438"/>
      <c r="H865" s="438"/>
      <c r="I865" s="438"/>
      <c r="J865" s="438"/>
    </row>
    <row r="866" spans="1:10" x14ac:dyDescent="0.25">
      <c r="A866" s="274"/>
      <c r="B866" s="498"/>
      <c r="C866" s="287"/>
      <c r="D866" s="288"/>
      <c r="E866" s="288"/>
      <c r="F866" s="438"/>
      <c r="G866" s="438"/>
      <c r="H866" s="438"/>
      <c r="I866" s="438"/>
      <c r="J866" s="438"/>
    </row>
    <row r="867" spans="1:10" x14ac:dyDescent="0.25">
      <c r="A867" s="274"/>
      <c r="B867" s="498"/>
      <c r="C867" s="287"/>
      <c r="D867" s="288"/>
      <c r="E867" s="288"/>
      <c r="F867" s="438"/>
      <c r="G867" s="438"/>
      <c r="H867" s="438"/>
      <c r="I867" s="438"/>
      <c r="J867" s="438"/>
    </row>
    <row r="868" spans="1:10" x14ac:dyDescent="0.25">
      <c r="A868" s="274"/>
      <c r="B868" s="498"/>
      <c r="C868" s="287"/>
      <c r="D868" s="288"/>
      <c r="E868" s="288"/>
      <c r="F868" s="438"/>
      <c r="G868" s="438"/>
      <c r="H868" s="438"/>
      <c r="I868" s="438"/>
      <c r="J868" s="438"/>
    </row>
    <row r="869" spans="1:10" x14ac:dyDescent="0.25">
      <c r="A869" s="274"/>
      <c r="B869" s="498"/>
      <c r="C869" s="287"/>
      <c r="D869" s="288"/>
      <c r="E869" s="288"/>
      <c r="F869" s="438"/>
      <c r="G869" s="438"/>
      <c r="H869" s="438"/>
      <c r="I869" s="438"/>
      <c r="J869" s="438"/>
    </row>
    <row r="870" spans="1:10" x14ac:dyDescent="0.25">
      <c r="A870" s="274"/>
      <c r="B870" s="498"/>
      <c r="C870" s="287"/>
      <c r="D870" s="288"/>
      <c r="E870" s="288"/>
      <c r="F870" s="438"/>
      <c r="G870" s="438"/>
      <c r="H870" s="438"/>
      <c r="I870" s="438"/>
      <c r="J870" s="438"/>
    </row>
    <row r="871" spans="1:10" x14ac:dyDescent="0.25">
      <c r="A871" s="274"/>
      <c r="B871" s="498"/>
      <c r="C871" s="287"/>
      <c r="D871" s="288"/>
      <c r="E871" s="288"/>
      <c r="F871" s="438"/>
      <c r="G871" s="438"/>
      <c r="H871" s="438"/>
      <c r="I871" s="438"/>
      <c r="J871" s="438"/>
    </row>
    <row r="872" spans="1:10" x14ac:dyDescent="0.25">
      <c r="A872" s="274"/>
      <c r="B872" s="498"/>
      <c r="C872" s="287"/>
      <c r="D872" s="288"/>
      <c r="E872" s="288"/>
      <c r="F872" s="438"/>
      <c r="G872" s="438"/>
      <c r="H872" s="438"/>
      <c r="I872" s="438"/>
      <c r="J872" s="438"/>
    </row>
    <row r="873" spans="1:10" x14ac:dyDescent="0.25">
      <c r="A873" s="274"/>
      <c r="B873" s="498"/>
      <c r="C873" s="287"/>
      <c r="D873" s="288"/>
      <c r="E873" s="288"/>
      <c r="F873" s="438"/>
      <c r="G873" s="438"/>
      <c r="H873" s="438"/>
      <c r="I873" s="438"/>
      <c r="J873" s="438"/>
    </row>
    <row r="874" spans="1:10" x14ac:dyDescent="0.25">
      <c r="A874" s="274"/>
      <c r="B874" s="498"/>
      <c r="C874" s="287"/>
      <c r="D874" s="288"/>
      <c r="E874" s="288"/>
      <c r="F874" s="438"/>
      <c r="G874" s="438"/>
      <c r="H874" s="438"/>
      <c r="I874" s="438"/>
      <c r="J874" s="438"/>
    </row>
    <row r="875" spans="1:10" x14ac:dyDescent="0.25">
      <c r="A875" s="274"/>
      <c r="B875" s="498"/>
      <c r="C875" s="287"/>
      <c r="D875" s="288"/>
      <c r="E875" s="288"/>
      <c r="F875" s="438"/>
      <c r="G875" s="438"/>
      <c r="H875" s="438"/>
      <c r="I875" s="438"/>
      <c r="J875" s="438"/>
    </row>
    <row r="876" spans="1:10" x14ac:dyDescent="0.25">
      <c r="A876" s="274"/>
      <c r="B876" s="498"/>
      <c r="C876" s="287"/>
      <c r="D876" s="288"/>
      <c r="E876" s="288"/>
      <c r="F876" s="438"/>
      <c r="G876" s="438"/>
      <c r="H876" s="438"/>
      <c r="I876" s="438"/>
      <c r="J876" s="438"/>
    </row>
    <row r="877" spans="1:10" x14ac:dyDescent="0.25">
      <c r="A877" s="274"/>
      <c r="B877" s="498"/>
      <c r="C877" s="287"/>
      <c r="D877" s="288"/>
      <c r="E877" s="288"/>
      <c r="F877" s="438"/>
      <c r="G877" s="438"/>
      <c r="H877" s="438"/>
      <c r="I877" s="438"/>
      <c r="J877" s="438"/>
    </row>
    <row r="878" spans="1:10" x14ac:dyDescent="0.25">
      <c r="A878" s="274"/>
      <c r="B878" s="498"/>
      <c r="C878" s="287"/>
      <c r="D878" s="288"/>
      <c r="E878" s="288"/>
      <c r="F878" s="438"/>
      <c r="G878" s="438"/>
      <c r="H878" s="438"/>
      <c r="I878" s="438"/>
      <c r="J878" s="438"/>
    </row>
    <row r="879" spans="1:10" x14ac:dyDescent="0.25">
      <c r="A879" s="274"/>
      <c r="B879" s="498"/>
      <c r="C879" s="287"/>
      <c r="D879" s="288"/>
      <c r="E879" s="288"/>
      <c r="F879" s="438"/>
      <c r="G879" s="438"/>
      <c r="H879" s="438"/>
      <c r="I879" s="438"/>
      <c r="J879" s="438"/>
    </row>
    <row r="880" spans="1:10" x14ac:dyDescent="0.25">
      <c r="A880" s="274"/>
      <c r="B880" s="498"/>
      <c r="C880" s="287"/>
      <c r="D880" s="288"/>
      <c r="E880" s="288"/>
      <c r="F880" s="438"/>
      <c r="G880" s="438"/>
      <c r="H880" s="438"/>
      <c r="I880" s="438"/>
      <c r="J880" s="438"/>
    </row>
    <row r="881" spans="1:10" x14ac:dyDescent="0.25">
      <c r="A881" s="274"/>
      <c r="B881" s="498"/>
      <c r="C881" s="287"/>
      <c r="D881" s="288"/>
      <c r="E881" s="288"/>
      <c r="F881" s="438"/>
      <c r="G881" s="438"/>
      <c r="H881" s="438"/>
      <c r="I881" s="438"/>
      <c r="J881" s="438"/>
    </row>
    <row r="882" spans="1:10" x14ac:dyDescent="0.25">
      <c r="A882" s="274"/>
      <c r="B882" s="498"/>
      <c r="C882" s="287"/>
      <c r="D882" s="288"/>
      <c r="E882" s="288"/>
      <c r="F882" s="438"/>
      <c r="G882" s="438"/>
      <c r="H882" s="438"/>
      <c r="I882" s="438"/>
      <c r="J882" s="438"/>
    </row>
    <row r="883" spans="1:10" x14ac:dyDescent="0.25">
      <c r="A883" s="274"/>
      <c r="B883" s="498"/>
      <c r="C883" s="287"/>
      <c r="D883" s="288"/>
      <c r="E883" s="288"/>
      <c r="F883" s="438"/>
      <c r="G883" s="438"/>
      <c r="H883" s="438"/>
      <c r="I883" s="438"/>
      <c r="J883" s="438"/>
    </row>
    <row r="884" spans="1:10" x14ac:dyDescent="0.25">
      <c r="A884" s="274"/>
      <c r="B884" s="498"/>
      <c r="C884" s="287"/>
      <c r="D884" s="288"/>
      <c r="E884" s="288"/>
      <c r="F884" s="438"/>
      <c r="G884" s="438"/>
      <c r="H884" s="438"/>
      <c r="I884" s="438"/>
      <c r="J884" s="438"/>
    </row>
    <row r="885" spans="1:10" x14ac:dyDescent="0.25">
      <c r="A885" s="274"/>
      <c r="B885" s="498"/>
      <c r="C885" s="287"/>
      <c r="D885" s="288"/>
      <c r="E885" s="288"/>
      <c r="F885" s="438"/>
      <c r="G885" s="438"/>
      <c r="H885" s="438"/>
      <c r="I885" s="438"/>
      <c r="J885" s="438"/>
    </row>
    <row r="886" spans="1:10" x14ac:dyDescent="0.25">
      <c r="A886" s="274"/>
      <c r="B886" s="498"/>
      <c r="C886" s="287"/>
      <c r="D886" s="288"/>
      <c r="E886" s="288"/>
      <c r="F886" s="438"/>
      <c r="G886" s="438"/>
      <c r="H886" s="438"/>
      <c r="I886" s="438"/>
      <c r="J886" s="438"/>
    </row>
    <row r="887" spans="1:10" x14ac:dyDescent="0.25">
      <c r="A887" s="274"/>
      <c r="B887" s="498"/>
      <c r="C887" s="287"/>
      <c r="D887" s="288"/>
      <c r="E887" s="288"/>
      <c r="F887" s="438"/>
      <c r="G887" s="438"/>
      <c r="H887" s="438"/>
      <c r="I887" s="438"/>
      <c r="J887" s="438"/>
    </row>
    <row r="888" spans="1:10" x14ac:dyDescent="0.25">
      <c r="A888" s="274"/>
      <c r="B888" s="498"/>
      <c r="C888" s="287"/>
      <c r="D888" s="288"/>
      <c r="E888" s="288"/>
      <c r="F888" s="438"/>
      <c r="G888" s="438"/>
      <c r="H888" s="438"/>
      <c r="I888" s="438"/>
      <c r="J888" s="438"/>
    </row>
    <row r="889" spans="1:10" x14ac:dyDescent="0.25">
      <c r="A889" s="274"/>
      <c r="B889" s="498"/>
      <c r="C889" s="287"/>
      <c r="D889" s="288"/>
      <c r="E889" s="288"/>
      <c r="F889" s="438"/>
      <c r="G889" s="438"/>
      <c r="H889" s="438"/>
      <c r="I889" s="438"/>
      <c r="J889" s="438"/>
    </row>
    <row r="890" spans="1:10" x14ac:dyDescent="0.25">
      <c r="A890" s="274"/>
      <c r="B890" s="498"/>
      <c r="C890" s="287"/>
      <c r="D890" s="288"/>
      <c r="E890" s="288"/>
      <c r="F890" s="438"/>
      <c r="G890" s="438"/>
      <c r="H890" s="438"/>
      <c r="I890" s="438"/>
      <c r="J890" s="438"/>
    </row>
    <row r="891" spans="1:10" x14ac:dyDescent="0.25">
      <c r="A891" s="274"/>
      <c r="B891" s="498"/>
      <c r="C891" s="287"/>
      <c r="D891" s="288"/>
      <c r="E891" s="288"/>
      <c r="F891" s="438"/>
      <c r="G891" s="438"/>
      <c r="H891" s="438"/>
      <c r="I891" s="438"/>
      <c r="J891" s="438"/>
    </row>
    <row r="892" spans="1:10" x14ac:dyDescent="0.25">
      <c r="A892" s="274"/>
      <c r="B892" s="498"/>
      <c r="C892" s="287"/>
      <c r="D892" s="288"/>
      <c r="E892" s="288"/>
      <c r="F892" s="438"/>
      <c r="G892" s="438"/>
      <c r="H892" s="438"/>
      <c r="I892" s="438"/>
      <c r="J892" s="438"/>
    </row>
    <row r="893" spans="1:10" x14ac:dyDescent="0.25">
      <c r="A893" s="274"/>
      <c r="B893" s="498"/>
      <c r="C893" s="287"/>
      <c r="D893" s="288"/>
      <c r="E893" s="288"/>
      <c r="F893" s="438"/>
      <c r="G893" s="438"/>
      <c r="H893" s="438"/>
      <c r="I893" s="438"/>
      <c r="J893" s="438"/>
    </row>
    <row r="894" spans="1:10" x14ac:dyDescent="0.25">
      <c r="A894" s="274"/>
      <c r="B894" s="498"/>
      <c r="C894" s="287"/>
      <c r="D894" s="288"/>
      <c r="E894" s="288"/>
      <c r="F894" s="438"/>
      <c r="G894" s="438"/>
      <c r="H894" s="438"/>
      <c r="I894" s="438"/>
      <c r="J894" s="438"/>
    </row>
    <row r="895" spans="1:10" x14ac:dyDescent="0.25">
      <c r="A895" s="274"/>
      <c r="B895" s="498"/>
      <c r="C895" s="287"/>
      <c r="D895" s="288"/>
      <c r="E895" s="288"/>
      <c r="F895" s="438"/>
      <c r="G895" s="438"/>
      <c r="H895" s="438"/>
      <c r="I895" s="438"/>
      <c r="J895" s="438"/>
    </row>
    <row r="896" spans="1:10" x14ac:dyDescent="0.25">
      <c r="A896" s="274"/>
      <c r="B896" s="498"/>
      <c r="C896" s="287"/>
      <c r="D896" s="288"/>
      <c r="E896" s="288"/>
      <c r="F896" s="438"/>
      <c r="G896" s="438"/>
      <c r="H896" s="438"/>
      <c r="I896" s="438"/>
      <c r="J896" s="438"/>
    </row>
    <row r="897" spans="1:10" x14ac:dyDescent="0.25">
      <c r="A897" s="274"/>
      <c r="B897" s="498"/>
      <c r="C897" s="287"/>
      <c r="D897" s="288"/>
      <c r="E897" s="288"/>
      <c r="F897" s="438"/>
      <c r="G897" s="438"/>
      <c r="H897" s="438"/>
      <c r="I897" s="438"/>
      <c r="J897" s="438"/>
    </row>
    <row r="898" spans="1:10" x14ac:dyDescent="0.25">
      <c r="A898" s="274"/>
      <c r="B898" s="498"/>
      <c r="C898" s="287"/>
      <c r="D898" s="288"/>
      <c r="E898" s="288"/>
      <c r="F898" s="438"/>
      <c r="G898" s="438"/>
      <c r="H898" s="438"/>
      <c r="I898" s="438"/>
      <c r="J898" s="438"/>
    </row>
    <row r="899" spans="1:10" x14ac:dyDescent="0.25">
      <c r="A899" s="274"/>
      <c r="B899" s="498"/>
      <c r="C899" s="287"/>
      <c r="D899" s="288"/>
      <c r="E899" s="288"/>
      <c r="F899" s="438"/>
      <c r="G899" s="438"/>
      <c r="H899" s="438"/>
      <c r="I899" s="438"/>
      <c r="J899" s="438"/>
    </row>
    <row r="900" spans="1:10" x14ac:dyDescent="0.25">
      <c r="A900" s="274"/>
      <c r="B900" s="498"/>
      <c r="C900" s="287"/>
      <c r="D900" s="288"/>
      <c r="E900" s="288"/>
      <c r="F900" s="438"/>
      <c r="G900" s="438"/>
      <c r="H900" s="438"/>
      <c r="I900" s="438"/>
      <c r="J900" s="438"/>
    </row>
    <row r="901" spans="1:10" x14ac:dyDescent="0.25">
      <c r="A901" s="274"/>
      <c r="B901" s="498"/>
      <c r="C901" s="287"/>
      <c r="D901" s="288"/>
      <c r="E901" s="288"/>
      <c r="F901" s="438"/>
      <c r="G901" s="438"/>
      <c r="H901" s="438"/>
      <c r="I901" s="438"/>
      <c r="J901" s="438"/>
    </row>
    <row r="902" spans="1:10" x14ac:dyDescent="0.25">
      <c r="A902" s="274"/>
      <c r="B902" s="498"/>
      <c r="C902" s="287"/>
      <c r="D902" s="288"/>
      <c r="E902" s="288"/>
      <c r="F902" s="438"/>
      <c r="G902" s="438"/>
      <c r="H902" s="438"/>
      <c r="I902" s="438"/>
      <c r="J902" s="438"/>
    </row>
    <row r="903" spans="1:10" x14ac:dyDescent="0.25">
      <c r="A903" s="274"/>
      <c r="B903" s="498"/>
      <c r="C903" s="287"/>
      <c r="D903" s="288"/>
      <c r="E903" s="288"/>
      <c r="F903" s="438"/>
      <c r="G903" s="438"/>
      <c r="H903" s="438"/>
      <c r="I903" s="438"/>
      <c r="J903" s="438"/>
    </row>
    <row r="904" spans="1:10" x14ac:dyDescent="0.25">
      <c r="A904" s="274"/>
      <c r="B904" s="498"/>
      <c r="C904" s="287"/>
      <c r="D904" s="288"/>
      <c r="E904" s="288"/>
      <c r="F904" s="438"/>
      <c r="G904" s="438"/>
      <c r="H904" s="438"/>
      <c r="I904" s="438"/>
      <c r="J904" s="438"/>
    </row>
    <row r="905" spans="1:10" x14ac:dyDescent="0.25">
      <c r="A905" s="274"/>
      <c r="B905" s="498"/>
      <c r="C905" s="287"/>
      <c r="D905" s="288"/>
      <c r="E905" s="288"/>
      <c r="F905" s="438"/>
      <c r="G905" s="438"/>
      <c r="H905" s="438"/>
      <c r="I905" s="438"/>
      <c r="J905" s="438"/>
    </row>
    <row r="906" spans="1:10" x14ac:dyDescent="0.25">
      <c r="A906" s="274"/>
      <c r="B906" s="498"/>
      <c r="C906" s="287"/>
      <c r="D906" s="288"/>
      <c r="E906" s="288"/>
      <c r="F906" s="438"/>
      <c r="G906" s="438"/>
      <c r="H906" s="438"/>
      <c r="I906" s="438"/>
      <c r="J906" s="438"/>
    </row>
    <row r="907" spans="1:10" x14ac:dyDescent="0.25">
      <c r="A907" s="274"/>
      <c r="B907" s="498"/>
      <c r="C907" s="287"/>
      <c r="D907" s="288"/>
      <c r="E907" s="288"/>
      <c r="F907" s="438"/>
      <c r="G907" s="438"/>
      <c r="H907" s="438"/>
      <c r="I907" s="438"/>
      <c r="J907" s="438"/>
    </row>
    <row r="908" spans="1:10" x14ac:dyDescent="0.25">
      <c r="A908" s="274"/>
      <c r="B908" s="498"/>
      <c r="C908" s="287"/>
      <c r="D908" s="288"/>
      <c r="E908" s="288"/>
      <c r="F908" s="438"/>
      <c r="G908" s="438"/>
      <c r="H908" s="438"/>
      <c r="I908" s="438"/>
      <c r="J908" s="438"/>
    </row>
    <row r="909" spans="1:10" x14ac:dyDescent="0.25">
      <c r="A909" s="274"/>
      <c r="B909" s="498"/>
      <c r="C909" s="287"/>
      <c r="D909" s="288"/>
      <c r="E909" s="288"/>
      <c r="F909" s="438"/>
      <c r="G909" s="438"/>
      <c r="H909" s="438"/>
      <c r="I909" s="438"/>
      <c r="J909" s="438"/>
    </row>
    <row r="910" spans="1:10" x14ac:dyDescent="0.25">
      <c r="A910" s="274"/>
      <c r="B910" s="498"/>
      <c r="C910" s="287"/>
      <c r="D910" s="288"/>
      <c r="E910" s="288"/>
      <c r="F910" s="438"/>
      <c r="G910" s="438"/>
      <c r="H910" s="438"/>
      <c r="I910" s="438"/>
      <c r="J910" s="438"/>
    </row>
    <row r="911" spans="1:10" x14ac:dyDescent="0.25">
      <c r="A911" s="274"/>
      <c r="B911" s="498"/>
      <c r="C911" s="287"/>
      <c r="D911" s="288"/>
      <c r="E911" s="288"/>
      <c r="F911" s="438"/>
      <c r="G911" s="438"/>
      <c r="H911" s="438"/>
      <c r="I911" s="438"/>
      <c r="J911" s="438"/>
    </row>
    <row r="912" spans="1:10" x14ac:dyDescent="0.25">
      <c r="A912" s="274"/>
      <c r="B912" s="498"/>
      <c r="C912" s="287"/>
      <c r="D912" s="288"/>
      <c r="E912" s="288"/>
      <c r="F912" s="438"/>
      <c r="G912" s="438"/>
      <c r="H912" s="438"/>
      <c r="I912" s="438"/>
      <c r="J912" s="438"/>
    </row>
    <row r="913" spans="1:10" x14ac:dyDescent="0.25">
      <c r="A913" s="274"/>
      <c r="B913" s="498"/>
      <c r="C913" s="287"/>
      <c r="D913" s="288"/>
      <c r="E913" s="288"/>
      <c r="F913" s="438"/>
      <c r="G913" s="438"/>
      <c r="H913" s="438"/>
      <c r="I913" s="438"/>
      <c r="J913" s="438"/>
    </row>
    <row r="914" spans="1:10" x14ac:dyDescent="0.25">
      <c r="A914" s="274"/>
      <c r="B914" s="498"/>
      <c r="C914" s="287"/>
      <c r="D914" s="288"/>
      <c r="E914" s="288"/>
      <c r="F914" s="438"/>
      <c r="G914" s="438"/>
      <c r="H914" s="438"/>
      <c r="I914" s="438"/>
      <c r="J914" s="438"/>
    </row>
    <row r="915" spans="1:10" x14ac:dyDescent="0.25">
      <c r="A915" s="274"/>
      <c r="B915" s="498"/>
      <c r="C915" s="287"/>
      <c r="D915" s="288"/>
      <c r="E915" s="288"/>
      <c r="F915" s="438"/>
      <c r="G915" s="438"/>
      <c r="H915" s="438"/>
      <c r="I915" s="438"/>
      <c r="J915" s="438"/>
    </row>
    <row r="916" spans="1:10" x14ac:dyDescent="0.25">
      <c r="A916" s="274"/>
      <c r="B916" s="498"/>
      <c r="C916" s="287"/>
      <c r="D916" s="288"/>
      <c r="E916" s="288"/>
      <c r="F916" s="438"/>
      <c r="G916" s="438"/>
      <c r="H916" s="438"/>
      <c r="I916" s="438"/>
      <c r="J916" s="438"/>
    </row>
    <row r="917" spans="1:10" x14ac:dyDescent="0.25">
      <c r="A917" s="274"/>
      <c r="B917" s="498"/>
      <c r="C917" s="287"/>
      <c r="D917" s="288"/>
      <c r="E917" s="288"/>
      <c r="F917" s="438"/>
      <c r="G917" s="438"/>
      <c r="H917" s="438"/>
      <c r="I917" s="438"/>
      <c r="J917" s="438"/>
    </row>
    <row r="918" spans="1:10" x14ac:dyDescent="0.25">
      <c r="A918" s="274"/>
      <c r="B918" s="498"/>
      <c r="C918" s="287"/>
      <c r="D918" s="288"/>
      <c r="E918" s="288"/>
      <c r="F918" s="438"/>
      <c r="G918" s="438"/>
      <c r="H918" s="438"/>
      <c r="I918" s="438"/>
      <c r="J918" s="438"/>
    </row>
    <row r="919" spans="1:10" x14ac:dyDescent="0.25">
      <c r="A919" s="274"/>
      <c r="B919" s="498"/>
      <c r="C919" s="287"/>
      <c r="D919" s="288"/>
      <c r="E919" s="288"/>
      <c r="F919" s="438"/>
      <c r="G919" s="438"/>
      <c r="H919" s="438"/>
      <c r="I919" s="438"/>
      <c r="J919" s="438"/>
    </row>
    <row r="920" spans="1:10" x14ac:dyDescent="0.25">
      <c r="A920" s="274"/>
      <c r="B920" s="498"/>
      <c r="C920" s="287"/>
      <c r="D920" s="288"/>
      <c r="E920" s="288"/>
      <c r="F920" s="438"/>
      <c r="G920" s="438"/>
      <c r="H920" s="438"/>
      <c r="I920" s="438"/>
      <c r="J920" s="438"/>
    </row>
    <row r="921" spans="1:10" x14ac:dyDescent="0.25">
      <c r="A921" s="274"/>
      <c r="B921" s="498"/>
      <c r="C921" s="287"/>
      <c r="D921" s="288"/>
      <c r="E921" s="288"/>
      <c r="F921" s="438"/>
      <c r="G921" s="438"/>
      <c r="H921" s="438"/>
      <c r="I921" s="438"/>
      <c r="J921" s="438"/>
    </row>
    <row r="922" spans="1:10" x14ac:dyDescent="0.25">
      <c r="A922" s="274"/>
      <c r="B922" s="498"/>
      <c r="C922" s="287"/>
      <c r="D922" s="288"/>
      <c r="E922" s="288"/>
      <c r="F922" s="438"/>
      <c r="G922" s="438"/>
      <c r="H922" s="438"/>
      <c r="I922" s="438"/>
      <c r="J922" s="438"/>
    </row>
    <row r="923" spans="1:10" x14ac:dyDescent="0.25">
      <c r="A923" s="274"/>
      <c r="B923" s="498"/>
      <c r="C923" s="287"/>
      <c r="D923" s="288"/>
      <c r="E923" s="288"/>
      <c r="F923" s="438"/>
      <c r="G923" s="438"/>
      <c r="H923" s="438"/>
      <c r="I923" s="438"/>
      <c r="J923" s="438"/>
    </row>
    <row r="924" spans="1:10" x14ac:dyDescent="0.25">
      <c r="A924" s="274"/>
      <c r="B924" s="498"/>
      <c r="C924" s="287"/>
      <c r="D924" s="288"/>
      <c r="E924" s="288"/>
      <c r="F924" s="438"/>
      <c r="G924" s="438"/>
      <c r="H924" s="438"/>
      <c r="I924" s="438"/>
      <c r="J924" s="438"/>
    </row>
    <row r="925" spans="1:10" x14ac:dyDescent="0.25">
      <c r="A925" s="274"/>
      <c r="B925" s="498"/>
      <c r="C925" s="287"/>
      <c r="D925" s="288"/>
      <c r="E925" s="288"/>
      <c r="F925" s="438"/>
      <c r="G925" s="438"/>
      <c r="H925" s="438"/>
      <c r="I925" s="438"/>
      <c r="J925" s="438"/>
    </row>
    <row r="926" spans="1:10" x14ac:dyDescent="0.25">
      <c r="A926" s="274"/>
      <c r="B926" s="498"/>
      <c r="C926" s="287"/>
      <c r="D926" s="288"/>
      <c r="E926" s="288"/>
      <c r="F926" s="438"/>
      <c r="G926" s="438"/>
      <c r="H926" s="438"/>
      <c r="I926" s="438"/>
      <c r="J926" s="438"/>
    </row>
    <row r="927" spans="1:10" x14ac:dyDescent="0.25">
      <c r="A927" s="274"/>
      <c r="B927" s="498"/>
      <c r="C927" s="287"/>
      <c r="D927" s="288"/>
      <c r="E927" s="288"/>
      <c r="F927" s="438"/>
      <c r="G927" s="438"/>
      <c r="H927" s="438"/>
      <c r="I927" s="438"/>
      <c r="J927" s="438"/>
    </row>
    <row r="928" spans="1:10" x14ac:dyDescent="0.25">
      <c r="A928" s="274"/>
      <c r="B928" s="498"/>
      <c r="C928" s="287"/>
      <c r="D928" s="288"/>
      <c r="E928" s="288"/>
      <c r="F928" s="438"/>
      <c r="G928" s="438"/>
      <c r="H928" s="438"/>
      <c r="I928" s="438"/>
      <c r="J928" s="438"/>
    </row>
    <row r="929" spans="1:10" x14ac:dyDescent="0.25">
      <c r="A929" s="274"/>
      <c r="B929" s="498"/>
      <c r="C929" s="287"/>
      <c r="D929" s="288"/>
      <c r="E929" s="288"/>
      <c r="F929" s="438"/>
      <c r="G929" s="438"/>
      <c r="H929" s="438"/>
      <c r="I929" s="438"/>
      <c r="J929" s="438"/>
    </row>
    <row r="930" spans="1:10" x14ac:dyDescent="0.25">
      <c r="A930" s="274"/>
      <c r="B930" s="498"/>
      <c r="C930" s="287"/>
      <c r="D930" s="288"/>
      <c r="E930" s="288"/>
      <c r="F930" s="438"/>
      <c r="G930" s="438"/>
      <c r="H930" s="438"/>
      <c r="I930" s="438"/>
      <c r="J930" s="438"/>
    </row>
    <row r="931" spans="1:10" x14ac:dyDescent="0.25">
      <c r="A931" s="274"/>
      <c r="B931" s="498"/>
      <c r="C931" s="287"/>
      <c r="D931" s="288"/>
      <c r="E931" s="288"/>
      <c r="F931" s="438"/>
      <c r="G931" s="438"/>
      <c r="H931" s="438"/>
      <c r="I931" s="438"/>
      <c r="J931" s="438"/>
    </row>
    <row r="932" spans="1:10" x14ac:dyDescent="0.25">
      <c r="A932" s="274"/>
      <c r="B932" s="498"/>
      <c r="C932" s="287"/>
      <c r="D932" s="288"/>
      <c r="E932" s="288"/>
      <c r="F932" s="438"/>
      <c r="G932" s="438"/>
      <c r="H932" s="438"/>
      <c r="I932" s="438"/>
      <c r="J932" s="438"/>
    </row>
    <row r="933" spans="1:10" x14ac:dyDescent="0.25">
      <c r="A933" s="274"/>
      <c r="B933" s="498"/>
      <c r="C933" s="287"/>
      <c r="D933" s="288"/>
      <c r="E933" s="288"/>
      <c r="F933" s="438"/>
      <c r="G933" s="438"/>
      <c r="H933" s="438"/>
      <c r="I933" s="438"/>
      <c r="J933" s="438"/>
    </row>
    <row r="934" spans="1:10" x14ac:dyDescent="0.25">
      <c r="A934" s="274"/>
      <c r="B934" s="498"/>
      <c r="C934" s="287"/>
      <c r="D934" s="288"/>
      <c r="E934" s="288"/>
      <c r="F934" s="438"/>
      <c r="G934" s="438"/>
      <c r="H934" s="438"/>
      <c r="I934" s="438"/>
      <c r="J934" s="438"/>
    </row>
    <row r="935" spans="1:10" x14ac:dyDescent="0.25">
      <c r="A935" s="274"/>
      <c r="B935" s="498"/>
      <c r="C935" s="287"/>
      <c r="D935" s="288"/>
      <c r="E935" s="288"/>
      <c r="F935" s="438"/>
      <c r="G935" s="438"/>
      <c r="H935" s="438"/>
      <c r="I935" s="438"/>
      <c r="J935" s="438"/>
    </row>
    <row r="936" spans="1:10" x14ac:dyDescent="0.25">
      <c r="A936" s="274"/>
      <c r="B936" s="498"/>
      <c r="C936" s="287"/>
      <c r="D936" s="288"/>
      <c r="E936" s="288"/>
      <c r="F936" s="438"/>
      <c r="G936" s="438"/>
      <c r="H936" s="438"/>
      <c r="I936" s="438"/>
      <c r="J936" s="438"/>
    </row>
    <row r="937" spans="1:10" x14ac:dyDescent="0.25">
      <c r="A937" s="274"/>
      <c r="B937" s="498"/>
      <c r="C937" s="287"/>
      <c r="D937" s="288"/>
      <c r="E937" s="288"/>
      <c r="F937" s="438"/>
      <c r="G937" s="438"/>
      <c r="H937" s="438"/>
      <c r="I937" s="438"/>
      <c r="J937" s="438"/>
    </row>
    <row r="938" spans="1:10" x14ac:dyDescent="0.25">
      <c r="A938" s="274"/>
      <c r="B938" s="498"/>
      <c r="C938" s="287"/>
      <c r="D938" s="288"/>
      <c r="E938" s="288"/>
      <c r="F938" s="438"/>
      <c r="G938" s="438"/>
      <c r="H938" s="438"/>
      <c r="I938" s="438"/>
      <c r="J938" s="438"/>
    </row>
    <row r="939" spans="1:10" x14ac:dyDescent="0.25">
      <c r="A939" s="274"/>
      <c r="B939" s="498"/>
      <c r="C939" s="287"/>
      <c r="D939" s="288"/>
      <c r="E939" s="288"/>
      <c r="F939" s="438"/>
      <c r="G939" s="438"/>
      <c r="H939" s="438"/>
      <c r="I939" s="438"/>
      <c r="J939" s="438"/>
    </row>
    <row r="940" spans="1:10" x14ac:dyDescent="0.25">
      <c r="A940" s="274"/>
      <c r="B940" s="498"/>
      <c r="C940" s="287"/>
      <c r="D940" s="288"/>
      <c r="E940" s="288"/>
      <c r="F940" s="438"/>
      <c r="G940" s="438"/>
      <c r="H940" s="438"/>
      <c r="I940" s="438"/>
      <c r="J940" s="438"/>
    </row>
    <row r="941" spans="1:10" x14ac:dyDescent="0.25">
      <c r="A941" s="274"/>
      <c r="B941" s="498"/>
      <c r="C941" s="287"/>
      <c r="D941" s="288"/>
      <c r="E941" s="288"/>
      <c r="F941" s="438"/>
      <c r="G941" s="438"/>
      <c r="H941" s="438"/>
      <c r="I941" s="438"/>
      <c r="J941" s="438"/>
    </row>
    <row r="942" spans="1:10" x14ac:dyDescent="0.25">
      <c r="A942" s="274"/>
      <c r="B942" s="498"/>
      <c r="C942" s="287"/>
      <c r="D942" s="288"/>
      <c r="E942" s="288"/>
      <c r="F942" s="438"/>
      <c r="G942" s="438"/>
      <c r="H942" s="438"/>
      <c r="I942" s="438"/>
      <c r="J942" s="438"/>
    </row>
    <row r="943" spans="1:10" x14ac:dyDescent="0.25">
      <c r="A943" s="274"/>
      <c r="B943" s="498"/>
      <c r="C943" s="287"/>
      <c r="D943" s="288"/>
      <c r="E943" s="288"/>
      <c r="F943" s="438"/>
      <c r="G943" s="438"/>
      <c r="H943" s="438"/>
      <c r="I943" s="438"/>
      <c r="J943" s="438"/>
    </row>
    <row r="944" spans="1:10" x14ac:dyDescent="0.25">
      <c r="A944" s="274"/>
      <c r="B944" s="498"/>
      <c r="C944" s="287"/>
      <c r="D944" s="288"/>
      <c r="E944" s="288"/>
      <c r="F944" s="438"/>
      <c r="G944" s="438"/>
      <c r="H944" s="438"/>
      <c r="I944" s="438"/>
      <c r="J944" s="438"/>
    </row>
    <row r="945" spans="1:10" x14ac:dyDescent="0.25">
      <c r="A945" s="274"/>
      <c r="B945" s="498"/>
      <c r="C945" s="287"/>
      <c r="D945" s="288"/>
      <c r="E945" s="288"/>
      <c r="F945" s="438"/>
      <c r="G945" s="438"/>
      <c r="H945" s="438"/>
      <c r="I945" s="438"/>
      <c r="J945" s="438"/>
    </row>
    <row r="946" spans="1:10" x14ac:dyDescent="0.25">
      <c r="A946" s="274"/>
      <c r="B946" s="498"/>
      <c r="C946" s="287"/>
      <c r="D946" s="288"/>
      <c r="E946" s="288"/>
      <c r="F946" s="438"/>
      <c r="G946" s="438"/>
      <c r="H946" s="438"/>
      <c r="I946" s="438"/>
      <c r="J946" s="438"/>
    </row>
    <row r="947" spans="1:10" x14ac:dyDescent="0.25">
      <c r="A947" s="274"/>
      <c r="B947" s="498"/>
      <c r="C947" s="287"/>
      <c r="D947" s="288"/>
      <c r="E947" s="288"/>
      <c r="F947" s="438"/>
      <c r="G947" s="438"/>
      <c r="H947" s="438"/>
      <c r="I947" s="438"/>
      <c r="J947" s="438"/>
    </row>
    <row r="948" spans="1:10" x14ac:dyDescent="0.25">
      <c r="A948" s="274"/>
      <c r="B948" s="498"/>
      <c r="C948" s="287"/>
      <c r="D948" s="288"/>
      <c r="E948" s="288"/>
      <c r="F948" s="438"/>
      <c r="G948" s="438"/>
      <c r="H948" s="438"/>
      <c r="I948" s="438"/>
      <c r="J948" s="438"/>
    </row>
    <row r="949" spans="1:10" x14ac:dyDescent="0.25">
      <c r="A949" s="274"/>
      <c r="B949" s="498"/>
      <c r="C949" s="287"/>
      <c r="D949" s="288"/>
      <c r="E949" s="288"/>
      <c r="F949" s="438"/>
      <c r="G949" s="438"/>
      <c r="H949" s="438"/>
      <c r="I949" s="438"/>
      <c r="J949" s="438"/>
    </row>
    <row r="950" spans="1:10" x14ac:dyDescent="0.25">
      <c r="A950" s="274"/>
      <c r="B950" s="498"/>
      <c r="C950" s="287"/>
      <c r="D950" s="288"/>
      <c r="E950" s="288"/>
      <c r="F950" s="438"/>
      <c r="G950" s="438"/>
      <c r="H950" s="438"/>
      <c r="I950" s="438"/>
      <c r="J950" s="438"/>
    </row>
    <row r="951" spans="1:10" x14ac:dyDescent="0.25">
      <c r="A951" s="274"/>
      <c r="B951" s="498"/>
      <c r="C951" s="287"/>
      <c r="D951" s="288"/>
      <c r="E951" s="288"/>
      <c r="F951" s="438"/>
      <c r="G951" s="438"/>
      <c r="H951" s="438"/>
      <c r="I951" s="438"/>
      <c r="J951" s="438"/>
    </row>
    <row r="952" spans="1:10" x14ac:dyDescent="0.25">
      <c r="A952" s="274"/>
      <c r="B952" s="498"/>
      <c r="C952" s="287"/>
      <c r="D952" s="288"/>
      <c r="E952" s="288"/>
      <c r="F952" s="438"/>
      <c r="G952" s="438"/>
      <c r="H952" s="438"/>
      <c r="I952" s="438"/>
      <c r="J952" s="438"/>
    </row>
    <row r="953" spans="1:10" x14ac:dyDescent="0.25">
      <c r="A953" s="274"/>
      <c r="B953" s="498"/>
      <c r="C953" s="287"/>
      <c r="D953" s="288"/>
      <c r="E953" s="288"/>
      <c r="F953" s="438"/>
      <c r="G953" s="438"/>
      <c r="H953" s="438"/>
      <c r="I953" s="438"/>
      <c r="J953" s="438"/>
    </row>
    <row r="954" spans="1:10" x14ac:dyDescent="0.25">
      <c r="A954" s="274"/>
      <c r="B954" s="498"/>
      <c r="C954" s="287"/>
      <c r="D954" s="288"/>
      <c r="E954" s="288"/>
      <c r="F954" s="438"/>
      <c r="G954" s="438"/>
      <c r="H954" s="438"/>
      <c r="I954" s="438"/>
      <c r="J954" s="438"/>
    </row>
    <row r="955" spans="1:10" x14ac:dyDescent="0.25">
      <c r="A955" s="274"/>
      <c r="B955" s="498"/>
      <c r="C955" s="287"/>
      <c r="D955" s="288"/>
      <c r="E955" s="288"/>
      <c r="F955" s="438"/>
      <c r="G955" s="438"/>
      <c r="H955" s="438"/>
      <c r="I955" s="438"/>
      <c r="J955" s="438"/>
    </row>
    <row r="956" spans="1:10" x14ac:dyDescent="0.25">
      <c r="A956" s="274"/>
      <c r="B956" s="498"/>
      <c r="C956" s="287"/>
      <c r="D956" s="288"/>
      <c r="E956" s="288"/>
      <c r="F956" s="438"/>
      <c r="G956" s="438"/>
      <c r="H956" s="438"/>
      <c r="I956" s="438"/>
      <c r="J956" s="438"/>
    </row>
    <row r="957" spans="1:10" x14ac:dyDescent="0.25">
      <c r="A957" s="274"/>
      <c r="B957" s="498"/>
      <c r="C957" s="287"/>
      <c r="D957" s="288"/>
      <c r="E957" s="288"/>
      <c r="F957" s="438"/>
      <c r="G957" s="438"/>
      <c r="H957" s="438"/>
      <c r="I957" s="438"/>
      <c r="J957" s="438"/>
    </row>
    <row r="958" spans="1:10" x14ac:dyDescent="0.25">
      <c r="A958" s="274"/>
      <c r="B958" s="498"/>
      <c r="C958" s="287"/>
      <c r="D958" s="288"/>
      <c r="E958" s="288"/>
      <c r="F958" s="438"/>
      <c r="G958" s="438"/>
      <c r="H958" s="438"/>
      <c r="I958" s="438"/>
      <c r="J958" s="438"/>
    </row>
    <row r="959" spans="1:10" x14ac:dyDescent="0.25">
      <c r="A959" s="274"/>
      <c r="B959" s="498"/>
      <c r="C959" s="287"/>
      <c r="D959" s="288"/>
      <c r="E959" s="288"/>
      <c r="F959" s="438"/>
      <c r="G959" s="438"/>
      <c r="H959" s="438"/>
      <c r="I959" s="438"/>
      <c r="J959" s="438"/>
    </row>
    <row r="960" spans="1:10" x14ac:dyDescent="0.25">
      <c r="A960" s="274"/>
      <c r="B960" s="498"/>
      <c r="C960" s="287"/>
      <c r="D960" s="288"/>
      <c r="E960" s="288"/>
      <c r="F960" s="438"/>
      <c r="G960" s="438"/>
      <c r="H960" s="438"/>
      <c r="I960" s="438"/>
      <c r="J960" s="438"/>
    </row>
    <row r="961" spans="1:10" x14ac:dyDescent="0.25">
      <c r="A961" s="274"/>
      <c r="B961" s="498"/>
      <c r="C961" s="287"/>
      <c r="D961" s="288"/>
      <c r="E961" s="288"/>
      <c r="F961" s="438"/>
      <c r="G961" s="438"/>
      <c r="H961" s="438"/>
      <c r="I961" s="438"/>
      <c r="J961" s="438"/>
    </row>
    <row r="962" spans="1:10" x14ac:dyDescent="0.25">
      <c r="A962" s="274"/>
      <c r="B962" s="498"/>
      <c r="C962" s="287"/>
      <c r="D962" s="288"/>
      <c r="E962" s="288"/>
      <c r="F962" s="438"/>
      <c r="G962" s="438"/>
      <c r="H962" s="438"/>
      <c r="I962" s="438"/>
      <c r="J962" s="438"/>
    </row>
    <row r="963" spans="1:10" x14ac:dyDescent="0.25">
      <c r="A963" s="274"/>
      <c r="B963" s="498"/>
      <c r="C963" s="287"/>
      <c r="D963" s="288"/>
      <c r="E963" s="288"/>
      <c r="F963" s="438"/>
      <c r="G963" s="438"/>
      <c r="H963" s="438"/>
      <c r="I963" s="438"/>
      <c r="J963" s="438"/>
    </row>
    <row r="964" spans="1:10" x14ac:dyDescent="0.25">
      <c r="A964" s="274"/>
      <c r="B964" s="498"/>
      <c r="C964" s="287"/>
      <c r="D964" s="288"/>
      <c r="E964" s="288"/>
      <c r="F964" s="438"/>
      <c r="G964" s="438"/>
      <c r="H964" s="438"/>
      <c r="I964" s="438"/>
      <c r="J964" s="438"/>
    </row>
    <row r="965" spans="1:10" x14ac:dyDescent="0.25">
      <c r="A965" s="274"/>
      <c r="B965" s="498"/>
      <c r="C965" s="287"/>
      <c r="D965" s="288"/>
      <c r="E965" s="288"/>
      <c r="F965" s="438"/>
      <c r="G965" s="438"/>
      <c r="H965" s="438"/>
      <c r="I965" s="438"/>
      <c r="J965" s="438"/>
    </row>
    <row r="966" spans="1:10" x14ac:dyDescent="0.25">
      <c r="A966" s="274"/>
      <c r="B966" s="498"/>
      <c r="C966" s="287"/>
      <c r="D966" s="288"/>
      <c r="E966" s="288"/>
      <c r="F966" s="438"/>
      <c r="G966" s="438"/>
      <c r="H966" s="438"/>
      <c r="I966" s="438"/>
      <c r="J966" s="438"/>
    </row>
    <row r="967" spans="1:10" x14ac:dyDescent="0.25">
      <c r="A967" s="274"/>
      <c r="B967" s="498"/>
      <c r="C967" s="287"/>
      <c r="D967" s="288"/>
      <c r="E967" s="288"/>
      <c r="F967" s="438"/>
      <c r="G967" s="438"/>
      <c r="H967" s="438"/>
      <c r="I967" s="438"/>
      <c r="J967" s="438"/>
    </row>
    <row r="968" spans="1:10" x14ac:dyDescent="0.25">
      <c r="A968" s="274"/>
      <c r="B968" s="498"/>
      <c r="C968" s="287"/>
      <c r="D968" s="288"/>
      <c r="E968" s="288"/>
      <c r="F968" s="438"/>
      <c r="G968" s="438"/>
      <c r="H968" s="438"/>
      <c r="I968" s="438"/>
      <c r="J968" s="438"/>
    </row>
    <row r="969" spans="1:10" x14ac:dyDescent="0.25">
      <c r="A969" s="274"/>
      <c r="B969" s="498"/>
      <c r="C969" s="287"/>
      <c r="D969" s="288"/>
      <c r="E969" s="288"/>
      <c r="F969" s="438"/>
      <c r="G969" s="438"/>
      <c r="H969" s="438"/>
      <c r="I969" s="438"/>
      <c r="J969" s="438"/>
    </row>
    <row r="970" spans="1:10" x14ac:dyDescent="0.25">
      <c r="A970" s="274"/>
      <c r="B970" s="498"/>
      <c r="C970" s="287"/>
      <c r="D970" s="288"/>
      <c r="E970" s="288"/>
      <c r="F970" s="438"/>
      <c r="G970" s="438"/>
      <c r="H970" s="438"/>
      <c r="I970" s="438"/>
      <c r="J970" s="438"/>
    </row>
    <row r="971" spans="1:10" x14ac:dyDescent="0.25">
      <c r="A971" s="274"/>
      <c r="B971" s="498"/>
      <c r="C971" s="287"/>
      <c r="D971" s="288"/>
      <c r="E971" s="288"/>
      <c r="F971" s="438"/>
      <c r="G971" s="438"/>
      <c r="H971" s="438"/>
      <c r="I971" s="438"/>
      <c r="J971" s="438"/>
    </row>
    <row r="972" spans="1:10" x14ac:dyDescent="0.25">
      <c r="A972" s="274"/>
      <c r="B972" s="498"/>
      <c r="C972" s="287"/>
      <c r="D972" s="288"/>
      <c r="E972" s="288"/>
      <c r="F972" s="438"/>
      <c r="G972" s="438"/>
      <c r="H972" s="438"/>
      <c r="I972" s="438"/>
      <c r="J972" s="438"/>
    </row>
    <row r="973" spans="1:10" x14ac:dyDescent="0.25">
      <c r="A973" s="274"/>
      <c r="B973" s="498"/>
      <c r="C973" s="287"/>
      <c r="D973" s="288"/>
      <c r="E973" s="288"/>
      <c r="F973" s="438"/>
      <c r="G973" s="438"/>
      <c r="H973" s="438"/>
      <c r="I973" s="438"/>
      <c r="J973" s="438"/>
    </row>
    <row r="974" spans="1:10" x14ac:dyDescent="0.25">
      <c r="A974" s="274"/>
      <c r="B974" s="498"/>
      <c r="C974" s="287"/>
      <c r="D974" s="288"/>
      <c r="E974" s="288"/>
      <c r="F974" s="438"/>
      <c r="G974" s="438"/>
      <c r="H974" s="438"/>
      <c r="I974" s="438"/>
      <c r="J974" s="438"/>
    </row>
    <row r="975" spans="1:10" x14ac:dyDescent="0.25">
      <c r="A975" s="274"/>
      <c r="B975" s="498"/>
      <c r="C975" s="287"/>
      <c r="D975" s="288"/>
      <c r="E975" s="288"/>
      <c r="F975" s="438"/>
      <c r="G975" s="438"/>
      <c r="H975" s="438"/>
      <c r="I975" s="438"/>
      <c r="J975" s="438"/>
    </row>
    <row r="976" spans="1:10" x14ac:dyDescent="0.25">
      <c r="A976" s="274"/>
      <c r="B976" s="498"/>
      <c r="C976" s="287"/>
      <c r="D976" s="288"/>
      <c r="E976" s="288"/>
      <c r="F976" s="438"/>
      <c r="G976" s="438"/>
      <c r="H976" s="438"/>
      <c r="I976" s="438"/>
      <c r="J976" s="438"/>
    </row>
    <row r="977" spans="1:10" x14ac:dyDescent="0.25">
      <c r="A977" s="274"/>
      <c r="B977" s="498"/>
      <c r="C977" s="287"/>
      <c r="D977" s="288"/>
      <c r="E977" s="288"/>
      <c r="F977" s="438"/>
      <c r="G977" s="438"/>
      <c r="H977" s="438"/>
      <c r="I977" s="438"/>
      <c r="J977" s="438"/>
    </row>
    <row r="978" spans="1:10" x14ac:dyDescent="0.25">
      <c r="A978" s="274"/>
      <c r="B978" s="498"/>
      <c r="C978" s="287"/>
      <c r="D978" s="288"/>
      <c r="E978" s="288"/>
      <c r="F978" s="438"/>
      <c r="G978" s="438"/>
      <c r="H978" s="438"/>
      <c r="I978" s="438"/>
      <c r="J978" s="438"/>
    </row>
    <row r="979" spans="1:10" x14ac:dyDescent="0.25">
      <c r="A979" s="274"/>
      <c r="B979" s="498"/>
      <c r="C979" s="287"/>
      <c r="D979" s="288"/>
      <c r="E979" s="288"/>
      <c r="F979" s="438"/>
      <c r="G979" s="438"/>
      <c r="H979" s="438"/>
      <c r="I979" s="438"/>
      <c r="J979" s="438"/>
    </row>
    <row r="980" spans="1:10" x14ac:dyDescent="0.25">
      <c r="A980" s="274"/>
      <c r="B980" s="498"/>
      <c r="C980" s="287"/>
      <c r="D980" s="288"/>
      <c r="E980" s="288"/>
      <c r="F980" s="438"/>
      <c r="G980" s="438"/>
      <c r="H980" s="438"/>
      <c r="I980" s="438"/>
      <c r="J980" s="438"/>
    </row>
    <row r="981" spans="1:10" x14ac:dyDescent="0.25">
      <c r="A981" s="274"/>
      <c r="B981" s="498"/>
      <c r="C981" s="287"/>
      <c r="D981" s="288"/>
      <c r="E981" s="288"/>
      <c r="F981" s="438"/>
      <c r="G981" s="438"/>
      <c r="H981" s="438"/>
      <c r="I981" s="438"/>
      <c r="J981" s="438"/>
    </row>
    <row r="982" spans="1:10" x14ac:dyDescent="0.25">
      <c r="A982" s="274"/>
      <c r="B982" s="498"/>
      <c r="C982" s="287"/>
      <c r="D982" s="288"/>
      <c r="E982" s="288"/>
      <c r="F982" s="438"/>
      <c r="G982" s="438"/>
      <c r="H982" s="438"/>
      <c r="I982" s="438"/>
      <c r="J982" s="438"/>
    </row>
    <row r="983" spans="1:10" x14ac:dyDescent="0.25">
      <c r="A983" s="274"/>
      <c r="B983" s="498"/>
      <c r="C983" s="287"/>
      <c r="D983" s="288"/>
      <c r="E983" s="288"/>
      <c r="F983" s="438"/>
      <c r="G983" s="438"/>
      <c r="H983" s="438"/>
      <c r="I983" s="438"/>
      <c r="J983" s="438"/>
    </row>
    <row r="984" spans="1:10" x14ac:dyDescent="0.25">
      <c r="A984" s="274"/>
      <c r="B984" s="498"/>
      <c r="C984" s="287"/>
      <c r="D984" s="288"/>
      <c r="E984" s="288"/>
      <c r="F984" s="438"/>
      <c r="G984" s="438"/>
      <c r="H984" s="438"/>
      <c r="I984" s="438"/>
      <c r="J984" s="438"/>
    </row>
    <row r="985" spans="1:10" x14ac:dyDescent="0.25">
      <c r="A985" s="274"/>
      <c r="B985" s="498"/>
      <c r="C985" s="287"/>
      <c r="D985" s="288"/>
      <c r="E985" s="288"/>
      <c r="F985" s="438"/>
      <c r="G985" s="438"/>
      <c r="H985" s="438"/>
      <c r="I985" s="438"/>
      <c r="J985" s="438"/>
    </row>
    <row r="986" spans="1:10" x14ac:dyDescent="0.25">
      <c r="A986" s="274"/>
      <c r="B986" s="498"/>
      <c r="C986" s="287"/>
      <c r="D986" s="288"/>
      <c r="E986" s="288"/>
      <c r="F986" s="438"/>
      <c r="G986" s="438"/>
      <c r="H986" s="438"/>
      <c r="I986" s="438"/>
      <c r="J986" s="438"/>
    </row>
    <row r="987" spans="1:10" x14ac:dyDescent="0.25">
      <c r="A987" s="274"/>
      <c r="B987" s="498"/>
      <c r="C987" s="287"/>
      <c r="D987" s="288"/>
      <c r="E987" s="288"/>
      <c r="F987" s="438"/>
      <c r="G987" s="438"/>
      <c r="H987" s="438"/>
      <c r="I987" s="438"/>
      <c r="J987" s="438"/>
    </row>
    <row r="988" spans="1:10" x14ac:dyDescent="0.25">
      <c r="A988" s="274"/>
      <c r="B988" s="498"/>
      <c r="C988" s="287"/>
      <c r="D988" s="288"/>
      <c r="E988" s="288"/>
      <c r="F988" s="438"/>
      <c r="G988" s="438"/>
      <c r="H988" s="438"/>
      <c r="I988" s="438"/>
      <c r="J988" s="438"/>
    </row>
    <row r="989" spans="1:10" x14ac:dyDescent="0.25">
      <c r="A989" s="274"/>
      <c r="B989" s="498"/>
      <c r="C989" s="287"/>
      <c r="D989" s="288"/>
      <c r="E989" s="288"/>
      <c r="F989" s="438"/>
      <c r="G989" s="438"/>
      <c r="H989" s="438"/>
      <c r="I989" s="438"/>
      <c r="J989" s="438"/>
    </row>
    <row r="990" spans="1:10" x14ac:dyDescent="0.25">
      <c r="A990" s="274"/>
      <c r="B990" s="498"/>
      <c r="C990" s="287"/>
      <c r="D990" s="288"/>
      <c r="E990" s="288"/>
      <c r="F990" s="438"/>
      <c r="G990" s="438"/>
      <c r="H990" s="438"/>
      <c r="I990" s="438"/>
      <c r="J990" s="438"/>
    </row>
    <row r="991" spans="1:10" x14ac:dyDescent="0.25">
      <c r="A991" s="274"/>
      <c r="B991" s="498"/>
      <c r="C991" s="287"/>
      <c r="D991" s="288"/>
      <c r="E991" s="288"/>
      <c r="F991" s="438"/>
      <c r="G991" s="438"/>
      <c r="H991" s="438"/>
      <c r="I991" s="438"/>
      <c r="J991" s="438"/>
    </row>
    <row r="992" spans="1:10" x14ac:dyDescent="0.25">
      <c r="A992" s="274"/>
      <c r="B992" s="498"/>
      <c r="C992" s="287"/>
      <c r="D992" s="288"/>
      <c r="E992" s="288"/>
      <c r="F992" s="438"/>
      <c r="G992" s="438"/>
      <c r="H992" s="438"/>
      <c r="I992" s="438"/>
      <c r="J992" s="438"/>
    </row>
    <row r="993" spans="1:10" x14ac:dyDescent="0.25">
      <c r="A993" s="274"/>
      <c r="B993" s="498"/>
      <c r="C993" s="287"/>
      <c r="D993" s="288"/>
      <c r="E993" s="288"/>
      <c r="F993" s="438"/>
      <c r="G993" s="438"/>
      <c r="H993" s="438"/>
      <c r="I993" s="438"/>
      <c r="J993" s="438"/>
    </row>
    <row r="994" spans="1:10" x14ac:dyDescent="0.25">
      <c r="A994" s="274"/>
      <c r="B994" s="498"/>
      <c r="C994" s="287"/>
      <c r="D994" s="288"/>
      <c r="E994" s="288"/>
      <c r="F994" s="438"/>
      <c r="G994" s="438"/>
      <c r="H994" s="438"/>
      <c r="I994" s="438"/>
      <c r="J994" s="438"/>
    </row>
    <row r="995" spans="1:10" x14ac:dyDescent="0.25">
      <c r="A995" s="274"/>
      <c r="B995" s="498"/>
      <c r="C995" s="287"/>
      <c r="D995" s="288"/>
      <c r="E995" s="288"/>
      <c r="F995" s="438"/>
      <c r="G995" s="438"/>
      <c r="H995" s="438"/>
      <c r="I995" s="438"/>
      <c r="J995" s="438"/>
    </row>
    <row r="996" spans="1:10" x14ac:dyDescent="0.25">
      <c r="A996" s="274"/>
      <c r="B996" s="498"/>
      <c r="C996" s="287"/>
      <c r="D996" s="288"/>
      <c r="E996" s="288"/>
      <c r="F996" s="438"/>
      <c r="G996" s="438"/>
      <c r="H996" s="438"/>
      <c r="I996" s="438"/>
      <c r="J996" s="438"/>
    </row>
    <row r="997" spans="1:10" x14ac:dyDescent="0.25">
      <c r="A997" s="274"/>
      <c r="B997" s="498"/>
      <c r="C997" s="287"/>
      <c r="D997" s="288"/>
      <c r="E997" s="288"/>
      <c r="F997" s="438"/>
      <c r="G997" s="438"/>
      <c r="H997" s="438"/>
      <c r="I997" s="438"/>
      <c r="J997" s="438"/>
    </row>
    <row r="998" spans="1:10" x14ac:dyDescent="0.25">
      <c r="A998" s="274"/>
      <c r="B998" s="498"/>
      <c r="C998" s="287"/>
      <c r="D998" s="288"/>
      <c r="E998" s="288"/>
      <c r="F998" s="438"/>
      <c r="G998" s="438"/>
      <c r="H998" s="438"/>
      <c r="I998" s="438"/>
      <c r="J998" s="438"/>
    </row>
    <row r="999" spans="1:10" x14ac:dyDescent="0.25">
      <c r="A999" s="274"/>
      <c r="B999" s="498"/>
      <c r="C999" s="287"/>
      <c r="D999" s="288"/>
      <c r="E999" s="288"/>
      <c r="F999" s="438"/>
      <c r="G999" s="438"/>
      <c r="H999" s="438"/>
      <c r="I999" s="438"/>
      <c r="J999" s="438"/>
    </row>
    <row r="1000" spans="1:10" x14ac:dyDescent="0.25">
      <c r="A1000" s="274"/>
      <c r="B1000" s="498"/>
      <c r="C1000" s="287"/>
      <c r="D1000" s="288"/>
      <c r="E1000" s="288"/>
      <c r="F1000" s="438"/>
      <c r="G1000" s="438"/>
      <c r="H1000" s="438"/>
      <c r="I1000" s="438"/>
      <c r="J1000" s="438"/>
    </row>
    <row r="1001" spans="1:10" x14ac:dyDescent="0.25">
      <c r="A1001" s="274"/>
      <c r="B1001" s="498"/>
      <c r="C1001" s="287"/>
      <c r="D1001" s="288"/>
      <c r="E1001" s="288"/>
      <c r="F1001" s="438"/>
      <c r="G1001" s="438"/>
      <c r="H1001" s="438"/>
      <c r="I1001" s="438"/>
      <c r="J1001" s="438"/>
    </row>
    <row r="1002" spans="1:10" x14ac:dyDescent="0.25">
      <c r="A1002" s="274"/>
      <c r="B1002" s="498"/>
      <c r="C1002" s="287"/>
      <c r="D1002" s="288"/>
      <c r="E1002" s="288"/>
      <c r="F1002" s="438"/>
      <c r="G1002" s="438"/>
      <c r="H1002" s="438"/>
      <c r="I1002" s="438"/>
      <c r="J1002" s="438"/>
    </row>
    <row r="1003" spans="1:10" x14ac:dyDescent="0.25">
      <c r="A1003" s="274"/>
      <c r="B1003" s="498"/>
      <c r="C1003" s="287"/>
      <c r="D1003" s="288"/>
      <c r="E1003" s="288"/>
      <c r="F1003" s="438"/>
      <c r="G1003" s="438"/>
      <c r="H1003" s="438"/>
      <c r="I1003" s="438"/>
      <c r="J1003" s="438"/>
    </row>
    <row r="1004" spans="1:10" x14ac:dyDescent="0.25">
      <c r="A1004" s="274"/>
      <c r="B1004" s="498"/>
      <c r="C1004" s="287"/>
      <c r="D1004" s="288"/>
      <c r="E1004" s="288"/>
      <c r="F1004" s="438"/>
      <c r="G1004" s="438"/>
      <c r="H1004" s="438"/>
      <c r="I1004" s="438"/>
      <c r="J1004" s="438"/>
    </row>
    <row r="1005" spans="1:10" x14ac:dyDescent="0.25">
      <c r="A1005" s="274"/>
      <c r="B1005" s="498"/>
      <c r="C1005" s="287"/>
      <c r="D1005" s="288"/>
      <c r="E1005" s="288"/>
      <c r="F1005" s="438"/>
      <c r="G1005" s="438"/>
      <c r="H1005" s="438"/>
      <c r="I1005" s="438"/>
      <c r="J1005" s="438"/>
    </row>
    <row r="1006" spans="1:10" x14ac:dyDescent="0.25">
      <c r="A1006" s="274"/>
      <c r="B1006" s="498"/>
      <c r="C1006" s="287"/>
      <c r="D1006" s="288"/>
      <c r="E1006" s="288"/>
      <c r="F1006" s="438"/>
      <c r="G1006" s="438"/>
      <c r="H1006" s="438"/>
      <c r="I1006" s="438"/>
      <c r="J1006" s="438"/>
    </row>
    <row r="1007" spans="1:10" x14ac:dyDescent="0.25">
      <c r="A1007" s="274"/>
      <c r="B1007" s="498"/>
      <c r="C1007" s="287"/>
      <c r="D1007" s="288"/>
      <c r="E1007" s="288"/>
      <c r="F1007" s="438"/>
      <c r="G1007" s="438"/>
      <c r="H1007" s="438"/>
      <c r="I1007" s="438"/>
      <c r="J1007" s="438"/>
    </row>
    <row r="1008" spans="1:10" x14ac:dyDescent="0.25">
      <c r="A1008" s="274"/>
      <c r="B1008" s="498"/>
      <c r="C1008" s="287"/>
      <c r="D1008" s="288"/>
      <c r="E1008" s="288"/>
      <c r="F1008" s="438"/>
      <c r="G1008" s="438"/>
      <c r="H1008" s="438"/>
      <c r="I1008" s="438"/>
      <c r="J1008" s="438"/>
    </row>
    <row r="1009" spans="1:10" x14ac:dyDescent="0.25">
      <c r="A1009" s="274"/>
      <c r="B1009" s="498"/>
      <c r="C1009" s="287"/>
      <c r="D1009" s="288"/>
      <c r="E1009" s="288"/>
      <c r="F1009" s="438"/>
      <c r="G1009" s="438"/>
      <c r="H1009" s="438"/>
      <c r="I1009" s="438"/>
      <c r="J1009" s="438"/>
    </row>
    <row r="1010" spans="1:10" x14ac:dyDescent="0.25">
      <c r="A1010" s="274"/>
      <c r="B1010" s="498"/>
      <c r="C1010" s="287"/>
      <c r="D1010" s="288"/>
      <c r="E1010" s="288"/>
      <c r="F1010" s="438"/>
      <c r="G1010" s="438"/>
      <c r="H1010" s="438"/>
      <c r="I1010" s="438"/>
      <c r="J1010" s="438"/>
    </row>
    <row r="1011" spans="1:10" x14ac:dyDescent="0.25">
      <c r="A1011" s="274"/>
      <c r="B1011" s="498"/>
      <c r="C1011" s="287"/>
      <c r="D1011" s="288"/>
      <c r="E1011" s="288"/>
      <c r="F1011" s="438"/>
      <c r="G1011" s="438"/>
      <c r="H1011" s="438"/>
      <c r="I1011" s="438"/>
      <c r="J1011" s="438"/>
    </row>
    <row r="1012" spans="1:10" x14ac:dyDescent="0.25">
      <c r="A1012" s="274"/>
      <c r="B1012" s="498"/>
      <c r="C1012" s="287"/>
      <c r="D1012" s="288"/>
      <c r="E1012" s="288"/>
      <c r="F1012" s="438"/>
      <c r="G1012" s="438"/>
      <c r="H1012" s="438"/>
      <c r="I1012" s="438"/>
      <c r="J1012" s="438"/>
    </row>
    <row r="1013" spans="1:10" x14ac:dyDescent="0.25">
      <c r="A1013" s="274"/>
      <c r="B1013" s="498"/>
      <c r="C1013" s="287"/>
      <c r="D1013" s="288"/>
      <c r="E1013" s="288"/>
      <c r="F1013" s="438"/>
      <c r="G1013" s="438"/>
      <c r="H1013" s="438"/>
      <c r="I1013" s="438"/>
      <c r="J1013" s="438"/>
    </row>
    <row r="1014" spans="1:10" x14ac:dyDescent="0.25">
      <c r="A1014" s="274"/>
      <c r="B1014" s="498"/>
      <c r="C1014" s="287"/>
      <c r="D1014" s="288"/>
      <c r="E1014" s="288"/>
      <c r="F1014" s="438"/>
      <c r="G1014" s="438"/>
      <c r="H1014" s="438"/>
      <c r="I1014" s="438"/>
      <c r="J1014" s="438"/>
    </row>
    <row r="1015" spans="1:10" x14ac:dyDescent="0.25">
      <c r="A1015" s="274"/>
      <c r="B1015" s="498"/>
      <c r="C1015" s="287"/>
      <c r="D1015" s="288"/>
      <c r="E1015" s="288"/>
      <c r="F1015" s="438"/>
      <c r="G1015" s="438"/>
      <c r="H1015" s="438"/>
      <c r="I1015" s="438"/>
      <c r="J1015" s="438"/>
    </row>
    <row r="1016" spans="1:10" x14ac:dyDescent="0.25">
      <c r="A1016" s="274"/>
      <c r="B1016" s="498"/>
      <c r="C1016" s="287"/>
      <c r="D1016" s="288"/>
      <c r="E1016" s="288"/>
      <c r="F1016" s="438"/>
      <c r="G1016" s="438"/>
      <c r="H1016" s="438"/>
      <c r="I1016" s="438"/>
      <c r="J1016" s="438"/>
    </row>
    <row r="1017" spans="1:10" x14ac:dyDescent="0.25">
      <c r="A1017" s="274"/>
      <c r="B1017" s="498"/>
      <c r="C1017" s="287"/>
      <c r="D1017" s="288"/>
      <c r="E1017" s="288"/>
      <c r="F1017" s="438"/>
      <c r="G1017" s="438"/>
      <c r="H1017" s="438"/>
      <c r="I1017" s="438"/>
      <c r="J1017" s="438"/>
    </row>
    <row r="1018" spans="1:10" x14ac:dyDescent="0.25">
      <c r="A1018" s="274"/>
      <c r="B1018" s="498"/>
      <c r="C1018" s="287"/>
      <c r="D1018" s="288"/>
      <c r="E1018" s="288"/>
      <c r="F1018" s="438"/>
      <c r="G1018" s="438"/>
      <c r="H1018" s="438"/>
      <c r="I1018" s="438"/>
      <c r="J1018" s="438"/>
    </row>
    <row r="1019" spans="1:10" x14ac:dyDescent="0.25">
      <c r="A1019" s="274"/>
      <c r="B1019" s="498"/>
      <c r="C1019" s="287"/>
      <c r="D1019" s="288"/>
      <c r="E1019" s="288"/>
      <c r="F1019" s="438"/>
      <c r="G1019" s="438"/>
      <c r="H1019" s="438"/>
      <c r="I1019" s="438"/>
      <c r="J1019" s="438"/>
    </row>
    <row r="1020" spans="1:10" x14ac:dyDescent="0.25">
      <c r="A1020" s="274"/>
      <c r="B1020" s="498"/>
      <c r="C1020" s="287"/>
      <c r="D1020" s="288"/>
      <c r="E1020" s="288"/>
      <c r="F1020" s="438"/>
      <c r="G1020" s="438"/>
      <c r="H1020" s="438"/>
      <c r="I1020" s="438"/>
      <c r="J1020" s="438"/>
    </row>
    <row r="1021" spans="1:10" x14ac:dyDescent="0.25">
      <c r="A1021" s="274"/>
      <c r="B1021" s="498"/>
      <c r="C1021" s="287"/>
      <c r="D1021" s="288"/>
      <c r="E1021" s="288"/>
      <c r="F1021" s="438"/>
      <c r="G1021" s="438"/>
      <c r="H1021" s="438"/>
      <c r="I1021" s="438"/>
      <c r="J1021" s="438"/>
    </row>
    <row r="1022" spans="1:10" x14ac:dyDescent="0.25">
      <c r="A1022" s="274"/>
      <c r="B1022" s="498"/>
      <c r="C1022" s="287"/>
      <c r="D1022" s="288"/>
      <c r="E1022" s="288"/>
      <c r="F1022" s="438"/>
      <c r="G1022" s="438"/>
      <c r="H1022" s="438"/>
      <c r="I1022" s="438"/>
      <c r="J1022" s="438"/>
    </row>
    <row r="1023" spans="1:10" x14ac:dyDescent="0.25">
      <c r="A1023" s="274"/>
      <c r="B1023" s="498"/>
      <c r="C1023" s="287"/>
      <c r="D1023" s="288"/>
      <c r="E1023" s="288"/>
      <c r="F1023" s="438"/>
      <c r="G1023" s="438"/>
      <c r="H1023" s="438"/>
      <c r="I1023" s="438"/>
      <c r="J1023" s="438"/>
    </row>
    <row r="1024" spans="1:10" x14ac:dyDescent="0.25">
      <c r="A1024" s="274"/>
      <c r="B1024" s="498"/>
      <c r="C1024" s="287"/>
      <c r="D1024" s="288"/>
      <c r="E1024" s="288"/>
      <c r="F1024" s="438"/>
      <c r="G1024" s="438"/>
      <c r="H1024" s="438"/>
      <c r="I1024" s="438"/>
      <c r="J1024" s="438"/>
    </row>
    <row r="1025" spans="1:10" x14ac:dyDescent="0.25">
      <c r="A1025" s="274"/>
      <c r="B1025" s="498"/>
      <c r="C1025" s="287"/>
      <c r="D1025" s="288"/>
      <c r="E1025" s="288"/>
      <c r="F1025" s="438"/>
      <c r="G1025" s="438"/>
      <c r="H1025" s="438"/>
      <c r="I1025" s="438"/>
      <c r="J1025" s="438"/>
    </row>
    <row r="1026" spans="1:10" x14ac:dyDescent="0.25">
      <c r="A1026" s="274"/>
      <c r="B1026" s="498"/>
      <c r="C1026" s="287"/>
      <c r="D1026" s="288"/>
      <c r="E1026" s="288"/>
      <c r="F1026" s="438"/>
      <c r="G1026" s="438"/>
      <c r="H1026" s="438"/>
      <c r="I1026" s="438"/>
      <c r="J1026" s="438"/>
    </row>
    <row r="1027" spans="1:10" x14ac:dyDescent="0.25">
      <c r="A1027" s="274"/>
      <c r="B1027" s="498"/>
      <c r="C1027" s="287"/>
      <c r="D1027" s="288"/>
      <c r="E1027" s="288"/>
      <c r="F1027" s="438"/>
      <c r="G1027" s="438"/>
      <c r="H1027" s="438"/>
      <c r="I1027" s="438"/>
      <c r="J1027" s="438"/>
    </row>
    <row r="1028" spans="1:10" x14ac:dyDescent="0.25">
      <c r="A1028" s="274"/>
      <c r="B1028" s="498"/>
      <c r="C1028" s="287"/>
      <c r="D1028" s="288"/>
      <c r="E1028" s="288"/>
      <c r="F1028" s="438"/>
      <c r="G1028" s="438"/>
      <c r="H1028" s="438"/>
      <c r="I1028" s="438"/>
      <c r="J1028" s="438"/>
    </row>
    <row r="1029" spans="1:10" x14ac:dyDescent="0.25">
      <c r="A1029" s="274"/>
      <c r="B1029" s="498"/>
      <c r="C1029" s="287"/>
      <c r="D1029" s="288"/>
      <c r="E1029" s="288"/>
      <c r="F1029" s="438"/>
      <c r="G1029" s="438"/>
      <c r="H1029" s="438"/>
      <c r="I1029" s="438"/>
      <c r="J1029" s="438"/>
    </row>
    <row r="1030" spans="1:10" x14ac:dyDescent="0.25">
      <c r="A1030" s="274"/>
      <c r="B1030" s="498"/>
      <c r="C1030" s="287"/>
      <c r="D1030" s="288"/>
      <c r="E1030" s="288"/>
      <c r="F1030" s="438"/>
      <c r="G1030" s="438"/>
      <c r="H1030" s="438"/>
      <c r="I1030" s="438"/>
      <c r="J1030" s="438"/>
    </row>
    <row r="1031" spans="1:10" x14ac:dyDescent="0.25">
      <c r="A1031" s="274"/>
      <c r="B1031" s="498"/>
      <c r="C1031" s="287"/>
      <c r="D1031" s="288"/>
      <c r="E1031" s="288"/>
      <c r="F1031" s="438"/>
      <c r="G1031" s="438"/>
      <c r="H1031" s="438"/>
      <c r="I1031" s="438"/>
      <c r="J1031" s="438"/>
    </row>
    <row r="1032" spans="1:10" x14ac:dyDescent="0.25">
      <c r="A1032" s="274"/>
      <c r="B1032" s="498"/>
      <c r="C1032" s="287"/>
      <c r="D1032" s="288"/>
      <c r="E1032" s="288"/>
      <c r="F1032" s="438"/>
      <c r="G1032" s="438"/>
      <c r="H1032" s="438"/>
      <c r="I1032" s="438"/>
      <c r="J1032" s="438"/>
    </row>
    <row r="1033" spans="1:10" x14ac:dyDescent="0.25">
      <c r="A1033" s="274"/>
      <c r="B1033" s="498"/>
      <c r="C1033" s="287"/>
      <c r="D1033" s="288"/>
      <c r="E1033" s="288"/>
      <c r="F1033" s="438"/>
      <c r="G1033" s="438"/>
      <c r="H1033" s="438"/>
      <c r="I1033" s="438"/>
      <c r="J1033" s="438"/>
    </row>
    <row r="1034" spans="1:10" x14ac:dyDescent="0.25">
      <c r="A1034" s="274"/>
      <c r="B1034" s="498"/>
      <c r="C1034" s="287"/>
      <c r="D1034" s="288"/>
      <c r="E1034" s="288"/>
      <c r="F1034" s="438"/>
      <c r="G1034" s="438"/>
      <c r="H1034" s="438"/>
      <c r="I1034" s="438"/>
      <c r="J1034" s="438"/>
    </row>
    <row r="1035" spans="1:10" x14ac:dyDescent="0.25">
      <c r="A1035" s="274"/>
      <c r="B1035" s="498"/>
      <c r="C1035" s="287"/>
      <c r="D1035" s="288"/>
      <c r="E1035" s="288"/>
      <c r="F1035" s="438"/>
      <c r="G1035" s="438"/>
      <c r="H1035" s="438"/>
      <c r="I1035" s="438"/>
      <c r="J1035" s="438"/>
    </row>
    <row r="1036" spans="1:10" x14ac:dyDescent="0.25">
      <c r="A1036" s="274"/>
      <c r="B1036" s="498"/>
      <c r="C1036" s="287"/>
      <c r="D1036" s="288"/>
      <c r="E1036" s="288"/>
      <c r="F1036" s="438"/>
      <c r="G1036" s="438"/>
      <c r="H1036" s="438"/>
      <c r="I1036" s="438"/>
      <c r="J1036" s="438"/>
    </row>
    <row r="1037" spans="1:10" x14ac:dyDescent="0.25">
      <c r="A1037" s="274"/>
      <c r="B1037" s="498"/>
      <c r="C1037" s="287"/>
      <c r="D1037" s="288"/>
      <c r="E1037" s="288"/>
      <c r="F1037" s="438"/>
      <c r="G1037" s="438"/>
      <c r="H1037" s="438"/>
      <c r="I1037" s="438"/>
      <c r="J1037" s="438"/>
    </row>
    <row r="1038" spans="1:10" x14ac:dyDescent="0.25">
      <c r="A1038" s="274"/>
      <c r="B1038" s="498"/>
      <c r="C1038" s="287"/>
      <c r="D1038" s="288"/>
      <c r="E1038" s="288"/>
      <c r="F1038" s="438"/>
      <c r="G1038" s="438"/>
      <c r="H1038" s="438"/>
      <c r="I1038" s="438"/>
      <c r="J1038" s="438"/>
    </row>
    <row r="1039" spans="1:10" x14ac:dyDescent="0.25">
      <c r="A1039" s="274"/>
      <c r="B1039" s="498"/>
      <c r="C1039" s="287"/>
      <c r="D1039" s="288"/>
      <c r="E1039" s="288"/>
      <c r="F1039" s="438"/>
      <c r="G1039" s="438"/>
      <c r="H1039" s="438"/>
      <c r="I1039" s="438"/>
      <c r="J1039" s="438"/>
    </row>
    <row r="1040" spans="1:10" x14ac:dyDescent="0.25">
      <c r="A1040" s="274"/>
      <c r="B1040" s="498"/>
      <c r="C1040" s="287"/>
      <c r="D1040" s="288"/>
      <c r="E1040" s="288"/>
      <c r="F1040" s="438"/>
      <c r="G1040" s="438"/>
      <c r="H1040" s="438"/>
      <c r="I1040" s="438"/>
      <c r="J1040" s="438"/>
    </row>
    <row r="1041" spans="1:10" x14ac:dyDescent="0.25">
      <c r="A1041" s="274"/>
      <c r="B1041" s="498"/>
      <c r="C1041" s="287"/>
      <c r="D1041" s="288"/>
      <c r="E1041" s="288"/>
      <c r="F1041" s="438"/>
      <c r="G1041" s="438"/>
      <c r="H1041" s="438"/>
      <c r="I1041" s="438"/>
      <c r="J1041" s="438"/>
    </row>
    <row r="1042" spans="1:10" x14ac:dyDescent="0.25">
      <c r="A1042" s="274"/>
      <c r="B1042" s="498"/>
      <c r="C1042" s="287"/>
      <c r="D1042" s="288"/>
      <c r="E1042" s="288"/>
      <c r="F1042" s="438"/>
      <c r="G1042" s="438"/>
      <c r="H1042" s="438"/>
      <c r="I1042" s="438"/>
      <c r="J1042" s="438"/>
    </row>
    <row r="1043" spans="1:10" x14ac:dyDescent="0.25">
      <c r="A1043" s="274"/>
      <c r="B1043" s="498"/>
      <c r="C1043" s="287"/>
      <c r="D1043" s="288"/>
      <c r="E1043" s="288"/>
      <c r="F1043" s="438"/>
      <c r="G1043" s="438"/>
      <c r="H1043" s="438"/>
      <c r="I1043" s="438"/>
      <c r="J1043" s="438"/>
    </row>
    <row r="1044" spans="1:10" x14ac:dyDescent="0.25">
      <c r="A1044" s="274"/>
      <c r="B1044" s="498"/>
      <c r="C1044" s="287"/>
      <c r="D1044" s="288"/>
      <c r="E1044" s="288"/>
      <c r="F1044" s="438"/>
      <c r="G1044" s="438"/>
      <c r="H1044" s="438"/>
      <c r="I1044" s="438"/>
      <c r="J1044" s="438"/>
    </row>
    <row r="1045" spans="1:10" x14ac:dyDescent="0.25">
      <c r="A1045" s="274"/>
      <c r="B1045" s="498"/>
      <c r="C1045" s="287"/>
      <c r="D1045" s="288"/>
      <c r="E1045" s="288"/>
      <c r="F1045" s="438"/>
      <c r="G1045" s="438"/>
      <c r="H1045" s="438"/>
      <c r="I1045" s="438"/>
      <c r="J1045" s="438"/>
    </row>
    <row r="1046" spans="1:10" x14ac:dyDescent="0.25">
      <c r="A1046" s="274"/>
      <c r="B1046" s="498"/>
      <c r="C1046" s="287"/>
      <c r="D1046" s="288"/>
      <c r="E1046" s="288"/>
      <c r="F1046" s="438"/>
      <c r="G1046" s="438"/>
      <c r="H1046" s="438"/>
      <c r="I1046" s="438"/>
      <c r="J1046" s="438"/>
    </row>
    <row r="1047" spans="1:10" x14ac:dyDescent="0.25">
      <c r="A1047" s="274"/>
      <c r="B1047" s="498"/>
      <c r="C1047" s="287"/>
      <c r="D1047" s="288"/>
      <c r="E1047" s="288"/>
      <c r="F1047" s="438"/>
      <c r="G1047" s="438"/>
      <c r="H1047" s="438"/>
      <c r="I1047" s="438"/>
      <c r="J1047" s="438"/>
    </row>
    <row r="1048" spans="1:10" x14ac:dyDescent="0.25">
      <c r="A1048" s="274"/>
      <c r="B1048" s="498"/>
      <c r="C1048" s="287"/>
      <c r="D1048" s="288"/>
      <c r="E1048" s="288"/>
      <c r="F1048" s="438"/>
      <c r="G1048" s="438"/>
      <c r="H1048" s="438"/>
      <c r="I1048" s="438"/>
      <c r="J1048" s="438"/>
    </row>
    <row r="1049" spans="1:10" x14ac:dyDescent="0.25">
      <c r="A1049" s="274"/>
      <c r="B1049" s="498"/>
      <c r="C1049" s="287"/>
      <c r="D1049" s="288"/>
      <c r="E1049" s="288"/>
      <c r="F1049" s="438"/>
      <c r="G1049" s="438"/>
      <c r="H1049" s="438"/>
      <c r="I1049" s="438"/>
      <c r="J1049" s="438"/>
    </row>
    <row r="1050" spans="1:10" x14ac:dyDescent="0.25">
      <c r="A1050" s="274"/>
      <c r="B1050" s="498"/>
      <c r="C1050" s="287"/>
      <c r="D1050" s="288"/>
      <c r="E1050" s="288"/>
      <c r="F1050" s="438"/>
      <c r="G1050" s="438"/>
      <c r="H1050" s="438"/>
      <c r="I1050" s="438"/>
      <c r="J1050" s="438"/>
    </row>
    <row r="1051" spans="1:10" x14ac:dyDescent="0.25">
      <c r="A1051" s="274"/>
      <c r="B1051" s="498"/>
      <c r="C1051" s="287"/>
      <c r="D1051" s="288"/>
      <c r="E1051" s="288"/>
      <c r="F1051" s="438"/>
      <c r="G1051" s="438"/>
      <c r="H1051" s="438"/>
      <c r="I1051" s="438"/>
      <c r="J1051" s="438"/>
    </row>
    <row r="1052" spans="1:10" x14ac:dyDescent="0.25">
      <c r="A1052" s="274"/>
      <c r="B1052" s="498"/>
      <c r="C1052" s="287"/>
      <c r="D1052" s="288"/>
      <c r="E1052" s="288"/>
      <c r="F1052" s="438"/>
      <c r="G1052" s="438"/>
      <c r="H1052" s="438"/>
      <c r="I1052" s="438"/>
      <c r="J1052" s="438"/>
    </row>
    <row r="1053" spans="1:10" x14ac:dyDescent="0.25">
      <c r="A1053" s="274"/>
      <c r="B1053" s="498"/>
      <c r="C1053" s="287"/>
      <c r="D1053" s="288"/>
      <c r="E1053" s="288"/>
      <c r="F1053" s="438"/>
      <c r="G1053" s="438"/>
      <c r="H1053" s="438"/>
      <c r="I1053" s="438"/>
      <c r="J1053" s="438"/>
    </row>
    <row r="1054" spans="1:10" x14ac:dyDescent="0.25">
      <c r="A1054" s="274"/>
      <c r="B1054" s="498"/>
      <c r="C1054" s="287"/>
      <c r="D1054" s="288"/>
      <c r="E1054" s="288"/>
      <c r="F1054" s="438"/>
      <c r="G1054" s="438"/>
      <c r="H1054" s="438"/>
      <c r="I1054" s="438"/>
      <c r="J1054" s="438"/>
    </row>
    <row r="1055" spans="1:10" x14ac:dyDescent="0.25">
      <c r="A1055" s="274"/>
      <c r="B1055" s="498"/>
      <c r="C1055" s="287"/>
      <c r="D1055" s="288"/>
      <c r="E1055" s="288"/>
      <c r="F1055" s="438"/>
      <c r="G1055" s="438"/>
      <c r="H1055" s="438"/>
      <c r="I1055" s="438"/>
      <c r="J1055" s="438"/>
    </row>
    <row r="1056" spans="1:10" x14ac:dyDescent="0.25">
      <c r="A1056" s="274"/>
      <c r="B1056" s="498"/>
      <c r="C1056" s="287"/>
      <c r="D1056" s="288"/>
      <c r="E1056" s="288"/>
      <c r="F1056" s="438"/>
      <c r="G1056" s="438"/>
      <c r="H1056" s="438"/>
      <c r="I1056" s="438"/>
      <c r="J1056" s="438"/>
    </row>
    <row r="1057" spans="1:10" x14ac:dyDescent="0.25">
      <c r="A1057" s="274"/>
      <c r="B1057" s="498"/>
      <c r="C1057" s="287"/>
      <c r="D1057" s="288"/>
      <c r="E1057" s="288"/>
      <c r="F1057" s="438"/>
      <c r="G1057" s="438"/>
      <c r="H1057" s="438"/>
      <c r="I1057" s="438"/>
      <c r="J1057" s="438"/>
    </row>
    <row r="1058" spans="1:10" x14ac:dyDescent="0.25">
      <c r="A1058" s="274"/>
      <c r="B1058" s="498"/>
      <c r="C1058" s="287"/>
      <c r="D1058" s="288"/>
      <c r="E1058" s="288"/>
      <c r="F1058" s="438"/>
      <c r="G1058" s="438"/>
      <c r="H1058" s="438"/>
      <c r="I1058" s="438"/>
      <c r="J1058" s="438"/>
    </row>
    <row r="1059" spans="1:10" x14ac:dyDescent="0.25">
      <c r="A1059" s="274"/>
      <c r="B1059" s="498"/>
      <c r="C1059" s="287"/>
      <c r="D1059" s="288"/>
      <c r="E1059" s="288"/>
      <c r="F1059" s="438"/>
      <c r="G1059" s="438"/>
      <c r="H1059" s="438"/>
      <c r="I1059" s="438"/>
      <c r="J1059" s="438"/>
    </row>
    <row r="1060" spans="1:10" x14ac:dyDescent="0.25">
      <c r="A1060" s="274"/>
      <c r="B1060" s="498"/>
      <c r="C1060" s="287"/>
      <c r="D1060" s="288"/>
      <c r="E1060" s="288"/>
      <c r="F1060" s="438"/>
      <c r="G1060" s="438"/>
      <c r="H1060" s="438"/>
      <c r="I1060" s="438"/>
      <c r="J1060" s="438"/>
    </row>
    <row r="1061" spans="1:10" x14ac:dyDescent="0.25">
      <c r="A1061" s="274"/>
      <c r="B1061" s="498"/>
      <c r="C1061" s="287"/>
      <c r="D1061" s="288"/>
      <c r="E1061" s="288"/>
      <c r="F1061" s="438"/>
      <c r="G1061" s="438"/>
      <c r="H1061" s="438"/>
      <c r="I1061" s="438"/>
      <c r="J1061" s="438"/>
    </row>
    <row r="1062" spans="1:10" x14ac:dyDescent="0.25">
      <c r="A1062" s="274"/>
      <c r="B1062" s="498"/>
      <c r="C1062" s="287"/>
      <c r="D1062" s="288"/>
      <c r="E1062" s="288"/>
      <c r="F1062" s="438"/>
      <c r="G1062" s="438"/>
      <c r="H1062" s="438"/>
      <c r="I1062" s="438"/>
      <c r="J1062" s="438"/>
    </row>
    <row r="1063" spans="1:10" x14ac:dyDescent="0.25">
      <c r="A1063" s="274"/>
      <c r="B1063" s="498"/>
      <c r="C1063" s="287"/>
      <c r="D1063" s="288"/>
      <c r="E1063" s="288"/>
      <c r="F1063" s="438"/>
      <c r="G1063" s="438"/>
      <c r="H1063" s="438"/>
      <c r="I1063" s="438"/>
      <c r="J1063" s="438"/>
    </row>
    <row r="1064" spans="1:10" x14ac:dyDescent="0.25">
      <c r="A1064" s="274"/>
      <c r="B1064" s="498"/>
      <c r="C1064" s="287"/>
      <c r="D1064" s="288"/>
      <c r="E1064" s="288"/>
      <c r="F1064" s="438"/>
      <c r="G1064" s="438"/>
      <c r="H1064" s="438"/>
      <c r="I1064" s="438"/>
      <c r="J1064" s="438"/>
    </row>
    <row r="1065" spans="1:10" x14ac:dyDescent="0.25">
      <c r="A1065" s="274"/>
      <c r="B1065" s="498"/>
      <c r="C1065" s="287"/>
      <c r="D1065" s="288"/>
      <c r="E1065" s="288"/>
      <c r="F1065" s="438"/>
      <c r="G1065" s="438"/>
      <c r="H1065" s="438"/>
      <c r="I1065" s="438"/>
      <c r="J1065" s="438"/>
    </row>
    <row r="1066" spans="1:10" x14ac:dyDescent="0.25">
      <c r="A1066" s="274"/>
      <c r="B1066" s="498"/>
      <c r="C1066" s="287"/>
      <c r="D1066" s="288"/>
      <c r="E1066" s="288"/>
      <c r="F1066" s="438"/>
      <c r="G1066" s="438"/>
      <c r="H1066" s="438"/>
      <c r="I1066" s="438"/>
      <c r="J1066" s="438"/>
    </row>
    <row r="1067" spans="1:10" x14ac:dyDescent="0.25">
      <c r="A1067" s="274"/>
      <c r="B1067" s="498"/>
      <c r="C1067" s="287"/>
      <c r="D1067" s="288"/>
      <c r="E1067" s="288"/>
      <c r="F1067" s="438"/>
      <c r="G1067" s="438"/>
      <c r="H1067" s="438"/>
      <c r="I1067" s="438"/>
      <c r="J1067" s="438"/>
    </row>
    <row r="1068" spans="1:10" x14ac:dyDescent="0.25">
      <c r="A1068" s="274"/>
      <c r="B1068" s="498"/>
      <c r="C1068" s="287"/>
      <c r="D1068" s="288"/>
      <c r="E1068" s="288"/>
      <c r="F1068" s="438"/>
      <c r="G1068" s="438"/>
      <c r="H1068" s="438"/>
      <c r="I1068" s="438"/>
      <c r="J1068" s="438"/>
    </row>
    <row r="1069" spans="1:10" x14ac:dyDescent="0.25">
      <c r="A1069" s="274"/>
      <c r="B1069" s="498"/>
      <c r="C1069" s="287"/>
      <c r="D1069" s="288"/>
      <c r="E1069" s="288"/>
      <c r="F1069" s="438"/>
      <c r="G1069" s="438"/>
      <c r="H1069" s="438"/>
      <c r="I1069" s="438"/>
      <c r="J1069" s="438"/>
    </row>
    <row r="1070" spans="1:10" x14ac:dyDescent="0.25">
      <c r="A1070" s="274"/>
      <c r="B1070" s="498"/>
      <c r="C1070" s="287"/>
      <c r="D1070" s="288"/>
      <c r="E1070" s="288"/>
      <c r="F1070" s="438"/>
      <c r="G1070" s="438"/>
      <c r="H1070" s="438"/>
      <c r="I1070" s="438"/>
      <c r="J1070" s="438"/>
    </row>
    <row r="1071" spans="1:10" x14ac:dyDescent="0.25">
      <c r="A1071" s="274"/>
      <c r="B1071" s="498"/>
      <c r="C1071" s="287"/>
      <c r="D1071" s="288"/>
      <c r="E1071" s="288"/>
      <c r="F1071" s="438"/>
      <c r="G1071" s="438"/>
      <c r="H1071" s="438"/>
      <c r="I1071" s="438"/>
      <c r="J1071" s="438"/>
    </row>
    <row r="1072" spans="1:10" x14ac:dyDescent="0.25">
      <c r="A1072" s="274"/>
      <c r="B1072" s="498"/>
      <c r="C1072" s="287"/>
      <c r="D1072" s="288"/>
      <c r="E1072" s="288"/>
      <c r="F1072" s="438"/>
      <c r="G1072" s="438"/>
      <c r="H1072" s="438"/>
      <c r="I1072" s="438"/>
      <c r="J1072" s="438"/>
    </row>
    <row r="1073" spans="1:10" x14ac:dyDescent="0.25">
      <c r="A1073" s="274"/>
      <c r="B1073" s="498"/>
      <c r="C1073" s="287"/>
      <c r="D1073" s="288"/>
      <c r="E1073" s="288"/>
      <c r="F1073" s="438"/>
      <c r="G1073" s="438"/>
      <c r="H1073" s="438"/>
      <c r="I1073" s="438"/>
      <c r="J1073" s="438"/>
    </row>
    <row r="1074" spans="1:10" x14ac:dyDescent="0.25">
      <c r="A1074" s="274"/>
      <c r="B1074" s="498"/>
      <c r="C1074" s="287"/>
      <c r="D1074" s="288"/>
      <c r="E1074" s="288"/>
      <c r="F1074" s="438"/>
      <c r="G1074" s="438"/>
      <c r="H1074" s="438"/>
      <c r="I1074" s="438"/>
      <c r="J1074" s="438"/>
    </row>
    <row r="1075" spans="1:10" x14ac:dyDescent="0.25">
      <c r="A1075" s="274"/>
      <c r="B1075" s="498"/>
      <c r="C1075" s="287"/>
      <c r="D1075" s="288"/>
      <c r="E1075" s="288"/>
      <c r="F1075" s="438"/>
      <c r="G1075" s="438"/>
      <c r="H1075" s="438"/>
      <c r="I1075" s="438"/>
      <c r="J1075" s="438"/>
    </row>
    <row r="1076" spans="1:10" x14ac:dyDescent="0.25">
      <c r="A1076" s="274"/>
      <c r="B1076" s="498"/>
      <c r="C1076" s="287"/>
      <c r="D1076" s="288"/>
      <c r="E1076" s="288"/>
      <c r="F1076" s="438"/>
      <c r="G1076" s="438"/>
      <c r="H1076" s="438"/>
      <c r="I1076" s="438"/>
      <c r="J1076" s="438"/>
    </row>
    <row r="1077" spans="1:10" x14ac:dyDescent="0.25">
      <c r="A1077" s="274"/>
      <c r="B1077" s="498"/>
      <c r="C1077" s="287"/>
      <c r="D1077" s="288"/>
      <c r="E1077" s="288"/>
      <c r="F1077" s="438"/>
      <c r="G1077" s="438"/>
      <c r="H1077" s="438"/>
      <c r="I1077" s="438"/>
      <c r="J1077" s="438"/>
    </row>
    <row r="1078" spans="1:10" x14ac:dyDescent="0.25">
      <c r="A1078" s="274"/>
      <c r="B1078" s="498"/>
      <c r="C1078" s="287"/>
      <c r="D1078" s="288"/>
      <c r="E1078" s="288"/>
      <c r="F1078" s="438"/>
      <c r="G1078" s="438"/>
      <c r="H1078" s="438"/>
      <c r="I1078" s="438"/>
      <c r="J1078" s="438"/>
    </row>
    <row r="1079" spans="1:10" x14ac:dyDescent="0.25">
      <c r="A1079" s="274"/>
      <c r="B1079" s="498"/>
      <c r="C1079" s="287"/>
      <c r="D1079" s="288"/>
      <c r="E1079" s="288"/>
      <c r="F1079" s="438"/>
      <c r="G1079" s="438"/>
      <c r="H1079" s="438"/>
      <c r="I1079" s="438"/>
      <c r="J1079" s="438"/>
    </row>
    <row r="1080" spans="1:10" x14ac:dyDescent="0.25">
      <c r="A1080" s="274"/>
      <c r="B1080" s="498"/>
      <c r="C1080" s="287"/>
      <c r="D1080" s="288"/>
      <c r="E1080" s="288"/>
      <c r="F1080" s="438"/>
      <c r="G1080" s="438"/>
      <c r="H1080" s="438"/>
      <c r="I1080" s="438"/>
      <c r="J1080" s="438"/>
    </row>
    <row r="1081" spans="1:10" x14ac:dyDescent="0.25">
      <c r="A1081" s="274"/>
      <c r="B1081" s="498"/>
      <c r="C1081" s="287"/>
      <c r="D1081" s="288"/>
      <c r="E1081" s="288"/>
      <c r="F1081" s="438"/>
      <c r="G1081" s="438"/>
      <c r="H1081" s="438"/>
      <c r="I1081" s="438"/>
      <c r="J1081" s="438"/>
    </row>
    <row r="1082" spans="1:10" x14ac:dyDescent="0.25">
      <c r="A1082" s="274"/>
      <c r="B1082" s="498"/>
      <c r="C1082" s="287"/>
      <c r="D1082" s="288"/>
      <c r="E1082" s="288"/>
      <c r="F1082" s="438"/>
      <c r="G1082" s="438"/>
      <c r="H1082" s="438"/>
      <c r="I1082" s="438"/>
      <c r="J1082" s="438"/>
    </row>
    <row r="1083" spans="1:10" x14ac:dyDescent="0.25">
      <c r="A1083" s="274"/>
      <c r="B1083" s="498"/>
      <c r="C1083" s="287"/>
      <c r="D1083" s="288"/>
      <c r="E1083" s="288"/>
      <c r="F1083" s="438"/>
      <c r="G1083" s="438"/>
      <c r="H1083" s="438"/>
      <c r="I1083" s="438"/>
      <c r="J1083" s="438"/>
    </row>
    <row r="1084" spans="1:10" x14ac:dyDescent="0.25">
      <c r="A1084" s="274"/>
      <c r="B1084" s="498"/>
      <c r="C1084" s="287"/>
      <c r="D1084" s="288"/>
      <c r="E1084" s="288"/>
      <c r="F1084" s="438"/>
      <c r="G1084" s="438"/>
      <c r="H1084" s="438"/>
      <c r="I1084" s="438"/>
      <c r="J1084" s="438"/>
    </row>
    <row r="1085" spans="1:10" x14ac:dyDescent="0.25">
      <c r="A1085" s="274"/>
      <c r="B1085" s="498"/>
      <c r="C1085" s="287"/>
      <c r="D1085" s="288"/>
      <c r="E1085" s="288"/>
      <c r="F1085" s="438"/>
      <c r="G1085" s="438"/>
      <c r="H1085" s="438"/>
      <c r="I1085" s="438"/>
      <c r="J1085" s="438"/>
    </row>
    <row r="1086" spans="1:10" x14ac:dyDescent="0.25">
      <c r="A1086" s="274"/>
      <c r="B1086" s="498"/>
      <c r="C1086" s="287"/>
      <c r="D1086" s="288"/>
      <c r="E1086" s="288"/>
      <c r="F1086" s="438"/>
      <c r="G1086" s="438"/>
      <c r="H1086" s="438"/>
      <c r="I1086" s="438"/>
      <c r="J1086" s="438"/>
    </row>
    <row r="1087" spans="1:10" x14ac:dyDescent="0.25">
      <c r="A1087" s="274"/>
      <c r="B1087" s="498"/>
      <c r="C1087" s="287"/>
      <c r="D1087" s="288"/>
      <c r="E1087" s="288"/>
      <c r="F1087" s="438"/>
      <c r="G1087" s="438"/>
      <c r="H1087" s="438"/>
      <c r="I1087" s="438"/>
      <c r="J1087" s="438"/>
    </row>
    <row r="1088" spans="1:10" x14ac:dyDescent="0.25">
      <c r="A1088" s="274"/>
      <c r="B1088" s="498"/>
      <c r="C1088" s="287"/>
      <c r="D1088" s="288"/>
      <c r="E1088" s="288"/>
      <c r="F1088" s="438"/>
      <c r="G1088" s="438"/>
      <c r="H1088" s="438"/>
      <c r="I1088" s="438"/>
      <c r="J1088" s="438"/>
    </row>
    <row r="1089" spans="1:10" x14ac:dyDescent="0.25">
      <c r="A1089" s="274"/>
      <c r="B1089" s="498"/>
      <c r="C1089" s="287"/>
      <c r="D1089" s="288"/>
      <c r="E1089" s="288"/>
      <c r="F1089" s="438"/>
      <c r="G1089" s="438"/>
      <c r="H1089" s="438"/>
      <c r="I1089" s="438"/>
      <c r="J1089" s="438"/>
    </row>
    <row r="1090" spans="1:10" x14ac:dyDescent="0.25">
      <c r="A1090" s="274"/>
      <c r="B1090" s="498"/>
      <c r="C1090" s="287"/>
      <c r="D1090" s="288"/>
      <c r="E1090" s="288"/>
      <c r="F1090" s="438"/>
      <c r="G1090" s="438"/>
      <c r="H1090" s="438"/>
      <c r="I1090" s="438"/>
      <c r="J1090" s="438"/>
    </row>
    <row r="1091" spans="1:10" x14ac:dyDescent="0.25">
      <c r="A1091" s="274"/>
      <c r="B1091" s="498"/>
      <c r="C1091" s="287"/>
      <c r="D1091" s="288"/>
      <c r="E1091" s="288"/>
      <c r="F1091" s="438"/>
      <c r="G1091" s="438"/>
      <c r="H1091" s="438"/>
      <c r="I1091" s="438"/>
      <c r="J1091" s="438"/>
    </row>
    <row r="1092" spans="1:10" x14ac:dyDescent="0.25">
      <c r="A1092" s="274"/>
      <c r="B1092" s="498"/>
      <c r="C1092" s="287"/>
      <c r="D1092" s="288"/>
      <c r="E1092" s="288"/>
      <c r="F1092" s="438"/>
      <c r="G1092" s="438"/>
      <c r="H1092" s="438"/>
      <c r="I1092" s="438"/>
      <c r="J1092" s="438"/>
    </row>
    <row r="1093" spans="1:10" x14ac:dyDescent="0.25">
      <c r="A1093" s="274"/>
      <c r="B1093" s="498"/>
      <c r="C1093" s="287"/>
      <c r="D1093" s="288"/>
      <c r="E1093" s="288"/>
      <c r="F1093" s="438"/>
      <c r="G1093" s="438"/>
      <c r="H1093" s="438"/>
      <c r="I1093" s="438"/>
      <c r="J1093" s="438"/>
    </row>
    <row r="1094" spans="1:10" x14ac:dyDescent="0.25">
      <c r="A1094" s="274"/>
      <c r="B1094" s="498"/>
      <c r="C1094" s="287"/>
      <c r="D1094" s="288"/>
      <c r="E1094" s="288"/>
      <c r="F1094" s="438"/>
      <c r="G1094" s="438"/>
      <c r="H1094" s="438"/>
      <c r="I1094" s="438"/>
      <c r="J1094" s="438"/>
    </row>
    <row r="1095" spans="1:10" x14ac:dyDescent="0.25">
      <c r="A1095" s="274"/>
      <c r="B1095" s="498"/>
      <c r="C1095" s="287"/>
      <c r="D1095" s="288"/>
      <c r="E1095" s="288"/>
      <c r="F1095" s="438"/>
      <c r="G1095" s="438"/>
      <c r="H1095" s="438"/>
      <c r="I1095" s="438"/>
      <c r="J1095" s="438"/>
    </row>
    <row r="1096" spans="1:10" x14ac:dyDescent="0.25">
      <c r="A1096" s="274"/>
      <c r="B1096" s="498"/>
      <c r="C1096" s="287"/>
      <c r="D1096" s="288"/>
      <c r="E1096" s="288"/>
      <c r="F1096" s="438"/>
      <c r="G1096" s="438"/>
      <c r="H1096" s="438"/>
      <c r="I1096" s="438"/>
      <c r="J1096" s="438"/>
    </row>
    <row r="1097" spans="1:10" x14ac:dyDescent="0.25">
      <c r="A1097" s="274"/>
      <c r="B1097" s="498"/>
      <c r="C1097" s="287"/>
      <c r="D1097" s="288"/>
      <c r="E1097" s="288"/>
      <c r="F1097" s="438"/>
      <c r="G1097" s="438"/>
      <c r="H1097" s="438"/>
      <c r="I1097" s="438"/>
      <c r="J1097" s="438"/>
    </row>
    <row r="1098" spans="1:10" x14ac:dyDescent="0.25">
      <c r="A1098" s="274"/>
      <c r="B1098" s="498"/>
      <c r="C1098" s="287"/>
      <c r="D1098" s="288"/>
      <c r="E1098" s="288"/>
      <c r="F1098" s="438"/>
      <c r="G1098" s="438"/>
      <c r="H1098" s="438"/>
      <c r="I1098" s="438"/>
      <c r="J1098" s="438"/>
    </row>
    <row r="1099" spans="1:10" x14ac:dyDescent="0.25">
      <c r="A1099" s="274"/>
      <c r="B1099" s="498"/>
      <c r="C1099" s="287"/>
      <c r="D1099" s="288"/>
      <c r="E1099" s="288"/>
      <c r="F1099" s="438"/>
      <c r="G1099" s="438"/>
      <c r="H1099" s="438"/>
      <c r="I1099" s="438"/>
      <c r="J1099" s="438"/>
    </row>
    <row r="1100" spans="1:10" x14ac:dyDescent="0.25">
      <c r="A1100" s="274"/>
      <c r="B1100" s="498"/>
      <c r="C1100" s="287"/>
      <c r="D1100" s="288"/>
      <c r="E1100" s="288"/>
      <c r="F1100" s="438"/>
      <c r="G1100" s="438"/>
      <c r="H1100" s="438"/>
      <c r="I1100" s="438"/>
      <c r="J1100" s="438"/>
    </row>
    <row r="1101" spans="1:10" x14ac:dyDescent="0.25">
      <c r="A1101" s="274"/>
      <c r="B1101" s="498"/>
      <c r="C1101" s="287"/>
      <c r="D1101" s="288"/>
      <c r="E1101" s="288"/>
      <c r="F1101" s="438"/>
      <c r="G1101" s="438"/>
      <c r="H1101" s="438"/>
      <c r="I1101" s="438"/>
      <c r="J1101" s="438"/>
    </row>
    <row r="1102" spans="1:10" x14ac:dyDescent="0.25">
      <c r="A1102" s="274"/>
      <c r="B1102" s="498"/>
      <c r="C1102" s="287"/>
      <c r="D1102" s="288"/>
      <c r="E1102" s="288"/>
      <c r="F1102" s="438"/>
      <c r="G1102" s="438"/>
      <c r="H1102" s="438"/>
      <c r="I1102" s="438"/>
      <c r="J1102" s="438"/>
    </row>
    <row r="1103" spans="1:10" x14ac:dyDescent="0.25">
      <c r="A1103" s="274"/>
      <c r="B1103" s="498"/>
      <c r="C1103" s="287"/>
      <c r="D1103" s="288"/>
      <c r="E1103" s="288"/>
      <c r="F1103" s="438"/>
      <c r="G1103" s="438"/>
      <c r="H1103" s="438"/>
      <c r="I1103" s="438"/>
      <c r="J1103" s="438"/>
    </row>
    <row r="1104" spans="1:10" x14ac:dyDescent="0.25">
      <c r="A1104" s="274"/>
      <c r="B1104" s="498"/>
      <c r="C1104" s="287"/>
      <c r="D1104" s="288"/>
      <c r="E1104" s="288"/>
      <c r="F1104" s="438"/>
      <c r="G1104" s="438"/>
      <c r="H1104" s="438"/>
      <c r="I1104" s="438"/>
      <c r="J1104" s="438"/>
    </row>
    <row r="1105" spans="1:10" x14ac:dyDescent="0.25">
      <c r="A1105" s="274"/>
      <c r="B1105" s="498"/>
      <c r="C1105" s="287"/>
      <c r="D1105" s="288"/>
      <c r="E1105" s="288"/>
      <c r="F1105" s="438"/>
      <c r="G1105" s="438"/>
      <c r="H1105" s="438"/>
      <c r="I1105" s="438"/>
      <c r="J1105" s="438"/>
    </row>
    <row r="1106" spans="1:10" x14ac:dyDescent="0.25">
      <c r="A1106" s="274"/>
      <c r="B1106" s="498"/>
      <c r="C1106" s="287"/>
      <c r="D1106" s="288"/>
      <c r="E1106" s="288"/>
      <c r="F1106" s="438"/>
      <c r="G1106" s="438"/>
      <c r="H1106" s="438"/>
      <c r="I1106" s="438"/>
      <c r="J1106" s="438"/>
    </row>
    <row r="1107" spans="1:10" x14ac:dyDescent="0.25">
      <c r="A1107" s="274"/>
      <c r="B1107" s="498"/>
      <c r="C1107" s="287"/>
      <c r="D1107" s="288"/>
      <c r="E1107" s="288"/>
      <c r="F1107" s="438"/>
      <c r="G1107" s="438"/>
      <c r="H1107" s="438"/>
      <c r="I1107" s="438"/>
      <c r="J1107" s="438"/>
    </row>
    <row r="1108" spans="1:10" x14ac:dyDescent="0.25">
      <c r="A1108" s="274"/>
      <c r="B1108" s="498"/>
      <c r="C1108" s="287"/>
      <c r="D1108" s="288"/>
      <c r="E1108" s="288"/>
      <c r="F1108" s="438"/>
      <c r="G1108" s="438"/>
      <c r="H1108" s="438"/>
      <c r="I1108" s="438"/>
      <c r="J1108" s="438"/>
    </row>
    <row r="1109" spans="1:10" x14ac:dyDescent="0.25">
      <c r="A1109" s="274"/>
      <c r="B1109" s="498"/>
      <c r="C1109" s="287"/>
      <c r="D1109" s="288"/>
      <c r="E1109" s="288"/>
      <c r="F1109" s="438"/>
      <c r="G1109" s="438"/>
      <c r="H1109" s="438"/>
      <c r="I1109" s="438"/>
      <c r="J1109" s="438"/>
    </row>
    <row r="1110" spans="1:10" x14ac:dyDescent="0.25">
      <c r="A1110" s="274"/>
      <c r="B1110" s="498"/>
      <c r="C1110" s="287"/>
      <c r="D1110" s="288"/>
      <c r="E1110" s="288"/>
      <c r="F1110" s="438"/>
      <c r="G1110" s="438"/>
      <c r="H1110" s="438"/>
      <c r="I1110" s="438"/>
      <c r="J1110" s="438"/>
    </row>
    <row r="1111" spans="1:10" x14ac:dyDescent="0.25">
      <c r="A1111" s="274"/>
      <c r="B1111" s="498"/>
      <c r="C1111" s="287"/>
      <c r="D1111" s="288"/>
      <c r="E1111" s="288"/>
      <c r="F1111" s="438"/>
      <c r="G1111" s="438"/>
      <c r="H1111" s="438"/>
      <c r="I1111" s="438"/>
      <c r="J1111" s="438"/>
    </row>
    <row r="1112" spans="1:10" x14ac:dyDescent="0.25">
      <c r="A1112" s="274"/>
      <c r="B1112" s="498"/>
      <c r="C1112" s="287"/>
      <c r="D1112" s="288"/>
      <c r="E1112" s="288"/>
      <c r="F1112" s="438"/>
      <c r="G1112" s="438"/>
      <c r="H1112" s="438"/>
      <c r="I1112" s="438"/>
      <c r="J1112" s="438"/>
    </row>
    <row r="1113" spans="1:10" x14ac:dyDescent="0.25">
      <c r="A1113" s="274"/>
      <c r="B1113" s="498"/>
      <c r="C1113" s="287"/>
      <c r="D1113" s="288"/>
      <c r="E1113" s="288"/>
      <c r="F1113" s="438"/>
      <c r="G1113" s="438"/>
      <c r="H1113" s="438"/>
      <c r="I1113" s="438"/>
      <c r="J1113" s="438"/>
    </row>
    <row r="1114" spans="1:10" x14ac:dyDescent="0.25">
      <c r="A1114" s="274"/>
      <c r="B1114" s="498"/>
      <c r="C1114" s="287"/>
      <c r="D1114" s="288"/>
      <c r="E1114" s="288"/>
      <c r="F1114" s="438"/>
      <c r="G1114" s="438"/>
      <c r="H1114" s="438"/>
      <c r="I1114" s="438"/>
      <c r="J1114" s="438"/>
    </row>
    <row r="1115" spans="1:10" x14ac:dyDescent="0.25">
      <c r="A1115" s="274"/>
      <c r="B1115" s="498"/>
      <c r="C1115" s="287"/>
      <c r="D1115" s="288"/>
      <c r="E1115" s="288"/>
      <c r="F1115" s="438"/>
      <c r="G1115" s="438"/>
      <c r="H1115" s="438"/>
      <c r="I1115" s="438"/>
      <c r="J1115" s="438"/>
    </row>
    <row r="1116" spans="1:10" x14ac:dyDescent="0.25">
      <c r="A1116" s="274"/>
      <c r="B1116" s="498"/>
      <c r="C1116" s="287"/>
      <c r="D1116" s="288"/>
      <c r="E1116" s="288"/>
      <c r="F1116" s="438"/>
      <c r="G1116" s="438"/>
      <c r="H1116" s="438"/>
      <c r="I1116" s="438"/>
      <c r="J1116" s="438"/>
    </row>
    <row r="1117" spans="1:10" x14ac:dyDescent="0.25">
      <c r="A1117" s="274"/>
      <c r="B1117" s="498"/>
      <c r="C1117" s="287"/>
      <c r="D1117" s="288"/>
      <c r="E1117" s="288"/>
      <c r="F1117" s="438"/>
      <c r="G1117" s="438"/>
      <c r="H1117" s="438"/>
      <c r="I1117" s="438"/>
      <c r="J1117" s="438"/>
    </row>
    <row r="1118" spans="1:10" x14ac:dyDescent="0.25">
      <c r="A1118" s="274"/>
      <c r="B1118" s="498"/>
      <c r="C1118" s="287"/>
      <c r="D1118" s="288"/>
      <c r="E1118" s="288"/>
      <c r="F1118" s="438"/>
      <c r="G1118" s="438"/>
      <c r="H1118" s="438"/>
      <c r="I1118" s="438"/>
      <c r="J1118" s="438"/>
    </row>
    <row r="1119" spans="1:10" x14ac:dyDescent="0.25">
      <c r="A1119" s="274"/>
      <c r="B1119" s="498"/>
      <c r="C1119" s="287"/>
      <c r="D1119" s="288"/>
      <c r="E1119" s="288"/>
      <c r="F1119" s="438"/>
      <c r="G1119" s="438"/>
      <c r="H1119" s="438"/>
      <c r="I1119" s="438"/>
      <c r="J1119" s="438"/>
    </row>
    <row r="1120" spans="1:10" x14ac:dyDescent="0.25">
      <c r="A1120" s="274"/>
      <c r="B1120" s="498"/>
      <c r="C1120" s="287"/>
      <c r="D1120" s="288"/>
      <c r="E1120" s="288"/>
      <c r="F1120" s="438"/>
      <c r="G1120" s="438"/>
      <c r="H1120" s="438"/>
      <c r="I1120" s="438"/>
      <c r="J1120" s="438"/>
    </row>
    <row r="1121" spans="1:10" x14ac:dyDescent="0.25">
      <c r="A1121" s="274"/>
      <c r="B1121" s="498"/>
      <c r="C1121" s="287"/>
      <c r="D1121" s="288"/>
      <c r="E1121" s="288"/>
      <c r="F1121" s="438"/>
      <c r="G1121" s="438"/>
      <c r="H1121" s="438"/>
      <c r="I1121" s="438"/>
      <c r="J1121" s="438"/>
    </row>
    <row r="1122" spans="1:10" x14ac:dyDescent="0.25">
      <c r="A1122" s="274"/>
      <c r="B1122" s="498"/>
      <c r="C1122" s="287"/>
      <c r="D1122" s="288"/>
      <c r="E1122" s="288"/>
      <c r="F1122" s="438"/>
      <c r="G1122" s="438"/>
      <c r="H1122" s="438"/>
      <c r="I1122" s="438"/>
      <c r="J1122" s="438"/>
    </row>
    <row r="1123" spans="1:10" x14ac:dyDescent="0.25">
      <c r="A1123" s="274"/>
      <c r="B1123" s="498"/>
      <c r="C1123" s="287"/>
      <c r="D1123" s="288"/>
      <c r="E1123" s="288"/>
      <c r="F1123" s="438"/>
      <c r="G1123" s="438"/>
      <c r="H1123" s="438"/>
      <c r="I1123" s="438"/>
      <c r="J1123" s="438"/>
    </row>
    <row r="1124" spans="1:10" x14ac:dyDescent="0.25">
      <c r="A1124" s="274"/>
      <c r="B1124" s="498"/>
      <c r="C1124" s="287"/>
      <c r="D1124" s="288"/>
      <c r="E1124" s="288"/>
      <c r="F1124" s="438"/>
      <c r="G1124" s="438"/>
      <c r="H1124" s="438"/>
      <c r="I1124" s="438"/>
      <c r="J1124" s="438"/>
    </row>
    <row r="1125" spans="1:10" x14ac:dyDescent="0.25">
      <c r="A1125" s="274"/>
      <c r="B1125" s="498"/>
      <c r="C1125" s="287"/>
      <c r="D1125" s="288"/>
      <c r="E1125" s="288"/>
      <c r="F1125" s="438"/>
      <c r="G1125" s="438"/>
      <c r="H1125" s="438"/>
      <c r="I1125" s="438"/>
      <c r="J1125" s="438"/>
    </row>
    <row r="1126" spans="1:10" x14ac:dyDescent="0.25">
      <c r="A1126" s="274"/>
      <c r="B1126" s="498"/>
      <c r="C1126" s="287"/>
      <c r="D1126" s="288"/>
      <c r="E1126" s="288"/>
      <c r="F1126" s="438"/>
      <c r="G1126" s="438"/>
      <c r="H1126" s="438"/>
      <c r="I1126" s="438"/>
      <c r="J1126" s="438"/>
    </row>
    <row r="1127" spans="1:10" x14ac:dyDescent="0.25">
      <c r="A1127" s="274"/>
      <c r="B1127" s="498"/>
      <c r="C1127" s="287"/>
      <c r="D1127" s="288"/>
      <c r="E1127" s="288"/>
      <c r="F1127" s="438"/>
      <c r="G1127" s="438"/>
      <c r="H1127" s="438"/>
      <c r="I1127" s="438"/>
      <c r="J1127" s="438"/>
    </row>
    <row r="1128" spans="1:10" x14ac:dyDescent="0.25">
      <c r="A1128" s="274"/>
      <c r="B1128" s="498"/>
      <c r="C1128" s="287"/>
      <c r="D1128" s="288"/>
      <c r="E1128" s="288"/>
      <c r="F1128" s="438"/>
      <c r="G1128" s="438"/>
      <c r="H1128" s="438"/>
      <c r="I1128" s="438"/>
      <c r="J1128" s="438"/>
    </row>
    <row r="1129" spans="1:10" x14ac:dyDescent="0.25">
      <c r="A1129" s="274"/>
      <c r="B1129" s="498"/>
      <c r="C1129" s="287"/>
      <c r="D1129" s="288"/>
      <c r="E1129" s="288"/>
      <c r="F1129" s="438"/>
      <c r="G1129" s="438"/>
      <c r="H1129" s="438"/>
      <c r="I1129" s="438"/>
      <c r="J1129" s="438"/>
    </row>
    <row r="1130" spans="1:10" x14ac:dyDescent="0.25">
      <c r="A1130" s="274"/>
      <c r="B1130" s="498"/>
      <c r="C1130" s="287"/>
      <c r="D1130" s="288"/>
      <c r="E1130" s="288"/>
      <c r="F1130" s="438"/>
      <c r="G1130" s="438"/>
      <c r="H1130" s="438"/>
      <c r="I1130" s="438"/>
      <c r="J1130" s="438"/>
    </row>
    <row r="1131" spans="1:10" x14ac:dyDescent="0.25">
      <c r="A1131" s="274"/>
      <c r="B1131" s="498"/>
      <c r="C1131" s="287"/>
      <c r="D1131" s="288"/>
      <c r="E1131" s="288"/>
      <c r="F1131" s="438"/>
      <c r="G1131" s="438"/>
      <c r="H1131" s="438"/>
      <c r="I1131" s="438"/>
      <c r="J1131" s="438"/>
    </row>
    <row r="1132" spans="1:10" x14ac:dyDescent="0.25">
      <c r="A1132" s="274"/>
      <c r="B1132" s="498"/>
      <c r="C1132" s="287"/>
      <c r="D1132" s="288"/>
      <c r="E1132" s="288"/>
      <c r="F1132" s="438"/>
      <c r="G1132" s="438"/>
      <c r="H1132" s="438"/>
      <c r="I1132" s="438"/>
      <c r="J1132" s="438"/>
    </row>
    <row r="1133" spans="1:10" x14ac:dyDescent="0.25">
      <c r="A1133" s="274"/>
      <c r="B1133" s="498"/>
      <c r="C1133" s="287"/>
      <c r="D1133" s="288"/>
      <c r="E1133" s="288"/>
      <c r="F1133" s="438"/>
      <c r="G1133" s="438"/>
      <c r="H1133" s="438"/>
      <c r="I1133" s="438"/>
      <c r="J1133" s="438"/>
    </row>
    <row r="1134" spans="1:10" x14ac:dyDescent="0.25">
      <c r="A1134" s="274"/>
      <c r="B1134" s="498"/>
      <c r="C1134" s="287"/>
      <c r="D1134" s="288"/>
      <c r="E1134" s="288"/>
      <c r="F1134" s="438"/>
      <c r="G1134" s="438"/>
      <c r="H1134" s="438"/>
      <c r="I1134" s="438"/>
      <c r="J1134" s="438"/>
    </row>
    <row r="1135" spans="1:10" x14ac:dyDescent="0.25">
      <c r="A1135" s="274"/>
      <c r="B1135" s="498"/>
      <c r="C1135" s="287"/>
      <c r="D1135" s="288"/>
      <c r="E1135" s="288"/>
      <c r="F1135" s="438"/>
      <c r="G1135" s="438"/>
      <c r="H1135" s="438"/>
      <c r="I1135" s="438"/>
      <c r="J1135" s="438"/>
    </row>
    <row r="1136" spans="1:10" x14ac:dyDescent="0.25">
      <c r="A1136" s="274"/>
      <c r="B1136" s="498"/>
      <c r="C1136" s="287"/>
      <c r="D1136" s="288"/>
      <c r="E1136" s="288"/>
      <c r="F1136" s="438"/>
      <c r="G1136" s="438"/>
      <c r="H1136" s="438"/>
      <c r="I1136" s="438"/>
      <c r="J1136" s="438"/>
    </row>
    <row r="1137" spans="1:10" x14ac:dyDescent="0.25">
      <c r="A1137" s="274"/>
      <c r="B1137" s="498"/>
      <c r="C1137" s="287"/>
      <c r="D1137" s="288"/>
      <c r="E1137" s="288"/>
      <c r="F1137" s="438"/>
      <c r="G1137" s="438"/>
      <c r="H1137" s="438"/>
      <c r="I1137" s="438"/>
      <c r="J1137" s="438"/>
    </row>
    <row r="1138" spans="1:10" x14ac:dyDescent="0.25">
      <c r="A1138" s="274"/>
      <c r="B1138" s="498"/>
      <c r="C1138" s="287"/>
      <c r="D1138" s="288"/>
      <c r="E1138" s="288"/>
      <c r="F1138" s="438"/>
      <c r="G1138" s="438"/>
      <c r="H1138" s="438"/>
      <c r="I1138" s="438"/>
      <c r="J1138" s="438"/>
    </row>
    <row r="1139" spans="1:10" x14ac:dyDescent="0.25">
      <c r="A1139" s="274"/>
      <c r="B1139" s="498"/>
      <c r="C1139" s="287"/>
      <c r="D1139" s="288"/>
      <c r="E1139" s="288"/>
      <c r="F1139" s="438"/>
      <c r="G1139" s="438"/>
      <c r="H1139" s="438"/>
      <c r="I1139" s="438"/>
      <c r="J1139" s="438"/>
    </row>
    <row r="1140" spans="1:10" x14ac:dyDescent="0.25">
      <c r="A1140" s="274"/>
      <c r="B1140" s="498"/>
      <c r="C1140" s="287"/>
      <c r="D1140" s="288"/>
      <c r="E1140" s="288"/>
      <c r="F1140" s="438"/>
      <c r="G1140" s="438"/>
      <c r="H1140" s="438"/>
      <c r="I1140" s="438"/>
      <c r="J1140" s="438"/>
    </row>
    <row r="1141" spans="1:10" x14ac:dyDescent="0.25">
      <c r="A1141" s="274"/>
      <c r="B1141" s="498"/>
      <c r="C1141" s="287"/>
      <c r="D1141" s="288"/>
      <c r="E1141" s="288"/>
      <c r="F1141" s="438"/>
      <c r="G1141" s="438"/>
      <c r="H1141" s="438"/>
      <c r="I1141" s="438"/>
      <c r="J1141" s="438"/>
    </row>
    <row r="1142" spans="1:10" x14ac:dyDescent="0.25">
      <c r="A1142" s="274"/>
      <c r="B1142" s="498"/>
      <c r="C1142" s="287"/>
      <c r="D1142" s="288"/>
      <c r="E1142" s="288"/>
      <c r="F1142" s="438"/>
      <c r="G1142" s="438"/>
      <c r="H1142" s="438"/>
      <c r="I1142" s="438"/>
      <c r="J1142" s="438"/>
    </row>
    <row r="1143" spans="1:10" x14ac:dyDescent="0.25">
      <c r="A1143" s="274"/>
      <c r="B1143" s="498"/>
      <c r="C1143" s="287"/>
      <c r="D1143" s="288"/>
      <c r="E1143" s="288"/>
      <c r="F1143" s="438"/>
      <c r="G1143" s="438"/>
      <c r="H1143" s="438"/>
      <c r="I1143" s="438"/>
      <c r="J1143" s="438"/>
    </row>
    <row r="1144" spans="1:10" x14ac:dyDescent="0.25">
      <c r="A1144" s="274"/>
      <c r="B1144" s="498"/>
      <c r="C1144" s="287"/>
      <c r="D1144" s="288"/>
      <c r="E1144" s="288"/>
      <c r="F1144" s="438"/>
      <c r="G1144" s="438"/>
      <c r="H1144" s="438"/>
      <c r="I1144" s="438"/>
      <c r="J1144" s="438"/>
    </row>
    <row r="1145" spans="1:10" x14ac:dyDescent="0.25">
      <c r="A1145" s="274"/>
      <c r="B1145" s="498"/>
      <c r="C1145" s="287"/>
      <c r="D1145" s="288"/>
      <c r="E1145" s="288"/>
      <c r="F1145" s="438"/>
      <c r="G1145" s="438"/>
      <c r="H1145" s="438"/>
      <c r="I1145" s="438"/>
      <c r="J1145" s="438"/>
    </row>
    <row r="1146" spans="1:10" x14ac:dyDescent="0.25">
      <c r="A1146" s="274"/>
      <c r="B1146" s="498"/>
      <c r="C1146" s="287"/>
      <c r="D1146" s="288"/>
      <c r="E1146" s="288"/>
      <c r="F1146" s="438"/>
      <c r="G1146" s="438"/>
      <c r="H1146" s="438"/>
      <c r="I1146" s="438"/>
      <c r="J1146" s="438"/>
    </row>
    <row r="1147" spans="1:10" x14ac:dyDescent="0.25">
      <c r="A1147" s="274"/>
      <c r="B1147" s="498"/>
      <c r="C1147" s="287"/>
      <c r="D1147" s="288"/>
      <c r="E1147" s="288"/>
      <c r="F1147" s="438"/>
      <c r="G1147" s="438"/>
      <c r="H1147" s="438"/>
      <c r="I1147" s="438"/>
      <c r="J1147" s="438"/>
    </row>
    <row r="1148" spans="1:10" x14ac:dyDescent="0.25">
      <c r="A1148" s="274"/>
      <c r="B1148" s="498"/>
      <c r="C1148" s="287"/>
      <c r="D1148" s="288"/>
      <c r="E1148" s="288"/>
      <c r="F1148" s="438"/>
      <c r="G1148" s="438"/>
      <c r="H1148" s="438"/>
      <c r="I1148" s="438"/>
      <c r="J1148" s="438"/>
    </row>
    <row r="1149" spans="1:10" x14ac:dyDescent="0.25">
      <c r="A1149" s="274"/>
      <c r="B1149" s="498"/>
      <c r="C1149" s="287"/>
      <c r="D1149" s="288"/>
      <c r="E1149" s="288"/>
      <c r="F1149" s="438"/>
      <c r="G1149" s="438"/>
      <c r="H1149" s="438"/>
      <c r="I1149" s="438"/>
      <c r="J1149" s="438"/>
    </row>
    <row r="1150" spans="1:10" x14ac:dyDescent="0.25">
      <c r="A1150" s="274"/>
      <c r="B1150" s="498"/>
      <c r="C1150" s="287"/>
      <c r="D1150" s="288"/>
      <c r="E1150" s="288"/>
      <c r="F1150" s="438"/>
      <c r="G1150" s="438"/>
      <c r="H1150" s="438"/>
      <c r="I1150" s="438"/>
      <c r="J1150" s="438"/>
    </row>
    <row r="1151" spans="1:10" x14ac:dyDescent="0.25">
      <c r="A1151" s="274"/>
      <c r="B1151" s="498"/>
      <c r="C1151" s="287"/>
      <c r="D1151" s="288"/>
      <c r="E1151" s="288"/>
      <c r="F1151" s="438"/>
      <c r="G1151" s="438"/>
      <c r="H1151" s="438"/>
      <c r="I1151" s="438"/>
      <c r="J1151" s="438"/>
    </row>
    <row r="1152" spans="1:10" x14ac:dyDescent="0.25">
      <c r="A1152" s="274"/>
      <c r="B1152" s="498"/>
      <c r="C1152" s="287"/>
      <c r="D1152" s="288"/>
      <c r="E1152" s="288"/>
      <c r="F1152" s="438"/>
      <c r="G1152" s="438"/>
      <c r="H1152" s="438"/>
      <c r="I1152" s="438"/>
      <c r="J1152" s="438"/>
    </row>
    <row r="1153" spans="1:10" x14ac:dyDescent="0.25">
      <c r="A1153" s="274"/>
      <c r="B1153" s="498"/>
      <c r="C1153" s="287"/>
      <c r="D1153" s="288"/>
      <c r="E1153" s="288"/>
      <c r="F1153" s="438"/>
      <c r="G1153" s="438"/>
      <c r="H1153" s="438"/>
      <c r="I1153" s="438"/>
      <c r="J1153" s="438"/>
    </row>
    <row r="1154" spans="1:10" x14ac:dyDescent="0.25">
      <c r="A1154" s="274"/>
      <c r="B1154" s="498"/>
      <c r="C1154" s="287"/>
      <c r="D1154" s="288"/>
      <c r="E1154" s="288"/>
      <c r="F1154" s="438"/>
      <c r="G1154" s="438"/>
      <c r="H1154" s="438"/>
      <c r="I1154" s="438"/>
      <c r="J1154" s="438"/>
    </row>
    <row r="1155" spans="1:10" x14ac:dyDescent="0.25">
      <c r="A1155" s="274"/>
      <c r="B1155" s="498"/>
      <c r="C1155" s="287"/>
      <c r="D1155" s="288"/>
      <c r="E1155" s="288"/>
      <c r="F1155" s="438"/>
      <c r="G1155" s="438"/>
      <c r="H1155" s="438"/>
      <c r="I1155" s="438"/>
      <c r="J1155" s="438"/>
    </row>
    <row r="1156" spans="1:10" x14ac:dyDescent="0.25">
      <c r="A1156" s="274"/>
      <c r="B1156" s="498"/>
      <c r="C1156" s="287"/>
      <c r="D1156" s="288"/>
      <c r="E1156" s="288"/>
      <c r="F1156" s="438"/>
      <c r="G1156" s="438"/>
      <c r="H1156" s="438"/>
      <c r="I1156" s="438"/>
      <c r="J1156" s="438"/>
    </row>
    <row r="1157" spans="1:10" x14ac:dyDescent="0.25">
      <c r="A1157" s="274"/>
      <c r="B1157" s="498"/>
      <c r="C1157" s="287"/>
      <c r="D1157" s="288"/>
      <c r="E1157" s="288"/>
      <c r="F1157" s="438"/>
      <c r="G1157" s="438"/>
      <c r="H1157" s="438"/>
      <c r="I1157" s="438"/>
      <c r="J1157" s="438"/>
    </row>
    <row r="1158" spans="1:10" x14ac:dyDescent="0.25">
      <c r="A1158" s="274"/>
      <c r="B1158" s="498"/>
      <c r="C1158" s="287"/>
      <c r="D1158" s="288"/>
      <c r="E1158" s="288"/>
      <c r="F1158" s="438"/>
      <c r="G1158" s="438"/>
      <c r="H1158" s="438"/>
      <c r="I1158" s="438"/>
      <c r="J1158" s="438"/>
    </row>
    <row r="1159" spans="1:10" x14ac:dyDescent="0.25">
      <c r="A1159" s="274"/>
      <c r="B1159" s="498"/>
      <c r="C1159" s="287"/>
      <c r="D1159" s="288"/>
      <c r="E1159" s="288"/>
      <c r="F1159" s="438"/>
      <c r="G1159" s="438"/>
      <c r="H1159" s="438"/>
      <c r="I1159" s="438"/>
      <c r="J1159" s="438"/>
    </row>
    <row r="1160" spans="1:10" x14ac:dyDescent="0.25">
      <c r="A1160" s="274"/>
      <c r="B1160" s="498"/>
      <c r="C1160" s="287"/>
      <c r="D1160" s="288"/>
      <c r="E1160" s="288"/>
      <c r="F1160" s="438"/>
      <c r="G1160" s="438"/>
      <c r="H1160" s="438"/>
      <c r="I1160" s="438"/>
      <c r="J1160" s="438"/>
    </row>
    <row r="1161" spans="1:10" x14ac:dyDescent="0.25">
      <c r="A1161" s="274"/>
      <c r="B1161" s="498"/>
      <c r="C1161" s="287"/>
      <c r="D1161" s="288"/>
      <c r="E1161" s="288"/>
      <c r="F1161" s="438"/>
      <c r="G1161" s="438"/>
      <c r="H1161" s="438"/>
      <c r="I1161" s="438"/>
      <c r="J1161" s="438"/>
    </row>
    <row r="1162" spans="1:10" x14ac:dyDescent="0.25">
      <c r="A1162" s="274"/>
      <c r="B1162" s="498"/>
      <c r="C1162" s="287"/>
      <c r="D1162" s="288"/>
      <c r="E1162" s="288"/>
      <c r="F1162" s="438"/>
      <c r="G1162" s="438"/>
      <c r="H1162" s="438"/>
      <c r="I1162" s="438"/>
      <c r="J1162" s="438"/>
    </row>
    <row r="1163" spans="1:10" x14ac:dyDescent="0.25">
      <c r="A1163" s="274"/>
      <c r="B1163" s="498"/>
      <c r="C1163" s="287"/>
      <c r="D1163" s="288"/>
      <c r="E1163" s="288"/>
      <c r="F1163" s="438"/>
      <c r="G1163" s="438"/>
      <c r="H1163" s="438"/>
      <c r="I1163" s="438"/>
      <c r="J1163" s="438"/>
    </row>
    <row r="1164" spans="1:10" x14ac:dyDescent="0.25">
      <c r="A1164" s="274"/>
      <c r="B1164" s="498"/>
      <c r="C1164" s="287"/>
      <c r="D1164" s="288"/>
      <c r="E1164" s="288"/>
      <c r="F1164" s="438"/>
      <c r="G1164" s="438"/>
      <c r="H1164" s="438"/>
      <c r="I1164" s="438"/>
      <c r="J1164" s="438"/>
    </row>
    <row r="1165" spans="1:10" x14ac:dyDescent="0.25">
      <c r="A1165" s="274"/>
      <c r="B1165" s="498"/>
      <c r="C1165" s="287"/>
      <c r="D1165" s="288"/>
      <c r="E1165" s="288"/>
      <c r="F1165" s="438"/>
      <c r="G1165" s="438"/>
      <c r="H1165" s="438"/>
      <c r="I1165" s="438"/>
      <c r="J1165" s="438"/>
    </row>
    <row r="1166" spans="1:10" x14ac:dyDescent="0.25">
      <c r="A1166" s="274"/>
      <c r="B1166" s="498"/>
      <c r="C1166" s="287"/>
      <c r="D1166" s="288"/>
      <c r="E1166" s="288"/>
      <c r="F1166" s="438"/>
      <c r="G1166" s="438"/>
      <c r="H1166" s="438"/>
      <c r="I1166" s="438"/>
      <c r="J1166" s="438"/>
    </row>
    <row r="1167" spans="1:10" x14ac:dyDescent="0.25">
      <c r="A1167" s="274"/>
      <c r="B1167" s="498"/>
      <c r="C1167" s="287"/>
      <c r="D1167" s="288"/>
      <c r="E1167" s="288"/>
      <c r="F1167" s="438"/>
      <c r="G1167" s="438"/>
      <c r="H1167" s="438"/>
      <c r="I1167" s="438"/>
      <c r="J1167" s="438"/>
    </row>
    <row r="1168" spans="1:10" x14ac:dyDescent="0.25">
      <c r="A1168" s="274"/>
      <c r="B1168" s="498"/>
      <c r="C1168" s="287"/>
      <c r="D1168" s="288"/>
      <c r="E1168" s="288"/>
      <c r="F1168" s="438"/>
      <c r="G1168" s="438"/>
      <c r="H1168" s="438"/>
      <c r="I1168" s="438"/>
      <c r="J1168" s="438"/>
    </row>
    <row r="1169" spans="1:10" x14ac:dyDescent="0.25">
      <c r="A1169" s="274"/>
      <c r="B1169" s="498"/>
      <c r="C1169" s="287"/>
      <c r="D1169" s="288"/>
      <c r="E1169" s="288"/>
      <c r="F1169" s="438"/>
      <c r="G1169" s="438"/>
      <c r="H1169" s="438"/>
      <c r="I1169" s="438"/>
      <c r="J1169" s="438"/>
    </row>
    <row r="1170" spans="1:10" x14ac:dyDescent="0.25">
      <c r="A1170" s="274"/>
      <c r="B1170" s="498"/>
      <c r="C1170" s="287"/>
      <c r="D1170" s="288"/>
      <c r="E1170" s="288"/>
      <c r="F1170" s="438"/>
      <c r="G1170" s="438"/>
      <c r="H1170" s="438"/>
      <c r="I1170" s="438"/>
      <c r="J1170" s="438"/>
    </row>
    <row r="1171" spans="1:10" x14ac:dyDescent="0.25">
      <c r="A1171" s="274"/>
      <c r="B1171" s="498"/>
      <c r="C1171" s="287"/>
      <c r="D1171" s="288"/>
      <c r="E1171" s="288"/>
      <c r="F1171" s="438"/>
      <c r="G1171" s="438"/>
      <c r="H1171" s="438"/>
      <c r="I1171" s="438"/>
      <c r="J1171" s="438"/>
    </row>
    <row r="1172" spans="1:10" x14ac:dyDescent="0.25">
      <c r="A1172" s="274"/>
      <c r="B1172" s="498"/>
      <c r="C1172" s="287"/>
      <c r="D1172" s="288"/>
      <c r="E1172" s="288"/>
      <c r="F1172" s="438"/>
      <c r="G1172" s="438"/>
      <c r="H1172" s="438"/>
      <c r="I1172" s="438"/>
      <c r="J1172" s="438"/>
    </row>
    <row r="1173" spans="1:10" x14ac:dyDescent="0.25">
      <c r="A1173" s="274"/>
      <c r="B1173" s="498"/>
      <c r="C1173" s="287"/>
      <c r="D1173" s="288"/>
      <c r="E1173" s="288"/>
      <c r="F1173" s="438"/>
      <c r="G1173" s="438"/>
      <c r="H1173" s="438"/>
      <c r="I1173" s="438"/>
      <c r="J1173" s="438"/>
    </row>
    <row r="1174" spans="1:10" x14ac:dyDescent="0.25">
      <c r="A1174" s="274"/>
      <c r="B1174" s="498"/>
      <c r="C1174" s="287"/>
      <c r="D1174" s="288"/>
      <c r="E1174" s="288"/>
      <c r="F1174" s="438"/>
      <c r="G1174" s="438"/>
      <c r="H1174" s="438"/>
      <c r="I1174" s="438"/>
      <c r="J1174" s="438"/>
    </row>
    <row r="1175" spans="1:10" x14ac:dyDescent="0.25">
      <c r="A1175" s="274"/>
      <c r="B1175" s="498"/>
      <c r="C1175" s="287"/>
      <c r="D1175" s="288"/>
      <c r="E1175" s="288"/>
      <c r="F1175" s="438"/>
      <c r="G1175" s="438"/>
      <c r="H1175" s="438"/>
      <c r="I1175" s="438"/>
      <c r="J1175" s="438"/>
    </row>
    <row r="1176" spans="1:10" x14ac:dyDescent="0.25">
      <c r="A1176" s="274"/>
      <c r="B1176" s="498"/>
      <c r="C1176" s="287"/>
      <c r="D1176" s="288"/>
      <c r="E1176" s="288"/>
      <c r="F1176" s="438"/>
      <c r="G1176" s="438"/>
      <c r="H1176" s="438"/>
      <c r="I1176" s="438"/>
      <c r="J1176" s="438"/>
    </row>
    <row r="1177" spans="1:10" x14ac:dyDescent="0.25">
      <c r="A1177" s="274"/>
      <c r="B1177" s="498"/>
      <c r="C1177" s="287"/>
      <c r="D1177" s="288"/>
      <c r="E1177" s="288"/>
      <c r="F1177" s="438"/>
      <c r="G1177" s="438"/>
      <c r="H1177" s="438"/>
      <c r="I1177" s="438"/>
      <c r="J1177" s="438"/>
    </row>
    <row r="1178" spans="1:10" x14ac:dyDescent="0.25">
      <c r="A1178" s="274"/>
      <c r="B1178" s="498"/>
      <c r="C1178" s="287"/>
      <c r="D1178" s="288"/>
      <c r="E1178" s="288"/>
      <c r="F1178" s="438"/>
      <c r="G1178" s="438"/>
      <c r="H1178" s="438"/>
      <c r="I1178" s="438"/>
      <c r="J1178" s="438"/>
    </row>
    <row r="1179" spans="1:10" x14ac:dyDescent="0.25">
      <c r="A1179" s="274"/>
      <c r="B1179" s="498"/>
      <c r="C1179" s="287"/>
      <c r="D1179" s="288"/>
      <c r="E1179" s="288"/>
      <c r="F1179" s="438"/>
      <c r="G1179" s="438"/>
      <c r="H1179" s="438"/>
      <c r="I1179" s="438"/>
      <c r="J1179" s="438"/>
    </row>
    <row r="1180" spans="1:10" x14ac:dyDescent="0.25">
      <c r="A1180" s="274"/>
      <c r="B1180" s="498"/>
      <c r="C1180" s="287"/>
      <c r="D1180" s="288"/>
      <c r="E1180" s="288"/>
      <c r="F1180" s="438"/>
      <c r="G1180" s="438"/>
      <c r="H1180" s="438"/>
      <c r="I1180" s="438"/>
      <c r="J1180" s="438"/>
    </row>
    <row r="1181" spans="1:10" x14ac:dyDescent="0.25">
      <c r="A1181" s="274"/>
      <c r="B1181" s="498"/>
      <c r="C1181" s="287"/>
      <c r="D1181" s="288"/>
      <c r="E1181" s="288"/>
      <c r="F1181" s="438"/>
      <c r="G1181" s="438"/>
      <c r="H1181" s="438"/>
      <c r="I1181" s="438"/>
      <c r="J1181" s="438"/>
    </row>
    <row r="1182" spans="1:10" x14ac:dyDescent="0.25">
      <c r="A1182" s="274"/>
      <c r="B1182" s="498"/>
      <c r="C1182" s="287"/>
      <c r="D1182" s="288"/>
      <c r="E1182" s="288"/>
      <c r="F1182" s="438"/>
      <c r="G1182" s="438"/>
      <c r="H1182" s="438"/>
      <c r="I1182" s="438"/>
      <c r="J1182" s="438"/>
    </row>
    <row r="1183" spans="1:10" x14ac:dyDescent="0.25">
      <c r="A1183" s="274"/>
      <c r="B1183" s="498"/>
      <c r="C1183" s="287"/>
      <c r="D1183" s="288"/>
      <c r="E1183" s="288"/>
      <c r="F1183" s="438"/>
      <c r="G1183" s="438"/>
      <c r="H1183" s="438"/>
      <c r="I1183" s="438"/>
      <c r="J1183" s="438"/>
    </row>
    <row r="1184" spans="1:10" x14ac:dyDescent="0.25">
      <c r="A1184" s="274"/>
      <c r="B1184" s="498"/>
      <c r="C1184" s="287"/>
      <c r="D1184" s="288"/>
      <c r="E1184" s="288"/>
      <c r="F1184" s="438"/>
      <c r="G1184" s="438"/>
      <c r="H1184" s="438"/>
      <c r="I1184" s="438"/>
      <c r="J1184" s="438"/>
    </row>
    <row r="1185" spans="1:10" x14ac:dyDescent="0.25">
      <c r="A1185" s="274"/>
      <c r="B1185" s="498"/>
      <c r="C1185" s="287"/>
      <c r="D1185" s="288"/>
      <c r="E1185" s="288"/>
      <c r="F1185" s="438"/>
      <c r="G1185" s="438"/>
      <c r="H1185" s="438"/>
      <c r="I1185" s="438"/>
      <c r="J1185" s="438"/>
    </row>
    <row r="1186" spans="1:10" x14ac:dyDescent="0.25">
      <c r="A1186" s="274"/>
      <c r="B1186" s="498"/>
      <c r="C1186" s="287"/>
      <c r="D1186" s="288"/>
      <c r="E1186" s="288"/>
      <c r="F1186" s="438"/>
      <c r="G1186" s="438"/>
      <c r="H1186" s="438"/>
      <c r="I1186" s="438"/>
      <c r="J1186" s="438"/>
    </row>
    <row r="1187" spans="1:10" x14ac:dyDescent="0.25">
      <c r="A1187" s="274"/>
      <c r="B1187" s="498"/>
      <c r="C1187" s="287"/>
      <c r="D1187" s="288"/>
      <c r="E1187" s="288"/>
      <c r="F1187" s="438"/>
      <c r="G1187" s="438"/>
      <c r="H1187" s="438"/>
      <c r="I1187" s="438"/>
      <c r="J1187" s="438"/>
    </row>
    <row r="1188" spans="1:10" x14ac:dyDescent="0.25">
      <c r="A1188" s="274"/>
      <c r="B1188" s="498"/>
      <c r="C1188" s="287"/>
      <c r="D1188" s="288"/>
      <c r="E1188" s="288"/>
      <c r="F1188" s="438"/>
      <c r="G1188" s="438"/>
      <c r="H1188" s="438"/>
      <c r="I1188" s="438"/>
      <c r="J1188" s="438"/>
    </row>
    <row r="1189" spans="1:10" x14ac:dyDescent="0.25">
      <c r="A1189" s="274"/>
      <c r="B1189" s="498"/>
      <c r="C1189" s="287"/>
      <c r="D1189" s="288"/>
      <c r="E1189" s="288"/>
      <c r="F1189" s="438"/>
      <c r="G1189" s="438"/>
      <c r="H1189" s="438"/>
      <c r="I1189" s="438"/>
      <c r="J1189" s="438"/>
    </row>
    <row r="1190" spans="1:10" x14ac:dyDescent="0.25">
      <c r="A1190" s="274"/>
      <c r="B1190" s="498"/>
      <c r="C1190" s="287"/>
      <c r="D1190" s="288"/>
      <c r="E1190" s="288"/>
      <c r="F1190" s="438"/>
      <c r="G1190" s="438"/>
      <c r="H1190" s="438"/>
      <c r="I1190" s="438"/>
      <c r="J1190" s="438"/>
    </row>
    <row r="1191" spans="1:10" x14ac:dyDescent="0.25">
      <c r="A1191" s="274"/>
      <c r="B1191" s="498"/>
      <c r="C1191" s="287"/>
      <c r="D1191" s="288"/>
      <c r="E1191" s="288"/>
      <c r="F1191" s="438"/>
      <c r="G1191" s="438"/>
      <c r="H1191" s="438"/>
      <c r="I1191" s="438"/>
      <c r="J1191" s="438"/>
    </row>
    <row r="1192" spans="1:10" x14ac:dyDescent="0.25">
      <c r="A1192" s="274"/>
      <c r="B1192" s="498"/>
      <c r="C1192" s="287"/>
      <c r="D1192" s="288"/>
      <c r="E1192" s="288"/>
      <c r="F1192" s="438"/>
      <c r="G1192" s="438"/>
      <c r="H1192" s="438"/>
      <c r="I1192" s="438"/>
      <c r="J1192" s="438"/>
    </row>
    <row r="1193" spans="1:10" x14ac:dyDescent="0.25">
      <c r="A1193" s="274"/>
      <c r="B1193" s="498"/>
      <c r="C1193" s="287"/>
      <c r="D1193" s="288"/>
      <c r="E1193" s="288"/>
      <c r="F1193" s="438"/>
      <c r="G1193" s="438"/>
      <c r="H1193" s="438"/>
      <c r="I1193" s="438"/>
      <c r="J1193" s="438"/>
    </row>
    <row r="1194" spans="1:10" x14ac:dyDescent="0.25">
      <c r="A1194" s="274"/>
      <c r="B1194" s="498"/>
      <c r="C1194" s="287"/>
      <c r="D1194" s="288"/>
      <c r="E1194" s="288"/>
      <c r="F1194" s="438"/>
      <c r="G1194" s="438"/>
      <c r="H1194" s="438"/>
      <c r="I1194" s="438"/>
      <c r="J1194" s="438"/>
    </row>
    <row r="1195" spans="1:10" x14ac:dyDescent="0.25">
      <c r="A1195" s="274"/>
      <c r="B1195" s="498"/>
      <c r="C1195" s="287"/>
      <c r="D1195" s="288"/>
      <c r="E1195" s="288"/>
      <c r="F1195" s="438"/>
      <c r="G1195" s="438"/>
      <c r="H1195" s="438"/>
      <c r="I1195" s="438"/>
      <c r="J1195" s="438"/>
    </row>
    <row r="1196" spans="1:10" x14ac:dyDescent="0.25">
      <c r="A1196" s="274"/>
      <c r="B1196" s="498"/>
      <c r="C1196" s="287"/>
      <c r="D1196" s="288"/>
      <c r="E1196" s="288"/>
      <c r="F1196" s="438"/>
      <c r="G1196" s="438"/>
      <c r="H1196" s="438"/>
      <c r="I1196" s="438"/>
      <c r="J1196" s="438"/>
    </row>
    <row r="1197" spans="1:10" x14ac:dyDescent="0.25">
      <c r="A1197" s="274"/>
      <c r="B1197" s="498"/>
      <c r="C1197" s="287"/>
      <c r="D1197" s="288"/>
      <c r="E1197" s="288"/>
      <c r="F1197" s="438"/>
      <c r="G1197" s="438"/>
      <c r="H1197" s="438"/>
      <c r="I1197" s="438"/>
      <c r="J1197" s="438"/>
    </row>
    <row r="1198" spans="1:10" x14ac:dyDescent="0.25">
      <c r="A1198" s="274"/>
      <c r="B1198" s="498"/>
      <c r="C1198" s="287"/>
      <c r="D1198" s="288"/>
      <c r="E1198" s="288"/>
      <c r="F1198" s="438"/>
      <c r="G1198" s="438"/>
      <c r="H1198" s="438"/>
      <c r="I1198" s="438"/>
      <c r="J1198" s="438"/>
    </row>
    <row r="1199" spans="1:10" x14ac:dyDescent="0.25">
      <c r="A1199" s="274"/>
      <c r="B1199" s="498"/>
      <c r="C1199" s="287"/>
      <c r="D1199" s="288"/>
      <c r="E1199" s="288"/>
      <c r="F1199" s="438"/>
      <c r="G1199" s="438"/>
      <c r="H1199" s="438"/>
      <c r="I1199" s="438"/>
      <c r="J1199" s="438"/>
    </row>
    <row r="1200" spans="1:10" x14ac:dyDescent="0.25">
      <c r="A1200" s="274"/>
      <c r="B1200" s="498"/>
      <c r="C1200" s="287"/>
      <c r="D1200" s="288"/>
      <c r="E1200" s="288"/>
      <c r="F1200" s="438"/>
      <c r="G1200" s="438"/>
      <c r="H1200" s="438"/>
      <c r="I1200" s="438"/>
      <c r="J1200" s="438"/>
    </row>
    <row r="1201" spans="1:10" x14ac:dyDescent="0.25">
      <c r="A1201" s="274"/>
      <c r="B1201" s="498"/>
      <c r="C1201" s="287"/>
      <c r="D1201" s="288"/>
      <c r="E1201" s="288"/>
      <c r="F1201" s="438"/>
      <c r="G1201" s="438"/>
      <c r="H1201" s="438"/>
      <c r="I1201" s="438"/>
      <c r="J1201" s="438"/>
    </row>
    <row r="1202" spans="1:10" x14ac:dyDescent="0.25">
      <c r="A1202" s="274"/>
      <c r="B1202" s="498"/>
      <c r="C1202" s="287"/>
      <c r="D1202" s="288"/>
      <c r="E1202" s="288"/>
      <c r="F1202" s="438"/>
      <c r="G1202" s="438"/>
      <c r="H1202" s="438"/>
      <c r="I1202" s="438"/>
      <c r="J1202" s="438"/>
    </row>
    <row r="1203" spans="1:10" x14ac:dyDescent="0.25">
      <c r="A1203" s="274"/>
      <c r="B1203" s="498"/>
      <c r="C1203" s="287"/>
      <c r="D1203" s="288"/>
      <c r="E1203" s="288"/>
      <c r="F1203" s="438"/>
      <c r="G1203" s="438"/>
      <c r="H1203" s="438"/>
      <c r="I1203" s="438"/>
      <c r="J1203" s="438"/>
    </row>
    <row r="1204" spans="1:10" x14ac:dyDescent="0.25">
      <c r="A1204" s="274"/>
      <c r="B1204" s="498"/>
      <c r="C1204" s="287"/>
      <c r="D1204" s="288"/>
      <c r="E1204" s="288"/>
      <c r="F1204" s="438"/>
      <c r="G1204" s="438"/>
      <c r="H1204" s="438"/>
      <c r="I1204" s="438"/>
      <c r="J1204" s="438"/>
    </row>
    <row r="1205" spans="1:10" x14ac:dyDescent="0.25">
      <c r="A1205" s="274"/>
      <c r="B1205" s="498"/>
      <c r="C1205" s="287"/>
      <c r="D1205" s="288"/>
      <c r="E1205" s="288"/>
      <c r="F1205" s="438"/>
      <c r="G1205" s="438"/>
      <c r="H1205" s="438"/>
      <c r="I1205" s="438"/>
      <c r="J1205" s="438"/>
    </row>
    <row r="1206" spans="1:10" x14ac:dyDescent="0.25">
      <c r="A1206" s="274"/>
      <c r="B1206" s="498"/>
      <c r="C1206" s="287"/>
      <c r="D1206" s="288"/>
      <c r="E1206" s="288"/>
      <c r="F1206" s="438"/>
      <c r="G1206" s="438"/>
      <c r="H1206" s="438"/>
      <c r="I1206" s="438"/>
      <c r="J1206" s="438"/>
    </row>
    <row r="1207" spans="1:10" x14ac:dyDescent="0.25">
      <c r="A1207" s="274"/>
      <c r="B1207" s="498"/>
      <c r="C1207" s="287"/>
      <c r="D1207" s="288"/>
      <c r="E1207" s="288"/>
      <c r="F1207" s="438"/>
      <c r="G1207" s="438"/>
      <c r="H1207" s="438"/>
      <c r="I1207" s="438"/>
      <c r="J1207" s="438"/>
    </row>
    <row r="1208" spans="1:10" x14ac:dyDescent="0.25">
      <c r="A1208" s="274"/>
      <c r="B1208" s="498"/>
      <c r="C1208" s="287"/>
      <c r="D1208" s="288"/>
      <c r="E1208" s="288"/>
      <c r="F1208" s="438"/>
      <c r="G1208" s="438"/>
      <c r="H1208" s="438"/>
      <c r="I1208" s="438"/>
      <c r="J1208" s="438"/>
    </row>
    <row r="1209" spans="1:10" x14ac:dyDescent="0.25">
      <c r="A1209" s="274"/>
      <c r="B1209" s="498"/>
      <c r="C1209" s="287"/>
      <c r="D1209" s="288"/>
      <c r="E1209" s="288"/>
      <c r="F1209" s="438"/>
      <c r="G1209" s="438"/>
      <c r="H1209" s="438"/>
      <c r="I1209" s="438"/>
      <c r="J1209" s="438"/>
    </row>
    <row r="1210" spans="1:10" x14ac:dyDescent="0.25">
      <c r="A1210" s="274"/>
      <c r="B1210" s="498"/>
      <c r="C1210" s="287"/>
      <c r="D1210" s="288"/>
      <c r="E1210" s="288"/>
      <c r="F1210" s="438"/>
      <c r="G1210" s="438"/>
      <c r="H1210" s="438"/>
      <c r="I1210" s="438"/>
      <c r="J1210" s="438"/>
    </row>
    <row r="1211" spans="1:10" x14ac:dyDescent="0.25">
      <c r="A1211" s="274"/>
      <c r="B1211" s="498"/>
      <c r="C1211" s="287"/>
      <c r="D1211" s="288"/>
      <c r="E1211" s="288"/>
      <c r="F1211" s="438"/>
      <c r="G1211" s="438"/>
      <c r="H1211" s="438"/>
      <c r="I1211" s="438"/>
      <c r="J1211" s="438"/>
    </row>
    <row r="1212" spans="1:10" x14ac:dyDescent="0.25">
      <c r="A1212" s="274"/>
      <c r="B1212" s="498"/>
      <c r="C1212" s="287"/>
      <c r="D1212" s="288"/>
      <c r="E1212" s="288"/>
      <c r="F1212" s="438"/>
      <c r="G1212" s="438"/>
      <c r="H1212" s="438"/>
      <c r="I1212" s="438"/>
      <c r="J1212" s="438"/>
    </row>
    <row r="1213" spans="1:10" x14ac:dyDescent="0.25">
      <c r="A1213" s="274"/>
      <c r="B1213" s="498"/>
      <c r="C1213" s="287"/>
      <c r="D1213" s="288"/>
      <c r="E1213" s="288"/>
      <c r="F1213" s="438"/>
      <c r="G1213" s="438"/>
      <c r="H1213" s="438"/>
      <c r="I1213" s="438"/>
      <c r="J1213" s="438"/>
    </row>
    <row r="1214" spans="1:10" x14ac:dyDescent="0.25">
      <c r="A1214" s="274"/>
      <c r="B1214" s="498"/>
      <c r="C1214" s="287"/>
      <c r="D1214" s="288"/>
      <c r="E1214" s="288"/>
      <c r="F1214" s="438"/>
      <c r="G1214" s="438"/>
      <c r="H1214" s="438"/>
      <c r="I1214" s="438"/>
      <c r="J1214" s="438"/>
    </row>
    <row r="1215" spans="1:10" x14ac:dyDescent="0.25">
      <c r="A1215" s="274"/>
      <c r="B1215" s="498"/>
      <c r="C1215" s="287"/>
      <c r="D1215" s="288"/>
      <c r="E1215" s="288"/>
      <c r="F1215" s="438"/>
      <c r="G1215" s="438"/>
      <c r="H1215" s="438"/>
      <c r="I1215" s="438"/>
      <c r="J1215" s="438"/>
    </row>
    <row r="1216" spans="1:10" x14ac:dyDescent="0.25">
      <c r="A1216" s="274"/>
      <c r="B1216" s="498"/>
      <c r="C1216" s="287"/>
      <c r="D1216" s="288"/>
      <c r="E1216" s="288"/>
      <c r="F1216" s="438"/>
      <c r="G1216" s="438"/>
      <c r="H1216" s="438"/>
      <c r="I1216" s="438"/>
      <c r="J1216" s="438"/>
    </row>
    <row r="1217" spans="1:10" x14ac:dyDescent="0.25">
      <c r="A1217" s="274"/>
      <c r="B1217" s="498"/>
      <c r="C1217" s="287"/>
      <c r="D1217" s="288"/>
      <c r="E1217" s="288"/>
      <c r="F1217" s="438"/>
      <c r="G1217" s="438"/>
      <c r="H1217" s="438"/>
      <c r="I1217" s="438"/>
      <c r="J1217" s="438"/>
    </row>
    <row r="1218" spans="1:10" x14ac:dyDescent="0.25">
      <c r="A1218" s="274"/>
      <c r="B1218" s="498"/>
      <c r="C1218" s="287"/>
      <c r="D1218" s="288"/>
      <c r="E1218" s="288"/>
      <c r="F1218" s="438"/>
      <c r="G1218" s="438"/>
      <c r="H1218" s="438"/>
      <c r="I1218" s="438"/>
      <c r="J1218" s="438"/>
    </row>
    <row r="1219" spans="1:10" x14ac:dyDescent="0.25">
      <c r="A1219" s="274"/>
      <c r="B1219" s="498"/>
      <c r="C1219" s="287"/>
      <c r="D1219" s="288"/>
      <c r="E1219" s="288"/>
      <c r="F1219" s="438"/>
      <c r="G1219" s="438"/>
      <c r="H1219" s="438"/>
      <c r="I1219" s="438"/>
      <c r="J1219" s="438"/>
    </row>
    <row r="1220" spans="1:10" x14ac:dyDescent="0.25">
      <c r="A1220" s="274"/>
      <c r="B1220" s="498"/>
      <c r="C1220" s="287"/>
      <c r="D1220" s="288"/>
      <c r="E1220" s="288"/>
      <c r="F1220" s="438"/>
      <c r="G1220" s="438"/>
      <c r="H1220" s="438"/>
      <c r="I1220" s="438"/>
      <c r="J1220" s="438"/>
    </row>
    <row r="1221" spans="1:10" x14ac:dyDescent="0.25">
      <c r="A1221" s="274"/>
      <c r="B1221" s="498"/>
      <c r="C1221" s="287"/>
      <c r="D1221" s="288"/>
      <c r="E1221" s="288"/>
      <c r="F1221" s="438"/>
      <c r="G1221" s="438"/>
      <c r="H1221" s="438"/>
      <c r="I1221" s="438"/>
      <c r="J1221" s="438"/>
    </row>
    <row r="1222" spans="1:10" x14ac:dyDescent="0.25">
      <c r="A1222" s="274"/>
      <c r="B1222" s="498"/>
      <c r="C1222" s="287"/>
      <c r="D1222" s="288"/>
      <c r="E1222" s="288"/>
      <c r="F1222" s="438"/>
      <c r="G1222" s="438"/>
      <c r="H1222" s="438"/>
      <c r="I1222" s="438"/>
      <c r="J1222" s="438"/>
    </row>
    <row r="1223" spans="1:10" x14ac:dyDescent="0.25">
      <c r="A1223" s="274"/>
      <c r="B1223" s="498"/>
      <c r="C1223" s="287"/>
      <c r="D1223" s="288"/>
      <c r="E1223" s="288"/>
      <c r="F1223" s="438"/>
      <c r="G1223" s="438"/>
      <c r="H1223" s="438"/>
      <c r="I1223" s="438"/>
      <c r="J1223" s="438"/>
    </row>
    <row r="1224" spans="1:10" x14ac:dyDescent="0.25">
      <c r="A1224" s="274"/>
      <c r="B1224" s="498"/>
      <c r="C1224" s="287"/>
      <c r="D1224" s="288"/>
      <c r="E1224" s="288"/>
      <c r="F1224" s="438"/>
      <c r="G1224" s="438"/>
      <c r="H1224" s="438"/>
      <c r="I1224" s="438"/>
      <c r="J1224" s="438"/>
    </row>
    <row r="1225" spans="1:10" x14ac:dyDescent="0.25">
      <c r="A1225" s="274"/>
      <c r="B1225" s="498"/>
      <c r="C1225" s="287"/>
      <c r="D1225" s="288"/>
      <c r="E1225" s="288"/>
      <c r="F1225" s="438"/>
      <c r="G1225" s="438"/>
      <c r="H1225" s="438"/>
      <c r="I1225" s="438"/>
      <c r="J1225" s="438"/>
    </row>
    <row r="1226" spans="1:10" x14ac:dyDescent="0.25">
      <c r="A1226" s="274"/>
      <c r="B1226" s="498"/>
      <c r="C1226" s="287"/>
      <c r="D1226" s="288"/>
      <c r="E1226" s="288"/>
      <c r="F1226" s="438"/>
      <c r="G1226" s="438"/>
      <c r="H1226" s="438"/>
      <c r="I1226" s="438"/>
      <c r="J1226" s="438"/>
    </row>
    <row r="1227" spans="1:10" x14ac:dyDescent="0.25">
      <c r="A1227" s="274"/>
      <c r="B1227" s="498"/>
      <c r="C1227" s="287"/>
      <c r="D1227" s="288"/>
      <c r="E1227" s="288"/>
      <c r="F1227" s="438"/>
      <c r="G1227" s="438"/>
      <c r="H1227" s="438"/>
      <c r="I1227" s="438"/>
      <c r="J1227" s="438"/>
    </row>
    <row r="1228" spans="1:10" x14ac:dyDescent="0.25">
      <c r="A1228" s="274"/>
      <c r="B1228" s="498"/>
      <c r="C1228" s="287"/>
      <c r="D1228" s="288"/>
      <c r="E1228" s="288"/>
      <c r="F1228" s="438"/>
      <c r="G1228" s="438"/>
      <c r="H1228" s="438"/>
      <c r="I1228" s="438"/>
      <c r="J1228" s="438"/>
    </row>
    <row r="1229" spans="1:10" x14ac:dyDescent="0.25">
      <c r="A1229" s="274"/>
      <c r="B1229" s="498"/>
      <c r="C1229" s="287"/>
      <c r="D1229" s="288"/>
      <c r="E1229" s="288"/>
      <c r="F1229" s="438"/>
      <c r="G1229" s="438"/>
      <c r="H1229" s="438"/>
      <c r="I1229" s="438"/>
      <c r="J1229" s="438"/>
    </row>
    <row r="1230" spans="1:10" x14ac:dyDescent="0.25">
      <c r="A1230" s="274"/>
      <c r="B1230" s="498"/>
      <c r="C1230" s="287"/>
      <c r="D1230" s="288"/>
      <c r="E1230" s="288"/>
      <c r="F1230" s="438"/>
      <c r="G1230" s="438"/>
      <c r="H1230" s="438"/>
      <c r="I1230" s="438"/>
      <c r="J1230" s="438"/>
    </row>
    <row r="1231" spans="1:10" x14ac:dyDescent="0.25">
      <c r="A1231" s="274"/>
      <c r="B1231" s="498"/>
      <c r="C1231" s="287"/>
      <c r="D1231" s="288"/>
      <c r="E1231" s="288"/>
      <c r="F1231" s="438"/>
      <c r="G1231" s="438"/>
      <c r="H1231" s="438"/>
      <c r="I1231" s="438"/>
      <c r="J1231" s="438"/>
    </row>
    <row r="1232" spans="1:10" x14ac:dyDescent="0.25">
      <c r="A1232" s="274"/>
      <c r="B1232" s="498"/>
      <c r="C1232" s="287"/>
      <c r="D1232" s="288"/>
      <c r="E1232" s="288"/>
      <c r="F1232" s="438"/>
      <c r="G1232" s="438"/>
      <c r="H1232" s="438"/>
      <c r="I1232" s="438"/>
      <c r="J1232" s="438"/>
    </row>
    <row r="1233" spans="1:10" x14ac:dyDescent="0.25">
      <c r="A1233" s="274"/>
      <c r="B1233" s="498"/>
      <c r="C1233" s="287"/>
      <c r="D1233" s="288"/>
      <c r="E1233" s="288"/>
      <c r="F1233" s="438"/>
      <c r="G1233" s="438"/>
      <c r="H1233" s="438"/>
      <c r="I1233" s="438"/>
      <c r="J1233" s="438"/>
    </row>
    <row r="1234" spans="1:10" x14ac:dyDescent="0.25">
      <c r="A1234" s="274"/>
      <c r="B1234" s="498"/>
      <c r="C1234" s="287"/>
      <c r="D1234" s="288"/>
      <c r="E1234" s="288"/>
      <c r="F1234" s="438"/>
      <c r="G1234" s="438"/>
      <c r="H1234" s="438"/>
      <c r="I1234" s="438"/>
      <c r="J1234" s="438"/>
    </row>
    <row r="1235" spans="1:10" x14ac:dyDescent="0.25">
      <c r="A1235" s="274"/>
      <c r="B1235" s="498"/>
      <c r="C1235" s="287"/>
      <c r="D1235" s="288"/>
      <c r="E1235" s="288"/>
      <c r="F1235" s="438"/>
      <c r="G1235" s="438"/>
      <c r="H1235" s="438"/>
      <c r="I1235" s="438"/>
      <c r="J1235" s="438"/>
    </row>
    <row r="1236" spans="1:10" x14ac:dyDescent="0.25">
      <c r="A1236" s="274"/>
      <c r="B1236" s="498"/>
      <c r="C1236" s="287"/>
      <c r="D1236" s="288"/>
      <c r="E1236" s="288"/>
      <c r="F1236" s="438"/>
      <c r="G1236" s="438"/>
      <c r="H1236" s="438"/>
      <c r="I1236" s="438"/>
      <c r="J1236" s="438"/>
    </row>
    <row r="1237" spans="1:10" x14ac:dyDescent="0.25">
      <c r="A1237" s="274"/>
      <c r="B1237" s="498"/>
      <c r="C1237" s="287"/>
      <c r="D1237" s="288"/>
      <c r="E1237" s="288"/>
      <c r="F1237" s="438"/>
      <c r="G1237" s="438"/>
      <c r="H1237" s="438"/>
      <c r="I1237" s="438"/>
      <c r="J1237" s="438"/>
    </row>
    <row r="1238" spans="1:10" x14ac:dyDescent="0.25">
      <c r="A1238" s="274"/>
      <c r="B1238" s="498"/>
      <c r="C1238" s="287"/>
      <c r="D1238" s="288"/>
      <c r="E1238" s="288"/>
      <c r="F1238" s="438"/>
      <c r="G1238" s="438"/>
      <c r="H1238" s="438"/>
      <c r="I1238" s="438"/>
      <c r="J1238" s="438"/>
    </row>
    <row r="1239" spans="1:10" x14ac:dyDescent="0.25">
      <c r="A1239" s="274"/>
      <c r="B1239" s="498"/>
      <c r="C1239" s="287"/>
      <c r="D1239" s="288"/>
      <c r="E1239" s="288"/>
      <c r="F1239" s="438"/>
      <c r="G1239" s="438"/>
      <c r="H1239" s="438"/>
      <c r="I1239" s="438"/>
      <c r="J1239" s="438"/>
    </row>
    <row r="1240" spans="1:10" x14ac:dyDescent="0.25">
      <c r="A1240" s="274"/>
      <c r="B1240" s="498"/>
      <c r="C1240" s="287"/>
      <c r="D1240" s="288"/>
      <c r="E1240" s="288"/>
      <c r="F1240" s="438"/>
      <c r="G1240" s="438"/>
      <c r="H1240" s="438"/>
      <c r="I1240" s="438"/>
      <c r="J1240" s="438"/>
    </row>
    <row r="1241" spans="1:10" x14ac:dyDescent="0.25">
      <c r="A1241" s="274"/>
      <c r="B1241" s="498"/>
      <c r="C1241" s="287"/>
      <c r="D1241" s="288"/>
      <c r="E1241" s="288"/>
      <c r="F1241" s="438"/>
      <c r="G1241" s="438"/>
      <c r="H1241" s="438"/>
      <c r="I1241" s="438"/>
      <c r="J1241" s="438"/>
    </row>
    <row r="1242" spans="1:10" x14ac:dyDescent="0.25">
      <c r="A1242" s="274"/>
      <c r="B1242" s="498"/>
      <c r="C1242" s="287"/>
      <c r="D1242" s="288"/>
      <c r="E1242" s="288"/>
      <c r="F1242" s="438"/>
      <c r="G1242" s="438"/>
      <c r="H1242" s="438"/>
      <c r="I1242" s="438"/>
      <c r="J1242" s="438"/>
    </row>
    <row r="1243" spans="1:10" x14ac:dyDescent="0.25">
      <c r="A1243" s="274"/>
      <c r="B1243" s="498"/>
      <c r="C1243" s="287"/>
      <c r="D1243" s="288"/>
      <c r="E1243" s="288"/>
      <c r="F1243" s="438"/>
      <c r="G1243" s="438"/>
      <c r="H1243" s="438"/>
      <c r="I1243" s="438"/>
      <c r="J1243" s="438"/>
    </row>
    <row r="1244" spans="1:10" x14ac:dyDescent="0.25">
      <c r="A1244" s="274"/>
      <c r="B1244" s="498"/>
      <c r="C1244" s="287"/>
      <c r="D1244" s="288"/>
      <c r="E1244" s="288"/>
      <c r="F1244" s="438"/>
      <c r="G1244" s="438"/>
      <c r="H1244" s="438"/>
      <c r="I1244" s="438"/>
      <c r="J1244" s="438"/>
    </row>
    <row r="1245" spans="1:10" x14ac:dyDescent="0.25">
      <c r="A1245" s="274"/>
      <c r="B1245" s="498"/>
      <c r="C1245" s="287"/>
      <c r="D1245" s="288"/>
      <c r="E1245" s="288"/>
      <c r="F1245" s="438"/>
      <c r="G1245" s="438"/>
      <c r="H1245" s="438"/>
      <c r="I1245" s="438"/>
      <c r="J1245" s="438"/>
    </row>
    <row r="1246" spans="1:10" x14ac:dyDescent="0.25">
      <c r="A1246" s="274"/>
      <c r="B1246" s="498"/>
      <c r="C1246" s="287"/>
      <c r="D1246" s="288"/>
      <c r="E1246" s="288"/>
      <c r="F1246" s="438"/>
      <c r="G1246" s="438"/>
      <c r="H1246" s="438"/>
      <c r="I1246" s="438"/>
      <c r="J1246" s="438"/>
    </row>
    <row r="1247" spans="1:10" x14ac:dyDescent="0.25">
      <c r="A1247" s="274"/>
      <c r="B1247" s="498"/>
      <c r="C1247" s="287"/>
      <c r="D1247" s="288"/>
      <c r="E1247" s="288"/>
      <c r="F1247" s="438"/>
      <c r="G1247" s="438"/>
      <c r="H1247" s="438"/>
      <c r="I1247" s="438"/>
      <c r="J1247" s="438"/>
    </row>
    <row r="1248" spans="1:10" x14ac:dyDescent="0.25">
      <c r="A1248" s="274"/>
      <c r="B1248" s="498"/>
      <c r="C1248" s="287"/>
      <c r="D1248" s="288"/>
      <c r="E1248" s="288"/>
      <c r="F1248" s="438"/>
      <c r="G1248" s="438"/>
      <c r="H1248" s="438"/>
      <c r="I1248" s="438"/>
      <c r="J1248" s="438"/>
    </row>
    <row r="1249" spans="1:10" x14ac:dyDescent="0.25">
      <c r="A1249" s="274"/>
      <c r="B1249" s="498"/>
      <c r="C1249" s="287"/>
      <c r="D1249" s="288"/>
      <c r="E1249" s="288"/>
      <c r="F1249" s="438"/>
      <c r="G1249" s="438"/>
      <c r="H1249" s="438"/>
      <c r="I1249" s="438"/>
      <c r="J1249" s="438"/>
    </row>
    <row r="1250" spans="1:10" x14ac:dyDescent="0.25">
      <c r="A1250" s="274"/>
      <c r="B1250" s="498"/>
      <c r="C1250" s="287"/>
      <c r="D1250" s="288"/>
      <c r="E1250" s="288"/>
      <c r="F1250" s="438"/>
      <c r="G1250" s="438"/>
      <c r="H1250" s="438"/>
      <c r="I1250" s="438"/>
      <c r="J1250" s="438"/>
    </row>
    <row r="1251" spans="1:10" x14ac:dyDescent="0.25">
      <c r="A1251" s="274"/>
      <c r="B1251" s="498"/>
      <c r="C1251" s="287"/>
      <c r="D1251" s="288"/>
      <c r="E1251" s="288"/>
      <c r="F1251" s="438"/>
      <c r="G1251" s="438"/>
      <c r="H1251" s="438"/>
      <c r="I1251" s="438"/>
      <c r="J1251" s="438"/>
    </row>
    <row r="1252" spans="1:10" x14ac:dyDescent="0.25">
      <c r="A1252" s="274"/>
      <c r="B1252" s="498"/>
      <c r="C1252" s="287"/>
      <c r="D1252" s="288"/>
      <c r="E1252" s="288"/>
      <c r="F1252" s="438"/>
      <c r="G1252" s="438"/>
      <c r="H1252" s="438"/>
      <c r="I1252" s="438"/>
      <c r="J1252" s="438"/>
    </row>
    <row r="1253" spans="1:10" x14ac:dyDescent="0.25">
      <c r="A1253" s="274"/>
      <c r="B1253" s="498"/>
      <c r="C1253" s="287"/>
      <c r="D1253" s="288"/>
      <c r="E1253" s="288"/>
      <c r="F1253" s="438"/>
      <c r="G1253" s="438"/>
      <c r="H1253" s="438"/>
      <c r="I1253" s="438"/>
      <c r="J1253" s="438"/>
    </row>
    <row r="1254" spans="1:10" x14ac:dyDescent="0.25">
      <c r="A1254" s="274"/>
      <c r="B1254" s="498"/>
      <c r="C1254" s="287"/>
      <c r="D1254" s="288"/>
      <c r="E1254" s="288"/>
      <c r="F1254" s="438"/>
      <c r="G1254" s="438"/>
      <c r="H1254" s="438"/>
      <c r="I1254" s="438"/>
      <c r="J1254" s="438"/>
    </row>
    <row r="1255" spans="1:10" x14ac:dyDescent="0.25">
      <c r="A1255" s="274"/>
      <c r="B1255" s="498"/>
      <c r="C1255" s="287"/>
      <c r="D1255" s="288"/>
      <c r="E1255" s="288"/>
      <c r="F1255" s="438"/>
      <c r="G1255" s="438"/>
      <c r="H1255" s="438"/>
      <c r="I1255" s="438"/>
      <c r="J1255" s="438"/>
    </row>
    <row r="1256" spans="1:10" x14ac:dyDescent="0.25">
      <c r="A1256" s="274"/>
      <c r="B1256" s="498"/>
      <c r="C1256" s="287"/>
      <c r="D1256" s="288"/>
      <c r="E1256" s="288"/>
      <c r="F1256" s="438"/>
      <c r="G1256" s="438"/>
      <c r="H1256" s="438"/>
      <c r="I1256" s="438"/>
      <c r="J1256" s="438"/>
    </row>
    <row r="1257" spans="1:10" x14ac:dyDescent="0.25">
      <c r="A1257" s="274"/>
      <c r="B1257" s="498"/>
      <c r="C1257" s="287"/>
      <c r="D1257" s="288"/>
      <c r="E1257" s="288"/>
      <c r="F1257" s="438"/>
      <c r="G1257" s="438"/>
      <c r="H1257" s="438"/>
      <c r="I1257" s="438"/>
      <c r="J1257" s="438"/>
    </row>
    <row r="1258" spans="1:10" x14ac:dyDescent="0.25">
      <c r="A1258" s="274"/>
      <c r="B1258" s="498"/>
      <c r="C1258" s="287"/>
      <c r="D1258" s="288"/>
      <c r="E1258" s="288"/>
      <c r="F1258" s="438"/>
      <c r="G1258" s="438"/>
      <c r="H1258" s="438"/>
      <c r="I1258" s="438"/>
      <c r="J1258" s="438"/>
    </row>
    <row r="1259" spans="1:10" x14ac:dyDescent="0.25">
      <c r="A1259" s="274"/>
      <c r="B1259" s="498"/>
      <c r="C1259" s="287"/>
      <c r="D1259" s="288"/>
      <c r="E1259" s="288"/>
      <c r="F1259" s="438"/>
      <c r="G1259" s="438"/>
      <c r="H1259" s="438"/>
      <c r="I1259" s="438"/>
      <c r="J1259" s="438"/>
    </row>
    <row r="1260" spans="1:10" x14ac:dyDescent="0.25">
      <c r="A1260" s="274"/>
      <c r="B1260" s="498"/>
      <c r="C1260" s="287"/>
      <c r="D1260" s="288"/>
      <c r="E1260" s="288"/>
      <c r="F1260" s="438"/>
      <c r="G1260" s="438"/>
      <c r="H1260" s="438"/>
      <c r="I1260" s="438"/>
      <c r="J1260" s="438"/>
    </row>
    <row r="1261" spans="1:10" x14ac:dyDescent="0.25">
      <c r="A1261" s="274"/>
      <c r="B1261" s="498"/>
      <c r="C1261" s="287"/>
      <c r="D1261" s="288"/>
      <c r="E1261" s="288"/>
      <c r="F1261" s="438"/>
      <c r="G1261" s="438"/>
      <c r="H1261" s="438"/>
      <c r="I1261" s="438"/>
      <c r="J1261" s="438"/>
    </row>
    <row r="1262" spans="1:10" x14ac:dyDescent="0.25">
      <c r="A1262" s="274"/>
      <c r="B1262" s="498"/>
      <c r="C1262" s="287"/>
      <c r="D1262" s="288"/>
      <c r="E1262" s="288"/>
      <c r="F1262" s="438"/>
      <c r="G1262" s="438"/>
      <c r="H1262" s="438"/>
      <c r="I1262" s="438"/>
      <c r="J1262" s="438"/>
    </row>
    <row r="1263" spans="1:10" x14ac:dyDescent="0.25">
      <c r="A1263" s="274"/>
      <c r="B1263" s="498"/>
      <c r="C1263" s="287"/>
      <c r="D1263" s="288"/>
      <c r="E1263" s="288"/>
      <c r="F1263" s="438"/>
      <c r="G1263" s="438"/>
      <c r="H1263" s="438"/>
      <c r="I1263" s="438"/>
      <c r="J1263" s="438"/>
    </row>
    <row r="1264" spans="1:10" x14ac:dyDescent="0.25">
      <c r="A1264" s="274"/>
      <c r="B1264" s="498"/>
      <c r="C1264" s="287"/>
      <c r="D1264" s="288"/>
      <c r="E1264" s="288"/>
      <c r="F1264" s="438"/>
      <c r="G1264" s="438"/>
      <c r="H1264" s="438"/>
      <c r="I1264" s="438"/>
      <c r="J1264" s="438"/>
    </row>
    <row r="1265" spans="1:10" x14ac:dyDescent="0.25">
      <c r="A1265" s="274"/>
      <c r="B1265" s="498"/>
      <c r="C1265" s="287"/>
      <c r="D1265" s="288"/>
      <c r="E1265" s="288"/>
      <c r="F1265" s="438"/>
      <c r="G1265" s="438"/>
      <c r="H1265" s="438"/>
      <c r="I1265" s="438"/>
      <c r="J1265" s="438"/>
    </row>
    <row r="1266" spans="1:10" x14ac:dyDescent="0.25">
      <c r="A1266" s="274"/>
      <c r="B1266" s="498"/>
      <c r="C1266" s="287"/>
      <c r="D1266" s="288"/>
      <c r="E1266" s="288"/>
      <c r="F1266" s="438"/>
      <c r="G1266" s="438"/>
      <c r="H1266" s="438"/>
      <c r="I1266" s="438"/>
      <c r="J1266" s="438"/>
    </row>
    <row r="1267" spans="1:10" x14ac:dyDescent="0.25">
      <c r="A1267" s="274"/>
      <c r="B1267" s="498"/>
      <c r="C1267" s="287"/>
      <c r="D1267" s="288"/>
      <c r="E1267" s="288"/>
      <c r="F1267" s="438"/>
      <c r="G1267" s="438"/>
      <c r="H1267" s="438"/>
      <c r="I1267" s="438"/>
      <c r="J1267" s="438"/>
    </row>
    <row r="1268" spans="1:10" x14ac:dyDescent="0.25">
      <c r="A1268" s="274"/>
      <c r="B1268" s="498"/>
      <c r="C1268" s="287"/>
      <c r="D1268" s="288"/>
      <c r="E1268" s="288"/>
      <c r="F1268" s="438"/>
      <c r="G1268" s="438"/>
      <c r="H1268" s="438"/>
      <c r="I1268" s="438"/>
      <c r="J1268" s="438"/>
    </row>
    <row r="1269" spans="1:10" x14ac:dyDescent="0.25">
      <c r="A1269" s="274"/>
      <c r="B1269" s="498"/>
      <c r="C1269" s="287"/>
      <c r="D1269" s="288"/>
      <c r="E1269" s="288"/>
      <c r="F1269" s="438"/>
      <c r="G1269" s="438"/>
      <c r="H1269" s="438"/>
      <c r="I1269" s="438"/>
      <c r="J1269" s="438"/>
    </row>
    <row r="1270" spans="1:10" x14ac:dyDescent="0.25">
      <c r="A1270" s="274"/>
      <c r="B1270" s="498"/>
      <c r="C1270" s="287"/>
      <c r="D1270" s="288"/>
      <c r="E1270" s="288"/>
      <c r="F1270" s="438"/>
      <c r="G1270" s="438"/>
      <c r="H1270" s="438"/>
      <c r="I1270" s="438"/>
      <c r="J1270" s="438"/>
    </row>
    <row r="1271" spans="1:10" x14ac:dyDescent="0.25">
      <c r="A1271" s="274"/>
      <c r="B1271" s="498"/>
      <c r="C1271" s="287"/>
      <c r="D1271" s="288"/>
      <c r="E1271" s="288"/>
      <c r="F1271" s="438"/>
      <c r="G1271" s="438"/>
      <c r="H1271" s="438"/>
      <c r="I1271" s="438"/>
      <c r="J1271" s="438"/>
    </row>
    <row r="1272" spans="1:10" x14ac:dyDescent="0.25">
      <c r="A1272" s="274"/>
      <c r="B1272" s="498"/>
      <c r="C1272" s="287"/>
      <c r="D1272" s="288"/>
      <c r="E1272" s="288"/>
      <c r="F1272" s="438"/>
      <c r="G1272" s="438"/>
      <c r="H1272" s="438"/>
      <c r="I1272" s="438"/>
      <c r="J1272" s="438"/>
    </row>
    <row r="1273" spans="1:10" x14ac:dyDescent="0.25">
      <c r="A1273" s="274"/>
      <c r="B1273" s="498"/>
      <c r="C1273" s="287"/>
      <c r="D1273" s="288"/>
      <c r="E1273" s="288"/>
      <c r="F1273" s="438"/>
      <c r="G1273" s="438"/>
      <c r="H1273" s="438"/>
      <c r="I1273" s="438"/>
      <c r="J1273" s="438"/>
    </row>
    <row r="1274" spans="1:10" x14ac:dyDescent="0.25">
      <c r="A1274" s="274"/>
      <c r="B1274" s="498"/>
      <c r="C1274" s="287"/>
      <c r="D1274" s="288"/>
      <c r="E1274" s="288"/>
      <c r="F1274" s="438"/>
      <c r="G1274" s="438"/>
      <c r="H1274" s="438"/>
      <c r="I1274" s="438"/>
      <c r="J1274" s="438"/>
    </row>
    <row r="1275" spans="1:10" x14ac:dyDescent="0.25">
      <c r="A1275" s="274"/>
      <c r="B1275" s="498"/>
      <c r="C1275" s="287"/>
      <c r="D1275" s="288"/>
      <c r="E1275" s="288"/>
      <c r="F1275" s="438"/>
      <c r="G1275" s="438"/>
      <c r="H1275" s="438"/>
      <c r="I1275" s="438"/>
      <c r="J1275" s="438"/>
    </row>
    <row r="1276" spans="1:10" x14ac:dyDescent="0.25">
      <c r="A1276" s="274"/>
      <c r="B1276" s="498"/>
      <c r="C1276" s="287"/>
      <c r="D1276" s="288"/>
      <c r="E1276" s="288"/>
      <c r="F1276" s="438"/>
      <c r="G1276" s="438"/>
      <c r="H1276" s="438"/>
      <c r="I1276" s="438"/>
      <c r="J1276" s="438"/>
    </row>
    <row r="1277" spans="1:10" x14ac:dyDescent="0.25">
      <c r="A1277" s="274"/>
      <c r="B1277" s="498"/>
      <c r="C1277" s="287"/>
      <c r="D1277" s="288"/>
      <c r="E1277" s="288"/>
      <c r="F1277" s="438"/>
      <c r="G1277" s="438"/>
      <c r="H1277" s="438"/>
      <c r="I1277" s="438"/>
      <c r="J1277" s="438"/>
    </row>
    <row r="1278" spans="1:10" x14ac:dyDescent="0.25">
      <c r="A1278" s="274"/>
      <c r="B1278" s="498"/>
      <c r="C1278" s="287"/>
      <c r="D1278" s="288"/>
      <c r="E1278" s="288"/>
      <c r="F1278" s="438"/>
      <c r="G1278" s="438"/>
      <c r="H1278" s="438"/>
      <c r="I1278" s="438"/>
      <c r="J1278" s="438"/>
    </row>
    <row r="1279" spans="1:10" x14ac:dyDescent="0.25">
      <c r="A1279" s="274"/>
      <c r="B1279" s="498"/>
      <c r="C1279" s="287"/>
      <c r="D1279" s="288"/>
      <c r="E1279" s="288"/>
      <c r="F1279" s="438"/>
      <c r="G1279" s="438"/>
      <c r="H1279" s="438"/>
      <c r="I1279" s="438"/>
      <c r="J1279" s="438"/>
    </row>
    <row r="1280" spans="1:10" x14ac:dyDescent="0.25">
      <c r="A1280" s="274"/>
      <c r="B1280" s="498"/>
      <c r="C1280" s="287"/>
      <c r="D1280" s="288"/>
      <c r="E1280" s="288"/>
      <c r="F1280" s="438"/>
      <c r="G1280" s="438"/>
      <c r="H1280" s="438"/>
      <c r="I1280" s="438"/>
      <c r="J1280" s="438"/>
    </row>
    <row r="1281" spans="1:10" x14ac:dyDescent="0.25">
      <c r="A1281" s="274"/>
      <c r="B1281" s="498"/>
      <c r="C1281" s="287"/>
      <c r="D1281" s="288"/>
      <c r="E1281" s="288"/>
      <c r="F1281" s="438"/>
      <c r="G1281" s="438"/>
      <c r="H1281" s="438"/>
      <c r="I1281" s="438"/>
      <c r="J1281" s="438"/>
    </row>
    <row r="1282" spans="1:10" x14ac:dyDescent="0.25">
      <c r="A1282" s="274"/>
      <c r="B1282" s="498"/>
      <c r="C1282" s="287"/>
      <c r="D1282" s="288"/>
      <c r="E1282" s="288"/>
      <c r="F1282" s="438"/>
      <c r="G1282" s="438"/>
      <c r="H1282" s="438"/>
      <c r="I1282" s="438"/>
      <c r="J1282" s="438"/>
    </row>
    <row r="1283" spans="1:10" x14ac:dyDescent="0.25">
      <c r="A1283" s="274"/>
      <c r="B1283" s="498"/>
      <c r="C1283" s="287"/>
      <c r="D1283" s="288"/>
      <c r="E1283" s="288"/>
      <c r="F1283" s="438"/>
      <c r="G1283" s="438"/>
      <c r="H1283" s="438"/>
      <c r="I1283" s="438"/>
      <c r="J1283" s="438"/>
    </row>
    <row r="1284" spans="1:10" x14ac:dyDescent="0.25">
      <c r="A1284" s="274"/>
      <c r="B1284" s="498"/>
      <c r="C1284" s="287"/>
      <c r="D1284" s="288"/>
      <c r="E1284" s="288"/>
      <c r="F1284" s="438"/>
      <c r="G1284" s="438"/>
      <c r="H1284" s="438"/>
      <c r="I1284" s="438"/>
      <c r="J1284" s="438"/>
    </row>
    <row r="1285" spans="1:10" x14ac:dyDescent="0.25">
      <c r="A1285" s="274"/>
      <c r="B1285" s="498"/>
      <c r="C1285" s="287"/>
      <c r="D1285" s="288"/>
      <c r="E1285" s="288"/>
      <c r="F1285" s="438"/>
      <c r="G1285" s="438"/>
      <c r="H1285" s="438"/>
      <c r="I1285" s="438"/>
      <c r="J1285" s="438"/>
    </row>
    <row r="1286" spans="1:10" x14ac:dyDescent="0.25">
      <c r="A1286" s="274"/>
      <c r="B1286" s="498"/>
      <c r="C1286" s="287"/>
      <c r="D1286" s="288"/>
      <c r="E1286" s="288"/>
      <c r="F1286" s="438"/>
      <c r="G1286" s="438"/>
      <c r="H1286" s="438"/>
      <c r="I1286" s="438"/>
      <c r="J1286" s="438"/>
    </row>
    <row r="1287" spans="1:10" x14ac:dyDescent="0.25">
      <c r="A1287" s="274"/>
      <c r="B1287" s="498"/>
      <c r="C1287" s="287"/>
      <c r="D1287" s="288"/>
      <c r="E1287" s="288"/>
      <c r="F1287" s="438"/>
      <c r="G1287" s="438"/>
      <c r="H1287" s="438"/>
      <c r="I1287" s="438"/>
      <c r="J1287" s="438"/>
    </row>
    <row r="1288" spans="1:10" x14ac:dyDescent="0.25">
      <c r="A1288" s="274"/>
      <c r="B1288" s="498"/>
      <c r="C1288" s="287"/>
      <c r="D1288" s="288"/>
      <c r="E1288" s="288"/>
      <c r="F1288" s="438"/>
      <c r="G1288" s="438"/>
      <c r="H1288" s="438"/>
      <c r="I1288" s="438"/>
      <c r="J1288" s="438"/>
    </row>
    <row r="1289" spans="1:10" x14ac:dyDescent="0.25">
      <c r="A1289" s="274"/>
      <c r="B1289" s="498"/>
      <c r="C1289" s="287"/>
      <c r="D1289" s="288"/>
      <c r="E1289" s="288"/>
      <c r="F1289" s="438"/>
      <c r="G1289" s="438"/>
      <c r="H1289" s="438"/>
      <c r="I1289" s="438"/>
      <c r="J1289" s="438"/>
    </row>
    <row r="1290" spans="1:10" x14ac:dyDescent="0.25">
      <c r="A1290" s="274"/>
      <c r="B1290" s="498"/>
      <c r="C1290" s="287"/>
      <c r="D1290" s="288"/>
      <c r="E1290" s="288"/>
      <c r="F1290" s="438"/>
      <c r="G1290" s="438"/>
      <c r="H1290" s="438"/>
      <c r="I1290" s="438"/>
      <c r="J1290" s="438"/>
    </row>
    <row r="1291" spans="1:10" x14ac:dyDescent="0.25">
      <c r="A1291" s="274"/>
      <c r="B1291" s="498"/>
      <c r="C1291" s="287"/>
      <c r="D1291" s="288"/>
      <c r="E1291" s="288"/>
      <c r="F1291" s="438"/>
      <c r="G1291" s="438"/>
      <c r="H1291" s="438"/>
      <c r="I1291" s="438"/>
      <c r="J1291" s="438"/>
    </row>
    <row r="1292" spans="1:10" x14ac:dyDescent="0.25">
      <c r="A1292" s="274"/>
      <c r="B1292" s="498"/>
      <c r="C1292" s="287"/>
      <c r="D1292" s="288"/>
      <c r="E1292" s="288"/>
      <c r="F1292" s="438"/>
      <c r="G1292" s="438"/>
      <c r="H1292" s="438"/>
      <c r="I1292" s="438"/>
      <c r="J1292" s="438"/>
    </row>
    <row r="1293" spans="1:10" x14ac:dyDescent="0.25">
      <c r="A1293" s="274"/>
      <c r="B1293" s="498"/>
      <c r="C1293" s="287"/>
      <c r="D1293" s="288"/>
      <c r="E1293" s="288"/>
      <c r="F1293" s="438"/>
      <c r="G1293" s="438"/>
      <c r="H1293" s="438"/>
      <c r="I1293" s="438"/>
      <c r="J1293" s="438"/>
    </row>
    <row r="1294" spans="1:10" x14ac:dyDescent="0.25">
      <c r="A1294" s="274"/>
      <c r="B1294" s="498"/>
      <c r="C1294" s="287"/>
      <c r="D1294" s="288"/>
      <c r="E1294" s="288"/>
      <c r="F1294" s="438"/>
      <c r="G1294" s="438"/>
      <c r="H1294" s="438"/>
      <c r="I1294" s="438"/>
      <c r="J1294" s="438"/>
    </row>
    <row r="1295" spans="1:10" x14ac:dyDescent="0.25">
      <c r="A1295" s="274"/>
      <c r="B1295" s="498"/>
      <c r="C1295" s="287"/>
      <c r="D1295" s="288"/>
      <c r="E1295" s="288"/>
      <c r="F1295" s="438"/>
      <c r="G1295" s="438"/>
      <c r="H1295" s="438"/>
      <c r="I1295" s="438"/>
      <c r="J1295" s="438"/>
    </row>
    <row r="1296" spans="1:10" x14ac:dyDescent="0.25">
      <c r="A1296" s="274"/>
      <c r="B1296" s="498"/>
      <c r="C1296" s="287"/>
      <c r="D1296" s="288"/>
      <c r="E1296" s="288"/>
      <c r="F1296" s="438"/>
      <c r="G1296" s="438"/>
      <c r="H1296" s="438"/>
      <c r="I1296" s="438"/>
      <c r="J1296" s="438"/>
    </row>
    <row r="1297" spans="1:10" x14ac:dyDescent="0.25">
      <c r="A1297" s="274"/>
      <c r="B1297" s="498"/>
      <c r="C1297" s="287"/>
      <c r="D1297" s="288"/>
      <c r="E1297" s="288"/>
      <c r="F1297" s="438"/>
      <c r="G1297" s="438"/>
      <c r="H1297" s="438"/>
      <c r="I1297" s="438"/>
      <c r="J1297" s="438"/>
    </row>
    <row r="1298" spans="1:10" x14ac:dyDescent="0.25">
      <c r="A1298" s="274"/>
      <c r="B1298" s="498"/>
      <c r="C1298" s="287"/>
      <c r="D1298" s="288"/>
      <c r="E1298" s="288"/>
      <c r="F1298" s="438"/>
      <c r="G1298" s="438"/>
      <c r="H1298" s="438"/>
      <c r="I1298" s="438"/>
      <c r="J1298" s="438"/>
    </row>
    <row r="1299" spans="1:10" x14ac:dyDescent="0.25">
      <c r="A1299" s="274"/>
      <c r="B1299" s="498"/>
      <c r="C1299" s="287"/>
      <c r="D1299" s="288"/>
      <c r="E1299" s="288"/>
      <c r="F1299" s="438"/>
      <c r="G1299" s="438"/>
      <c r="H1299" s="438"/>
      <c r="I1299" s="438"/>
      <c r="J1299" s="438"/>
    </row>
    <row r="1300" spans="1:10" x14ac:dyDescent="0.25">
      <c r="A1300" s="274"/>
      <c r="B1300" s="498"/>
      <c r="C1300" s="287"/>
      <c r="D1300" s="288"/>
      <c r="E1300" s="288"/>
      <c r="F1300" s="438"/>
      <c r="G1300" s="438"/>
      <c r="H1300" s="438"/>
      <c r="I1300" s="438"/>
      <c r="J1300" s="438"/>
    </row>
    <row r="1301" spans="1:10" x14ac:dyDescent="0.25">
      <c r="A1301" s="274"/>
      <c r="B1301" s="498"/>
      <c r="C1301" s="287"/>
      <c r="D1301" s="288"/>
      <c r="E1301" s="288"/>
      <c r="F1301" s="438"/>
      <c r="G1301" s="438"/>
      <c r="H1301" s="438"/>
      <c r="I1301" s="438"/>
      <c r="J1301" s="438"/>
    </row>
    <row r="1302" spans="1:10" x14ac:dyDescent="0.25">
      <c r="A1302" s="274"/>
      <c r="B1302" s="498"/>
      <c r="C1302" s="287"/>
      <c r="D1302" s="288"/>
      <c r="E1302" s="288"/>
      <c r="F1302" s="438"/>
      <c r="G1302" s="438"/>
      <c r="H1302" s="438"/>
      <c r="I1302" s="438"/>
      <c r="J1302" s="438"/>
    </row>
    <row r="1303" spans="1:10" x14ac:dyDescent="0.25">
      <c r="A1303" s="274"/>
      <c r="B1303" s="498"/>
      <c r="C1303" s="287"/>
      <c r="D1303" s="288"/>
      <c r="E1303" s="288"/>
      <c r="F1303" s="438"/>
      <c r="G1303" s="438"/>
      <c r="H1303" s="438"/>
      <c r="I1303" s="438"/>
      <c r="J1303" s="438"/>
    </row>
    <row r="1304" spans="1:10" x14ac:dyDescent="0.25">
      <c r="A1304" s="274"/>
      <c r="B1304" s="498"/>
      <c r="C1304" s="287"/>
      <c r="D1304" s="288"/>
      <c r="E1304" s="288"/>
      <c r="F1304" s="438"/>
      <c r="G1304" s="438"/>
      <c r="H1304" s="438"/>
      <c r="I1304" s="438"/>
      <c r="J1304" s="438"/>
    </row>
    <row r="1305" spans="1:10" x14ac:dyDescent="0.25">
      <c r="A1305" s="274"/>
      <c r="B1305" s="498"/>
      <c r="C1305" s="287"/>
      <c r="D1305" s="288"/>
      <c r="E1305" s="288"/>
      <c r="F1305" s="438"/>
      <c r="G1305" s="438"/>
      <c r="H1305" s="438"/>
      <c r="I1305" s="438"/>
      <c r="J1305" s="438"/>
    </row>
    <row r="1306" spans="1:10" x14ac:dyDescent="0.25">
      <c r="A1306" s="274"/>
      <c r="B1306" s="498"/>
      <c r="C1306" s="287"/>
      <c r="D1306" s="288"/>
      <c r="E1306" s="288"/>
      <c r="F1306" s="438"/>
      <c r="G1306" s="438"/>
      <c r="H1306" s="438"/>
      <c r="I1306" s="438"/>
      <c r="J1306" s="438"/>
    </row>
    <row r="1307" spans="1:10" x14ac:dyDescent="0.25">
      <c r="A1307" s="274"/>
      <c r="B1307" s="498"/>
      <c r="C1307" s="287"/>
      <c r="D1307" s="288"/>
      <c r="E1307" s="288"/>
      <c r="F1307" s="438"/>
      <c r="G1307" s="438"/>
      <c r="H1307" s="438"/>
      <c r="I1307" s="438"/>
      <c r="J1307" s="438"/>
    </row>
    <row r="1308" spans="1:10" x14ac:dyDescent="0.25">
      <c r="A1308" s="274"/>
      <c r="B1308" s="498"/>
      <c r="C1308" s="287"/>
      <c r="D1308" s="288"/>
      <c r="E1308" s="288"/>
      <c r="F1308" s="438"/>
      <c r="G1308" s="438"/>
      <c r="H1308" s="438"/>
      <c r="I1308" s="438"/>
      <c r="J1308" s="438"/>
    </row>
    <row r="1309" spans="1:10" x14ac:dyDescent="0.25">
      <c r="A1309" s="274"/>
      <c r="B1309" s="498"/>
      <c r="C1309" s="287"/>
      <c r="D1309" s="288"/>
      <c r="E1309" s="288"/>
      <c r="F1309" s="438"/>
      <c r="G1309" s="438"/>
      <c r="H1309" s="438"/>
      <c r="I1309" s="438"/>
      <c r="J1309" s="438"/>
    </row>
    <row r="1310" spans="1:10" x14ac:dyDescent="0.25">
      <c r="A1310" s="274"/>
      <c r="B1310" s="498"/>
      <c r="C1310" s="287"/>
      <c r="D1310" s="288"/>
      <c r="E1310" s="288"/>
      <c r="F1310" s="438"/>
      <c r="G1310" s="438"/>
      <c r="H1310" s="438"/>
      <c r="I1310" s="438"/>
      <c r="J1310" s="438"/>
    </row>
    <row r="1311" spans="1:10" x14ac:dyDescent="0.25">
      <c r="A1311" s="274"/>
      <c r="B1311" s="498"/>
      <c r="C1311" s="287"/>
      <c r="D1311" s="288"/>
      <c r="E1311" s="288"/>
      <c r="F1311" s="438"/>
      <c r="G1311" s="438"/>
      <c r="H1311" s="438"/>
      <c r="I1311" s="438"/>
      <c r="J1311" s="438"/>
    </row>
    <row r="1312" spans="1:10" x14ac:dyDescent="0.25">
      <c r="A1312" s="274"/>
      <c r="B1312" s="498"/>
      <c r="C1312" s="287"/>
      <c r="D1312" s="288"/>
      <c r="E1312" s="288"/>
      <c r="F1312" s="438"/>
      <c r="G1312" s="438"/>
      <c r="H1312" s="438"/>
      <c r="I1312" s="438"/>
      <c r="J1312" s="438"/>
    </row>
    <row r="1313" spans="1:10" x14ac:dyDescent="0.25">
      <c r="A1313" s="274"/>
      <c r="B1313" s="498"/>
      <c r="C1313" s="287"/>
      <c r="D1313" s="288"/>
      <c r="E1313" s="288"/>
      <c r="F1313" s="438"/>
      <c r="G1313" s="438"/>
      <c r="H1313" s="438"/>
      <c r="I1313" s="438"/>
      <c r="J1313" s="438"/>
    </row>
    <row r="1314" spans="1:10" x14ac:dyDescent="0.25">
      <c r="A1314" s="274"/>
      <c r="B1314" s="498"/>
      <c r="C1314" s="287"/>
      <c r="D1314" s="288"/>
      <c r="E1314" s="288"/>
      <c r="F1314" s="438"/>
      <c r="G1314" s="438"/>
      <c r="H1314" s="438"/>
      <c r="I1314" s="438"/>
      <c r="J1314" s="438"/>
    </row>
    <row r="1315" spans="1:10" x14ac:dyDescent="0.25">
      <c r="A1315" s="274"/>
      <c r="B1315" s="498"/>
      <c r="C1315" s="287"/>
      <c r="D1315" s="288"/>
      <c r="E1315" s="288"/>
      <c r="F1315" s="438"/>
      <c r="G1315" s="438"/>
      <c r="H1315" s="438"/>
      <c r="I1315" s="438"/>
      <c r="J1315" s="438"/>
    </row>
    <row r="1316" spans="1:10" x14ac:dyDescent="0.25">
      <c r="A1316" s="274"/>
      <c r="B1316" s="498"/>
      <c r="C1316" s="287"/>
      <c r="D1316" s="288"/>
      <c r="E1316" s="288"/>
      <c r="F1316" s="438"/>
      <c r="G1316" s="438"/>
      <c r="H1316" s="438"/>
      <c r="I1316" s="438"/>
      <c r="J1316" s="438"/>
    </row>
    <row r="1317" spans="1:10" x14ac:dyDescent="0.25">
      <c r="A1317" s="274"/>
      <c r="B1317" s="498"/>
      <c r="C1317" s="287"/>
      <c r="D1317" s="288"/>
      <c r="E1317" s="288"/>
      <c r="F1317" s="438"/>
      <c r="G1317" s="438"/>
      <c r="H1317" s="438"/>
      <c r="I1317" s="438"/>
      <c r="J1317" s="438"/>
    </row>
    <row r="1318" spans="1:10" x14ac:dyDescent="0.25">
      <c r="A1318" s="274"/>
      <c r="B1318" s="498"/>
      <c r="C1318" s="287"/>
      <c r="D1318" s="288"/>
      <c r="E1318" s="288"/>
      <c r="F1318" s="438"/>
      <c r="G1318" s="438"/>
      <c r="H1318" s="438"/>
      <c r="I1318" s="438"/>
      <c r="J1318" s="438"/>
    </row>
    <row r="1319" spans="1:10" x14ac:dyDescent="0.25">
      <c r="A1319" s="274"/>
      <c r="B1319" s="498"/>
      <c r="C1319" s="287"/>
      <c r="D1319" s="288"/>
      <c r="E1319" s="288"/>
      <c r="F1319" s="438"/>
      <c r="G1319" s="438"/>
      <c r="H1319" s="438"/>
      <c r="I1319" s="438"/>
      <c r="J1319" s="438"/>
    </row>
    <row r="1320" spans="1:10" x14ac:dyDescent="0.25">
      <c r="A1320" s="274"/>
      <c r="B1320" s="498"/>
      <c r="C1320" s="287"/>
      <c r="D1320" s="288"/>
      <c r="E1320" s="288"/>
      <c r="F1320" s="438"/>
      <c r="G1320" s="438"/>
      <c r="H1320" s="438"/>
      <c r="I1320" s="438"/>
      <c r="J1320" s="438"/>
    </row>
    <row r="1321" spans="1:10" x14ac:dyDescent="0.25">
      <c r="A1321" s="274"/>
      <c r="B1321" s="498"/>
      <c r="C1321" s="287"/>
      <c r="D1321" s="288"/>
      <c r="E1321" s="288"/>
      <c r="F1321" s="438"/>
      <c r="G1321" s="438"/>
      <c r="H1321" s="438"/>
      <c r="I1321" s="438"/>
      <c r="J1321" s="438"/>
    </row>
    <row r="1322" spans="1:10" x14ac:dyDescent="0.25">
      <c r="A1322" s="274"/>
      <c r="B1322" s="498"/>
      <c r="C1322" s="287"/>
      <c r="D1322" s="288"/>
      <c r="E1322" s="288"/>
      <c r="F1322" s="438"/>
      <c r="G1322" s="438"/>
      <c r="H1322" s="438"/>
      <c r="I1322" s="438"/>
      <c r="J1322" s="438"/>
    </row>
    <row r="1323" spans="1:10" x14ac:dyDescent="0.25">
      <c r="A1323" s="274"/>
      <c r="B1323" s="498"/>
      <c r="C1323" s="287"/>
      <c r="D1323" s="288"/>
      <c r="E1323" s="288"/>
      <c r="F1323" s="438"/>
      <c r="G1323" s="438"/>
      <c r="H1323" s="438"/>
      <c r="I1323" s="438"/>
      <c r="J1323" s="438"/>
    </row>
    <row r="1324" spans="1:10" x14ac:dyDescent="0.25">
      <c r="A1324" s="274"/>
      <c r="B1324" s="498"/>
      <c r="C1324" s="287"/>
      <c r="D1324" s="288"/>
      <c r="E1324" s="288"/>
      <c r="F1324" s="438"/>
      <c r="G1324" s="438"/>
      <c r="H1324" s="438"/>
      <c r="I1324" s="438"/>
      <c r="J1324" s="438"/>
    </row>
    <row r="1325" spans="1:10" x14ac:dyDescent="0.25">
      <c r="A1325" s="274"/>
      <c r="B1325" s="498"/>
      <c r="C1325" s="287"/>
      <c r="D1325" s="288"/>
      <c r="E1325" s="288"/>
      <c r="F1325" s="438"/>
      <c r="G1325" s="438"/>
      <c r="H1325" s="438"/>
      <c r="I1325" s="438"/>
      <c r="J1325" s="438"/>
    </row>
    <row r="1326" spans="1:10" x14ac:dyDescent="0.25">
      <c r="A1326" s="274"/>
      <c r="B1326" s="498"/>
      <c r="C1326" s="287"/>
      <c r="D1326" s="288"/>
      <c r="E1326" s="288"/>
      <c r="F1326" s="438"/>
      <c r="G1326" s="438"/>
      <c r="H1326" s="438"/>
      <c r="I1326" s="438"/>
      <c r="J1326" s="438"/>
    </row>
    <row r="1327" spans="1:10" x14ac:dyDescent="0.25">
      <c r="A1327" s="274"/>
      <c r="B1327" s="498"/>
      <c r="C1327" s="287"/>
      <c r="D1327" s="288"/>
      <c r="E1327" s="288"/>
      <c r="F1327" s="438"/>
      <c r="G1327" s="438"/>
      <c r="H1327" s="438"/>
      <c r="I1327" s="438"/>
      <c r="J1327" s="438"/>
    </row>
    <row r="1328" spans="1:10" x14ac:dyDescent="0.25">
      <c r="A1328" s="274"/>
      <c r="B1328" s="498"/>
      <c r="C1328" s="287"/>
      <c r="D1328" s="288"/>
      <c r="E1328" s="288"/>
      <c r="F1328" s="438"/>
      <c r="G1328" s="438"/>
      <c r="H1328" s="438"/>
      <c r="I1328" s="438"/>
      <c r="J1328" s="438"/>
    </row>
    <row r="1329" spans="1:10" x14ac:dyDescent="0.25">
      <c r="A1329" s="274"/>
      <c r="B1329" s="498"/>
      <c r="C1329" s="287"/>
      <c r="D1329" s="288"/>
      <c r="E1329" s="288"/>
      <c r="F1329" s="438"/>
      <c r="G1329" s="438"/>
      <c r="H1329" s="438"/>
      <c r="I1329" s="438"/>
      <c r="J1329" s="438"/>
    </row>
    <row r="1330" spans="1:10" x14ac:dyDescent="0.25">
      <c r="A1330" s="274"/>
      <c r="B1330" s="498"/>
      <c r="C1330" s="287"/>
      <c r="D1330" s="288"/>
      <c r="E1330" s="288"/>
      <c r="F1330" s="438"/>
      <c r="G1330" s="438"/>
      <c r="H1330" s="438"/>
      <c r="I1330" s="438"/>
      <c r="J1330" s="438"/>
    </row>
    <row r="1331" spans="1:10" x14ac:dyDescent="0.25">
      <c r="A1331" s="274"/>
      <c r="B1331" s="498"/>
      <c r="C1331" s="287"/>
      <c r="D1331" s="288"/>
      <c r="E1331" s="288"/>
      <c r="F1331" s="438"/>
      <c r="G1331" s="438"/>
      <c r="H1331" s="438"/>
      <c r="I1331" s="438"/>
      <c r="J1331" s="438"/>
    </row>
    <row r="1332" spans="1:10" x14ac:dyDescent="0.25">
      <c r="A1332" s="274"/>
      <c r="B1332" s="498"/>
      <c r="C1332" s="287"/>
      <c r="D1332" s="288"/>
      <c r="E1332" s="288"/>
      <c r="F1332" s="438"/>
      <c r="G1332" s="438"/>
      <c r="H1332" s="438"/>
      <c r="I1332" s="438"/>
      <c r="J1332" s="438"/>
    </row>
    <row r="1333" spans="1:10" x14ac:dyDescent="0.25">
      <c r="A1333" s="274"/>
      <c r="B1333" s="498"/>
      <c r="C1333" s="287"/>
      <c r="D1333" s="288"/>
      <c r="E1333" s="288"/>
      <c r="F1333" s="438"/>
      <c r="G1333" s="438"/>
      <c r="H1333" s="438"/>
      <c r="I1333" s="438"/>
      <c r="J1333" s="438"/>
    </row>
    <row r="1334" spans="1:10" x14ac:dyDescent="0.25">
      <c r="A1334" s="274"/>
      <c r="B1334" s="498"/>
      <c r="C1334" s="287"/>
      <c r="D1334" s="288"/>
      <c r="E1334" s="288"/>
      <c r="F1334" s="438"/>
      <c r="G1334" s="438"/>
      <c r="H1334" s="438"/>
      <c r="I1334" s="438"/>
      <c r="J1334" s="438"/>
    </row>
    <row r="1335" spans="1:10" x14ac:dyDescent="0.25">
      <c r="A1335" s="274"/>
      <c r="B1335" s="498"/>
      <c r="C1335" s="287"/>
      <c r="D1335" s="288"/>
      <c r="E1335" s="288"/>
      <c r="F1335" s="438"/>
      <c r="G1335" s="438"/>
      <c r="H1335" s="438"/>
      <c r="I1335" s="438"/>
      <c r="J1335" s="438"/>
    </row>
    <row r="1336" spans="1:10" x14ac:dyDescent="0.25">
      <c r="A1336" s="274"/>
      <c r="B1336" s="498"/>
      <c r="C1336" s="287"/>
      <c r="D1336" s="288"/>
      <c r="E1336" s="288"/>
      <c r="F1336" s="438"/>
      <c r="G1336" s="438"/>
      <c r="H1336" s="438"/>
      <c r="I1336" s="438"/>
      <c r="J1336" s="438"/>
    </row>
    <row r="1337" spans="1:10" x14ac:dyDescent="0.25">
      <c r="A1337" s="274"/>
      <c r="B1337" s="498"/>
      <c r="C1337" s="287"/>
      <c r="D1337" s="288"/>
      <c r="E1337" s="288"/>
      <c r="F1337" s="438"/>
      <c r="G1337" s="438"/>
      <c r="H1337" s="438"/>
      <c r="I1337" s="438"/>
      <c r="J1337" s="438"/>
    </row>
    <row r="1338" spans="1:10" x14ac:dyDescent="0.25">
      <c r="A1338" s="274"/>
      <c r="B1338" s="498"/>
      <c r="C1338" s="287"/>
      <c r="D1338" s="288"/>
      <c r="E1338" s="288"/>
      <c r="F1338" s="438"/>
      <c r="G1338" s="438"/>
      <c r="H1338" s="438"/>
      <c r="I1338" s="438"/>
      <c r="J1338" s="438"/>
    </row>
    <row r="1339" spans="1:10" x14ac:dyDescent="0.25">
      <c r="A1339" s="274"/>
      <c r="B1339" s="498"/>
      <c r="C1339" s="287"/>
      <c r="D1339" s="288"/>
      <c r="E1339" s="288"/>
      <c r="F1339" s="438"/>
      <c r="G1339" s="438"/>
      <c r="H1339" s="438"/>
      <c r="I1339" s="438"/>
      <c r="J1339" s="438"/>
    </row>
    <row r="1340" spans="1:10" x14ac:dyDescent="0.25">
      <c r="A1340" s="274"/>
      <c r="B1340" s="498"/>
      <c r="C1340" s="287"/>
      <c r="D1340" s="288"/>
      <c r="E1340" s="288"/>
      <c r="F1340" s="438"/>
      <c r="G1340" s="438"/>
      <c r="H1340" s="438"/>
      <c r="I1340" s="438"/>
      <c r="J1340" s="438"/>
    </row>
    <row r="1341" spans="1:10" x14ac:dyDescent="0.25">
      <c r="A1341" s="274"/>
      <c r="B1341" s="498"/>
      <c r="C1341" s="287"/>
      <c r="D1341" s="288"/>
      <c r="E1341" s="288"/>
      <c r="F1341" s="438"/>
      <c r="G1341" s="438"/>
      <c r="H1341" s="438"/>
      <c r="I1341" s="438"/>
      <c r="J1341" s="438"/>
    </row>
    <row r="1342" spans="1:10" x14ac:dyDescent="0.25">
      <c r="A1342" s="274"/>
      <c r="B1342" s="498"/>
      <c r="C1342" s="287"/>
      <c r="D1342" s="288"/>
      <c r="E1342" s="288"/>
      <c r="F1342" s="438"/>
      <c r="G1342" s="438"/>
      <c r="H1342" s="438"/>
      <c r="I1342" s="438"/>
      <c r="J1342" s="438"/>
    </row>
    <row r="1343" spans="1:10" x14ac:dyDescent="0.25">
      <c r="A1343" s="274"/>
      <c r="B1343" s="498"/>
      <c r="C1343" s="287"/>
      <c r="D1343" s="288"/>
      <c r="E1343" s="288"/>
      <c r="F1343" s="438"/>
      <c r="G1343" s="438"/>
      <c r="H1343" s="438"/>
      <c r="I1343" s="438"/>
      <c r="J1343" s="438"/>
    </row>
    <row r="1344" spans="1:10" x14ac:dyDescent="0.25">
      <c r="A1344" s="274"/>
      <c r="B1344" s="498"/>
      <c r="C1344" s="287"/>
      <c r="D1344" s="288"/>
      <c r="E1344" s="288"/>
      <c r="F1344" s="438"/>
      <c r="G1344" s="438"/>
      <c r="H1344" s="438"/>
      <c r="I1344" s="438"/>
      <c r="J1344" s="438"/>
    </row>
    <row r="1345" spans="1:10" x14ac:dyDescent="0.25">
      <c r="A1345" s="274"/>
      <c r="B1345" s="498"/>
      <c r="C1345" s="287"/>
      <c r="D1345" s="288"/>
      <c r="E1345" s="288"/>
      <c r="F1345" s="438"/>
      <c r="G1345" s="438"/>
      <c r="H1345" s="438"/>
      <c r="I1345" s="438"/>
      <c r="J1345" s="438"/>
    </row>
    <row r="1346" spans="1:10" x14ac:dyDescent="0.25">
      <c r="A1346" s="274"/>
      <c r="B1346" s="498"/>
      <c r="C1346" s="287"/>
      <c r="D1346" s="288"/>
      <c r="E1346" s="288"/>
      <c r="F1346" s="438"/>
      <c r="G1346" s="438"/>
      <c r="H1346" s="438"/>
      <c r="I1346" s="438"/>
      <c r="J1346" s="438"/>
    </row>
    <row r="1347" spans="1:10" x14ac:dyDescent="0.25">
      <c r="A1347" s="274"/>
      <c r="B1347" s="498"/>
      <c r="C1347" s="287"/>
      <c r="D1347" s="288"/>
      <c r="E1347" s="288"/>
      <c r="F1347" s="438"/>
      <c r="G1347" s="438"/>
      <c r="H1347" s="438"/>
      <c r="I1347" s="438"/>
      <c r="J1347" s="438"/>
    </row>
    <row r="1348" spans="1:10" x14ac:dyDescent="0.25">
      <c r="A1348" s="274"/>
      <c r="B1348" s="498"/>
      <c r="C1348" s="287"/>
      <c r="D1348" s="288"/>
      <c r="E1348" s="288"/>
      <c r="F1348" s="438"/>
      <c r="G1348" s="438"/>
      <c r="H1348" s="438"/>
      <c r="I1348" s="438"/>
      <c r="J1348" s="438"/>
    </row>
    <row r="1349" spans="1:10" x14ac:dyDescent="0.25">
      <c r="A1349" s="274"/>
      <c r="B1349" s="498"/>
      <c r="C1349" s="287"/>
      <c r="D1349" s="288"/>
      <c r="E1349" s="288"/>
      <c r="F1349" s="438"/>
      <c r="G1349" s="438"/>
      <c r="H1349" s="438"/>
      <c r="I1349" s="438"/>
      <c r="J1349" s="438"/>
    </row>
    <row r="1350" spans="1:10" x14ac:dyDescent="0.25">
      <c r="A1350" s="274"/>
      <c r="B1350" s="498"/>
      <c r="C1350" s="287"/>
      <c r="D1350" s="288"/>
      <c r="E1350" s="288"/>
      <c r="F1350" s="438"/>
      <c r="G1350" s="438"/>
      <c r="H1350" s="438"/>
      <c r="I1350" s="438"/>
      <c r="J1350" s="438"/>
    </row>
    <row r="1351" spans="1:10" x14ac:dyDescent="0.25">
      <c r="A1351" s="274"/>
      <c r="B1351" s="498"/>
      <c r="C1351" s="287"/>
      <c r="D1351" s="288"/>
      <c r="E1351" s="288"/>
      <c r="F1351" s="438"/>
      <c r="G1351" s="438"/>
      <c r="H1351" s="438"/>
      <c r="I1351" s="438"/>
      <c r="J1351" s="438"/>
    </row>
    <row r="1352" spans="1:10" x14ac:dyDescent="0.25">
      <c r="A1352" s="274"/>
      <c r="B1352" s="498"/>
      <c r="C1352" s="287"/>
      <c r="D1352" s="288"/>
      <c r="E1352" s="288"/>
      <c r="F1352" s="438"/>
      <c r="G1352" s="438"/>
      <c r="H1352" s="438"/>
      <c r="I1352" s="438"/>
      <c r="J1352" s="438"/>
    </row>
    <row r="1353" spans="1:10" x14ac:dyDescent="0.25">
      <c r="A1353" s="274"/>
      <c r="B1353" s="498"/>
      <c r="C1353" s="287"/>
      <c r="D1353" s="288"/>
      <c r="E1353" s="288"/>
      <c r="F1353" s="438"/>
      <c r="G1353" s="438"/>
      <c r="H1353" s="438"/>
      <c r="I1353" s="438"/>
      <c r="J1353" s="438"/>
    </row>
    <row r="1354" spans="1:10" x14ac:dyDescent="0.25">
      <c r="A1354" s="274"/>
      <c r="B1354" s="498"/>
      <c r="C1354" s="287"/>
      <c r="D1354" s="288"/>
      <c r="E1354" s="288"/>
      <c r="F1354" s="438"/>
      <c r="G1354" s="438"/>
      <c r="H1354" s="438"/>
      <c r="I1354" s="438"/>
      <c r="J1354" s="438"/>
    </row>
    <row r="1355" spans="1:10" x14ac:dyDescent="0.25">
      <c r="A1355" s="274"/>
      <c r="B1355" s="498"/>
      <c r="C1355" s="287"/>
      <c r="D1355" s="288"/>
      <c r="E1355" s="288"/>
      <c r="F1355" s="438"/>
      <c r="G1355" s="438"/>
      <c r="H1355" s="438"/>
      <c r="I1355" s="438"/>
      <c r="J1355" s="438"/>
    </row>
    <row r="1356" spans="1:10" x14ac:dyDescent="0.25">
      <c r="A1356" s="274"/>
      <c r="B1356" s="498"/>
      <c r="C1356" s="287"/>
      <c r="D1356" s="288"/>
      <c r="E1356" s="288"/>
      <c r="F1356" s="438"/>
      <c r="G1356" s="438"/>
      <c r="H1356" s="438"/>
      <c r="I1356" s="438"/>
      <c r="J1356" s="438"/>
    </row>
    <row r="1357" spans="1:10" x14ac:dyDescent="0.25">
      <c r="A1357" s="274"/>
      <c r="B1357" s="498"/>
      <c r="C1357" s="287"/>
      <c r="D1357" s="288"/>
      <c r="E1357" s="288"/>
      <c r="F1357" s="438"/>
      <c r="G1357" s="438"/>
      <c r="H1357" s="438"/>
      <c r="I1357" s="438"/>
      <c r="J1357" s="438"/>
    </row>
    <row r="1358" spans="1:10" x14ac:dyDescent="0.25">
      <c r="A1358" s="274"/>
      <c r="B1358" s="498"/>
      <c r="C1358" s="287"/>
      <c r="D1358" s="288"/>
      <c r="E1358" s="288"/>
      <c r="F1358" s="438"/>
      <c r="G1358" s="438"/>
      <c r="H1358" s="438"/>
      <c r="I1358" s="438"/>
      <c r="J1358" s="438"/>
    </row>
    <row r="1359" spans="1:10" x14ac:dyDescent="0.25">
      <c r="A1359" s="274"/>
      <c r="B1359" s="498"/>
      <c r="C1359" s="287"/>
      <c r="D1359" s="288"/>
      <c r="E1359" s="288"/>
      <c r="F1359" s="438"/>
      <c r="G1359" s="438"/>
      <c r="H1359" s="438"/>
      <c r="I1359" s="438"/>
      <c r="J1359" s="438"/>
    </row>
    <row r="1360" spans="1:10" x14ac:dyDescent="0.25">
      <c r="A1360" s="274"/>
      <c r="B1360" s="498"/>
      <c r="C1360" s="287"/>
      <c r="D1360" s="288"/>
      <c r="E1360" s="288"/>
      <c r="F1360" s="438"/>
      <c r="G1360" s="438"/>
      <c r="H1360" s="438"/>
      <c r="I1360" s="438"/>
      <c r="J1360" s="438"/>
    </row>
    <row r="1361" spans="1:10" x14ac:dyDescent="0.25">
      <c r="A1361" s="274"/>
      <c r="B1361" s="498"/>
      <c r="C1361" s="287"/>
      <c r="D1361" s="288"/>
      <c r="E1361" s="288"/>
      <c r="F1361" s="438"/>
      <c r="G1361" s="438"/>
      <c r="H1361" s="438"/>
      <c r="I1361" s="438"/>
      <c r="J1361" s="438"/>
    </row>
    <row r="1362" spans="1:10" x14ac:dyDescent="0.25">
      <c r="A1362" s="274"/>
      <c r="B1362" s="498"/>
      <c r="C1362" s="287"/>
      <c r="D1362" s="288"/>
      <c r="E1362" s="288"/>
      <c r="F1362" s="438"/>
      <c r="G1362" s="438"/>
      <c r="H1362" s="438"/>
      <c r="I1362" s="438"/>
      <c r="J1362" s="438"/>
    </row>
    <row r="1363" spans="1:10" x14ac:dyDescent="0.25">
      <c r="A1363" s="274"/>
      <c r="B1363" s="498"/>
      <c r="C1363" s="287"/>
      <c r="D1363" s="288"/>
      <c r="E1363" s="288"/>
      <c r="F1363" s="438"/>
      <c r="G1363" s="438"/>
      <c r="H1363" s="438"/>
      <c r="I1363" s="438"/>
      <c r="J1363" s="438"/>
    </row>
    <row r="1364" spans="1:10" x14ac:dyDescent="0.25">
      <c r="A1364" s="274"/>
      <c r="B1364" s="498"/>
      <c r="C1364" s="287"/>
      <c r="D1364" s="288"/>
      <c r="E1364" s="288"/>
      <c r="F1364" s="438"/>
      <c r="G1364" s="438"/>
      <c r="H1364" s="438"/>
      <c r="I1364" s="438"/>
      <c r="J1364" s="438"/>
    </row>
    <row r="1365" spans="1:10" x14ac:dyDescent="0.25">
      <c r="A1365" s="274"/>
      <c r="B1365" s="498"/>
      <c r="C1365" s="287"/>
      <c r="D1365" s="288"/>
      <c r="E1365" s="288"/>
      <c r="F1365" s="438"/>
      <c r="G1365" s="438"/>
      <c r="H1365" s="438"/>
      <c r="I1365" s="438"/>
      <c r="J1365" s="438"/>
    </row>
    <row r="1366" spans="1:10" x14ac:dyDescent="0.25">
      <c r="A1366" s="274"/>
      <c r="B1366" s="498"/>
      <c r="C1366" s="287"/>
      <c r="D1366" s="288"/>
      <c r="E1366" s="288"/>
      <c r="F1366" s="438"/>
      <c r="G1366" s="438"/>
      <c r="H1366" s="438"/>
      <c r="I1366" s="438"/>
      <c r="J1366" s="438"/>
    </row>
    <row r="1367" spans="1:10" x14ac:dyDescent="0.25">
      <c r="A1367" s="274"/>
      <c r="B1367" s="498"/>
      <c r="C1367" s="287"/>
      <c r="D1367" s="288"/>
      <c r="E1367" s="288"/>
      <c r="F1367" s="438"/>
      <c r="G1367" s="438"/>
      <c r="H1367" s="438"/>
      <c r="I1367" s="438"/>
      <c r="J1367" s="438"/>
    </row>
    <row r="1368" spans="1:10" x14ac:dyDescent="0.25">
      <c r="A1368" s="274"/>
      <c r="B1368" s="498"/>
      <c r="C1368" s="287"/>
      <c r="D1368" s="288"/>
      <c r="E1368" s="288"/>
      <c r="F1368" s="438"/>
      <c r="G1368" s="438"/>
      <c r="H1368" s="438"/>
      <c r="I1368" s="438"/>
      <c r="J1368" s="438"/>
    </row>
    <row r="1369" spans="1:10" x14ac:dyDescent="0.25">
      <c r="A1369" s="274"/>
      <c r="B1369" s="498"/>
      <c r="C1369" s="287"/>
      <c r="D1369" s="288"/>
      <c r="E1369" s="288"/>
      <c r="F1369" s="438"/>
      <c r="G1369" s="438"/>
      <c r="H1369" s="438"/>
      <c r="I1369" s="438"/>
      <c r="J1369" s="438"/>
    </row>
    <row r="1370" spans="1:10" x14ac:dyDescent="0.25">
      <c r="A1370" s="274"/>
      <c r="B1370" s="498"/>
      <c r="C1370" s="287"/>
      <c r="D1370" s="288"/>
      <c r="E1370" s="288"/>
      <c r="F1370" s="438"/>
      <c r="G1370" s="438"/>
      <c r="H1370" s="438"/>
      <c r="I1370" s="438"/>
      <c r="J1370" s="438"/>
    </row>
    <row r="1371" spans="1:10" x14ac:dyDescent="0.25">
      <c r="A1371" s="274"/>
      <c r="B1371" s="498"/>
      <c r="C1371" s="287"/>
      <c r="D1371" s="288"/>
      <c r="E1371" s="288"/>
      <c r="F1371" s="438"/>
      <c r="G1371" s="438"/>
      <c r="H1371" s="438"/>
      <c r="I1371" s="438"/>
      <c r="J1371" s="438"/>
    </row>
    <row r="1372" spans="1:10" x14ac:dyDescent="0.25">
      <c r="A1372" s="274"/>
      <c r="B1372" s="498"/>
      <c r="C1372" s="287"/>
      <c r="D1372" s="288"/>
      <c r="E1372" s="288"/>
      <c r="F1372" s="438"/>
      <c r="G1372" s="438"/>
      <c r="H1372" s="438"/>
      <c r="I1372" s="438"/>
      <c r="J1372" s="438"/>
    </row>
    <row r="1373" spans="1:10" x14ac:dyDescent="0.25">
      <c r="A1373" s="274"/>
      <c r="B1373" s="498"/>
      <c r="C1373" s="287"/>
      <c r="D1373" s="288"/>
      <c r="E1373" s="288"/>
      <c r="F1373" s="438"/>
      <c r="G1373" s="438"/>
      <c r="H1373" s="438"/>
      <c r="I1373" s="438"/>
      <c r="J1373" s="438"/>
    </row>
    <row r="1374" spans="1:10" x14ac:dyDescent="0.25">
      <c r="A1374" s="274"/>
      <c r="B1374" s="498"/>
      <c r="C1374" s="287"/>
      <c r="D1374" s="288"/>
      <c r="E1374" s="288"/>
      <c r="F1374" s="438"/>
      <c r="G1374" s="438"/>
      <c r="H1374" s="438"/>
      <c r="I1374" s="438"/>
      <c r="J1374" s="438"/>
    </row>
    <row r="1375" spans="1:10" x14ac:dyDescent="0.25">
      <c r="A1375" s="274"/>
      <c r="B1375" s="498"/>
      <c r="C1375" s="287"/>
      <c r="D1375" s="288"/>
      <c r="E1375" s="288"/>
      <c r="F1375" s="438"/>
      <c r="G1375" s="438"/>
      <c r="H1375" s="438"/>
      <c r="I1375" s="438"/>
      <c r="J1375" s="438"/>
    </row>
    <row r="1376" spans="1:10" x14ac:dyDescent="0.25">
      <c r="A1376" s="274"/>
      <c r="B1376" s="498"/>
      <c r="C1376" s="287"/>
      <c r="D1376" s="288"/>
      <c r="E1376" s="288"/>
      <c r="F1376" s="438"/>
      <c r="G1376" s="438"/>
      <c r="H1376" s="438"/>
      <c r="I1376" s="438"/>
      <c r="J1376" s="438"/>
    </row>
    <row r="1377" spans="1:10" x14ac:dyDescent="0.25">
      <c r="A1377" s="274"/>
      <c r="B1377" s="498"/>
      <c r="C1377" s="287"/>
      <c r="D1377" s="288"/>
      <c r="E1377" s="288"/>
      <c r="F1377" s="438"/>
      <c r="G1377" s="438"/>
      <c r="H1377" s="438"/>
      <c r="I1377" s="438"/>
      <c r="J1377" s="438"/>
    </row>
    <row r="1378" spans="1:10" x14ac:dyDescent="0.25">
      <c r="A1378" s="274"/>
      <c r="B1378" s="498"/>
      <c r="C1378" s="287"/>
      <c r="D1378" s="288"/>
      <c r="E1378" s="288"/>
      <c r="F1378" s="438"/>
      <c r="G1378" s="438"/>
      <c r="H1378" s="438"/>
      <c r="I1378" s="438"/>
      <c r="J1378" s="438"/>
    </row>
    <row r="1379" spans="1:10" x14ac:dyDescent="0.25">
      <c r="A1379" s="274"/>
      <c r="B1379" s="498"/>
      <c r="C1379" s="287"/>
      <c r="D1379" s="288"/>
      <c r="E1379" s="288"/>
      <c r="F1379" s="438"/>
      <c r="G1379" s="438"/>
      <c r="H1379" s="438"/>
      <c r="I1379" s="438"/>
      <c r="J1379" s="438"/>
    </row>
    <row r="1380" spans="1:10" x14ac:dyDescent="0.25">
      <c r="A1380" s="274"/>
      <c r="B1380" s="498"/>
      <c r="C1380" s="287"/>
      <c r="D1380" s="288"/>
      <c r="E1380" s="288"/>
      <c r="F1380" s="438"/>
      <c r="G1380" s="438"/>
      <c r="H1380" s="438"/>
      <c r="I1380" s="438"/>
      <c r="J1380" s="438"/>
    </row>
    <row r="1381" spans="1:10" x14ac:dyDescent="0.25">
      <c r="A1381" s="274"/>
      <c r="B1381" s="498"/>
      <c r="C1381" s="287"/>
      <c r="D1381" s="288"/>
      <c r="E1381" s="288"/>
      <c r="F1381" s="438"/>
      <c r="G1381" s="438"/>
      <c r="H1381" s="438"/>
      <c r="I1381" s="438"/>
      <c r="J1381" s="438"/>
    </row>
    <row r="1382" spans="1:10" x14ac:dyDescent="0.25">
      <c r="A1382" s="274"/>
      <c r="B1382" s="498"/>
      <c r="C1382" s="287"/>
      <c r="D1382" s="288"/>
      <c r="E1382" s="288"/>
      <c r="F1382" s="438"/>
      <c r="G1382" s="438"/>
      <c r="H1382" s="438"/>
      <c r="I1382" s="438"/>
      <c r="J1382" s="438"/>
    </row>
    <row r="1383" spans="1:10" x14ac:dyDescent="0.25">
      <c r="A1383" s="274"/>
      <c r="B1383" s="498"/>
      <c r="C1383" s="287"/>
      <c r="D1383" s="288"/>
      <c r="E1383" s="288"/>
      <c r="F1383" s="438"/>
      <c r="G1383" s="438"/>
      <c r="H1383" s="438"/>
      <c r="I1383" s="438"/>
      <c r="J1383" s="438"/>
    </row>
    <row r="1384" spans="1:10" x14ac:dyDescent="0.25">
      <c r="A1384" s="274"/>
      <c r="B1384" s="498"/>
      <c r="C1384" s="287"/>
      <c r="D1384" s="288"/>
      <c r="E1384" s="288"/>
      <c r="F1384" s="438"/>
      <c r="G1384" s="438"/>
      <c r="H1384" s="438"/>
      <c r="I1384" s="438"/>
      <c r="J1384" s="438"/>
    </row>
    <row r="1385" spans="1:10" x14ac:dyDescent="0.25">
      <c r="A1385" s="274"/>
      <c r="B1385" s="498"/>
      <c r="C1385" s="287"/>
      <c r="D1385" s="288"/>
      <c r="E1385" s="288"/>
      <c r="F1385" s="438"/>
      <c r="G1385" s="438"/>
      <c r="H1385" s="438"/>
      <c r="I1385" s="438"/>
      <c r="J1385" s="438"/>
    </row>
    <row r="1386" spans="1:10" x14ac:dyDescent="0.25">
      <c r="A1386" s="274"/>
      <c r="B1386" s="498"/>
      <c r="C1386" s="287"/>
      <c r="D1386" s="288"/>
      <c r="E1386" s="288"/>
      <c r="F1386" s="438"/>
      <c r="G1386" s="438"/>
      <c r="H1386" s="438"/>
      <c r="I1386" s="438"/>
      <c r="J1386" s="438"/>
    </row>
    <row r="1387" spans="1:10" x14ac:dyDescent="0.25">
      <c r="A1387" s="274"/>
      <c r="B1387" s="498"/>
      <c r="C1387" s="287"/>
      <c r="D1387" s="288"/>
      <c r="E1387" s="288"/>
      <c r="F1387" s="438"/>
      <c r="G1387" s="438"/>
      <c r="H1387" s="438"/>
      <c r="I1387" s="438"/>
      <c r="J1387" s="438"/>
    </row>
    <row r="1388" spans="1:10" x14ac:dyDescent="0.25">
      <c r="A1388" s="274"/>
      <c r="B1388" s="498"/>
      <c r="C1388" s="287"/>
      <c r="D1388" s="288"/>
      <c r="E1388" s="288"/>
      <c r="F1388" s="438"/>
      <c r="G1388" s="438"/>
      <c r="H1388" s="438"/>
      <c r="I1388" s="438"/>
      <c r="J1388" s="438"/>
    </row>
    <row r="1389" spans="1:10" x14ac:dyDescent="0.25">
      <c r="A1389" s="274"/>
      <c r="B1389" s="498"/>
      <c r="C1389" s="287"/>
      <c r="D1389" s="288"/>
      <c r="E1389" s="288"/>
      <c r="F1389" s="438"/>
      <c r="G1389" s="438"/>
      <c r="H1389" s="438"/>
      <c r="I1389" s="438"/>
      <c r="J1389" s="438"/>
    </row>
    <row r="1390" spans="1:10" x14ac:dyDescent="0.25">
      <c r="A1390" s="274"/>
      <c r="B1390" s="498"/>
      <c r="C1390" s="287"/>
      <c r="D1390" s="288"/>
      <c r="E1390" s="288"/>
      <c r="F1390" s="438"/>
      <c r="G1390" s="438"/>
      <c r="H1390" s="438"/>
      <c r="I1390" s="438"/>
      <c r="J1390" s="438"/>
    </row>
    <row r="1391" spans="1:10" x14ac:dyDescent="0.25">
      <c r="A1391" s="274"/>
      <c r="B1391" s="498"/>
      <c r="C1391" s="287"/>
      <c r="D1391" s="288"/>
      <c r="E1391" s="288"/>
      <c r="F1391" s="438"/>
      <c r="G1391" s="438"/>
      <c r="H1391" s="438"/>
      <c r="I1391" s="438"/>
      <c r="J1391" s="438"/>
    </row>
    <row r="1392" spans="1:10" x14ac:dyDescent="0.25">
      <c r="A1392" s="274"/>
      <c r="B1392" s="498"/>
      <c r="C1392" s="287"/>
      <c r="D1392" s="288"/>
      <c r="E1392" s="288"/>
      <c r="F1392" s="438"/>
      <c r="G1392" s="438"/>
      <c r="H1392" s="438"/>
      <c r="I1392" s="438"/>
      <c r="J1392" s="438"/>
    </row>
    <row r="1393" spans="1:10" x14ac:dyDescent="0.25">
      <c r="A1393" s="274"/>
      <c r="B1393" s="498"/>
      <c r="C1393" s="287"/>
      <c r="D1393" s="288"/>
      <c r="E1393" s="288"/>
      <c r="F1393" s="438"/>
      <c r="G1393" s="438"/>
      <c r="H1393" s="438"/>
      <c r="I1393" s="438"/>
      <c r="J1393" s="438"/>
    </row>
    <row r="1394" spans="1:10" x14ac:dyDescent="0.25">
      <c r="A1394" s="274"/>
      <c r="B1394" s="498"/>
      <c r="C1394" s="287"/>
      <c r="D1394" s="288"/>
      <c r="E1394" s="288"/>
      <c r="F1394" s="438"/>
      <c r="G1394" s="438"/>
      <c r="H1394" s="438"/>
      <c r="I1394" s="438"/>
      <c r="J1394" s="438"/>
    </row>
    <row r="1395" spans="1:10" x14ac:dyDescent="0.25">
      <c r="A1395" s="274"/>
      <c r="B1395" s="498"/>
      <c r="C1395" s="287"/>
      <c r="D1395" s="288"/>
      <c r="E1395" s="288"/>
      <c r="F1395" s="438"/>
      <c r="G1395" s="438"/>
      <c r="H1395" s="438"/>
      <c r="I1395" s="438"/>
      <c r="J1395" s="438"/>
    </row>
    <row r="1396" spans="1:10" x14ac:dyDescent="0.25">
      <c r="A1396" s="274"/>
      <c r="B1396" s="498"/>
      <c r="C1396" s="287"/>
      <c r="D1396" s="288"/>
      <c r="E1396" s="288"/>
      <c r="F1396" s="438"/>
      <c r="G1396" s="438"/>
      <c r="H1396" s="438"/>
      <c r="I1396" s="438"/>
      <c r="J1396" s="438"/>
    </row>
    <row r="1397" spans="1:10" x14ac:dyDescent="0.25">
      <c r="A1397" s="274"/>
      <c r="B1397" s="498"/>
      <c r="C1397" s="287"/>
      <c r="D1397" s="288"/>
      <c r="E1397" s="288"/>
      <c r="F1397" s="438"/>
      <c r="G1397" s="438"/>
      <c r="H1397" s="438"/>
      <c r="I1397" s="438"/>
      <c r="J1397" s="438"/>
    </row>
    <row r="1398" spans="1:10" x14ac:dyDescent="0.25">
      <c r="A1398" s="274"/>
      <c r="B1398" s="498"/>
      <c r="C1398" s="287"/>
      <c r="D1398" s="288"/>
      <c r="E1398" s="288"/>
      <c r="F1398" s="438"/>
      <c r="G1398" s="438"/>
      <c r="H1398" s="438"/>
      <c r="I1398" s="438"/>
      <c r="J1398" s="438"/>
    </row>
    <row r="1399" spans="1:10" x14ac:dyDescent="0.25">
      <c r="A1399" s="274"/>
      <c r="B1399" s="498"/>
      <c r="C1399" s="287"/>
      <c r="D1399" s="288"/>
      <c r="E1399" s="288"/>
      <c r="F1399" s="438"/>
      <c r="G1399" s="438"/>
      <c r="H1399" s="438"/>
      <c r="I1399" s="438"/>
      <c r="J1399" s="438"/>
    </row>
    <row r="1400" spans="1:10" x14ac:dyDescent="0.25">
      <c r="A1400" s="274"/>
      <c r="B1400" s="498"/>
      <c r="C1400" s="287"/>
      <c r="D1400" s="288"/>
      <c r="E1400" s="288"/>
      <c r="F1400" s="438"/>
      <c r="G1400" s="438"/>
      <c r="H1400" s="438"/>
      <c r="I1400" s="438"/>
      <c r="J1400" s="438"/>
    </row>
    <row r="1401" spans="1:10" x14ac:dyDescent="0.25">
      <c r="A1401" s="274"/>
      <c r="B1401" s="498"/>
      <c r="C1401" s="287"/>
      <c r="D1401" s="288"/>
      <c r="E1401" s="288"/>
      <c r="F1401" s="438"/>
      <c r="G1401" s="438"/>
      <c r="H1401" s="438"/>
      <c r="I1401" s="438"/>
      <c r="J1401" s="438"/>
    </row>
    <row r="1402" spans="1:10" x14ac:dyDescent="0.25">
      <c r="A1402" s="274"/>
      <c r="B1402" s="498"/>
      <c r="C1402" s="287"/>
      <c r="D1402" s="288"/>
      <c r="E1402" s="288"/>
      <c r="F1402" s="438"/>
      <c r="G1402" s="438"/>
      <c r="H1402" s="438"/>
      <c r="I1402" s="438"/>
      <c r="J1402" s="438"/>
    </row>
    <row r="1403" spans="1:10" x14ac:dyDescent="0.25">
      <c r="A1403" s="274"/>
      <c r="B1403" s="498"/>
      <c r="C1403" s="287"/>
      <c r="D1403" s="288"/>
      <c r="E1403" s="288"/>
      <c r="F1403" s="438"/>
      <c r="G1403" s="438"/>
      <c r="H1403" s="438"/>
      <c r="I1403" s="438"/>
      <c r="J1403" s="438"/>
    </row>
    <row r="1404" spans="1:10" x14ac:dyDescent="0.25">
      <c r="A1404" s="274"/>
      <c r="B1404" s="498"/>
      <c r="C1404" s="287"/>
      <c r="D1404" s="288"/>
      <c r="E1404" s="288"/>
      <c r="F1404" s="438"/>
      <c r="G1404" s="438"/>
      <c r="H1404" s="438"/>
      <c r="I1404" s="438"/>
      <c r="J1404" s="438"/>
    </row>
    <row r="1405" spans="1:10" x14ac:dyDescent="0.25">
      <c r="A1405" s="274"/>
      <c r="B1405" s="498"/>
      <c r="C1405" s="287"/>
      <c r="D1405" s="288"/>
      <c r="E1405" s="288"/>
      <c r="F1405" s="438"/>
      <c r="G1405" s="438"/>
      <c r="H1405" s="438"/>
      <c r="I1405" s="438"/>
      <c r="J1405" s="438"/>
    </row>
    <row r="1406" spans="1:10" x14ac:dyDescent="0.25">
      <c r="A1406" s="274"/>
      <c r="B1406" s="498"/>
      <c r="C1406" s="287"/>
      <c r="D1406" s="288"/>
      <c r="E1406" s="288"/>
      <c r="F1406" s="438"/>
      <c r="G1406" s="438"/>
      <c r="H1406" s="438"/>
      <c r="I1406" s="438"/>
      <c r="J1406" s="438"/>
    </row>
    <row r="1407" spans="1:10" x14ac:dyDescent="0.25">
      <c r="A1407" s="274"/>
      <c r="B1407" s="498"/>
      <c r="C1407" s="287"/>
      <c r="D1407" s="288"/>
      <c r="E1407" s="288"/>
      <c r="F1407" s="438"/>
      <c r="G1407" s="438"/>
      <c r="H1407" s="438"/>
      <c r="I1407" s="438"/>
      <c r="J1407" s="438"/>
    </row>
    <row r="1408" spans="1:10" x14ac:dyDescent="0.25">
      <c r="A1408" s="274"/>
      <c r="B1408" s="498"/>
      <c r="C1408" s="287"/>
      <c r="D1408" s="288"/>
      <c r="E1408" s="288"/>
      <c r="F1408" s="438"/>
      <c r="G1408" s="438"/>
      <c r="H1408" s="438"/>
      <c r="I1408" s="438"/>
      <c r="J1408" s="438"/>
    </row>
    <row r="1409" spans="1:10" x14ac:dyDescent="0.25">
      <c r="A1409" s="274"/>
      <c r="B1409" s="498"/>
      <c r="C1409" s="287"/>
      <c r="D1409" s="288"/>
      <c r="E1409" s="288"/>
      <c r="F1409" s="438"/>
      <c r="G1409" s="438"/>
      <c r="H1409" s="438"/>
      <c r="I1409" s="438"/>
      <c r="J1409" s="438"/>
    </row>
    <row r="1410" spans="1:10" x14ac:dyDescent="0.25">
      <c r="A1410" s="274"/>
      <c r="B1410" s="498"/>
      <c r="C1410" s="287"/>
      <c r="D1410" s="288"/>
      <c r="E1410" s="288"/>
      <c r="F1410" s="438"/>
      <c r="G1410" s="438"/>
      <c r="H1410" s="438"/>
      <c r="I1410" s="438"/>
      <c r="J1410" s="438"/>
    </row>
    <row r="1411" spans="1:10" x14ac:dyDescent="0.25">
      <c r="A1411" s="274"/>
      <c r="B1411" s="498"/>
      <c r="C1411" s="287"/>
      <c r="D1411" s="288"/>
      <c r="E1411" s="288"/>
      <c r="F1411" s="438"/>
      <c r="G1411" s="438"/>
      <c r="H1411" s="438"/>
      <c r="I1411" s="438"/>
      <c r="J1411" s="438"/>
    </row>
    <row r="1412" spans="1:10" x14ac:dyDescent="0.25">
      <c r="A1412" s="274"/>
      <c r="B1412" s="498"/>
      <c r="C1412" s="287"/>
      <c r="D1412" s="288"/>
      <c r="E1412" s="288"/>
      <c r="F1412" s="438"/>
      <c r="G1412" s="438"/>
      <c r="H1412" s="438"/>
      <c r="I1412" s="438"/>
      <c r="J1412" s="438"/>
    </row>
    <row r="1413" spans="1:10" x14ac:dyDescent="0.25">
      <c r="A1413" s="274"/>
      <c r="B1413" s="498"/>
      <c r="C1413" s="287"/>
      <c r="D1413" s="288"/>
      <c r="E1413" s="288"/>
      <c r="F1413" s="438"/>
      <c r="G1413" s="438"/>
      <c r="H1413" s="438"/>
      <c r="I1413" s="438"/>
      <c r="J1413" s="438"/>
    </row>
    <row r="1414" spans="1:10" x14ac:dyDescent="0.25">
      <c r="A1414" s="274"/>
      <c r="B1414" s="498"/>
      <c r="C1414" s="287"/>
      <c r="D1414" s="288"/>
      <c r="E1414" s="288"/>
      <c r="F1414" s="438"/>
      <c r="G1414" s="438"/>
      <c r="H1414" s="438"/>
      <c r="I1414" s="438"/>
      <c r="J1414" s="438"/>
    </row>
    <row r="1415" spans="1:10" x14ac:dyDescent="0.25">
      <c r="A1415" s="274"/>
      <c r="B1415" s="498"/>
      <c r="C1415" s="287"/>
      <c r="D1415" s="288"/>
      <c r="E1415" s="288"/>
      <c r="F1415" s="438"/>
      <c r="G1415" s="438"/>
      <c r="H1415" s="438"/>
      <c r="I1415" s="438"/>
      <c r="J1415" s="438"/>
    </row>
    <row r="1416" spans="1:10" x14ac:dyDescent="0.25">
      <c r="A1416" s="274"/>
      <c r="B1416" s="498"/>
      <c r="C1416" s="287"/>
      <c r="D1416" s="288"/>
      <c r="E1416" s="288"/>
      <c r="F1416" s="438"/>
      <c r="G1416" s="438"/>
      <c r="H1416" s="438"/>
      <c r="I1416" s="438"/>
      <c r="J1416" s="438"/>
    </row>
    <row r="1417" spans="1:10" x14ac:dyDescent="0.25">
      <c r="A1417" s="274"/>
      <c r="B1417" s="498"/>
      <c r="C1417" s="287"/>
      <c r="D1417" s="288"/>
      <c r="E1417" s="288"/>
      <c r="F1417" s="438"/>
      <c r="G1417" s="438"/>
      <c r="H1417" s="438"/>
      <c r="I1417" s="438"/>
      <c r="J1417" s="438"/>
    </row>
    <row r="1418" spans="1:10" x14ac:dyDescent="0.25">
      <c r="A1418" s="274"/>
      <c r="B1418" s="498"/>
      <c r="C1418" s="287"/>
      <c r="D1418" s="288"/>
      <c r="E1418" s="288"/>
      <c r="F1418" s="438"/>
      <c r="G1418" s="438"/>
      <c r="H1418" s="438"/>
      <c r="I1418" s="438"/>
      <c r="J1418" s="438"/>
    </row>
    <row r="1419" spans="1:10" x14ac:dyDescent="0.25">
      <c r="A1419" s="274"/>
      <c r="B1419" s="498"/>
      <c r="C1419" s="287"/>
      <c r="D1419" s="288"/>
      <c r="E1419" s="288"/>
      <c r="F1419" s="438"/>
      <c r="G1419" s="438"/>
      <c r="H1419" s="438"/>
      <c r="I1419" s="438"/>
      <c r="J1419" s="438"/>
    </row>
    <row r="1420" spans="1:10" x14ac:dyDescent="0.25">
      <c r="A1420" s="274"/>
      <c r="B1420" s="498"/>
      <c r="C1420" s="287"/>
      <c r="D1420" s="288"/>
      <c r="E1420" s="288"/>
      <c r="F1420" s="438"/>
      <c r="G1420" s="438"/>
      <c r="H1420" s="438"/>
      <c r="I1420" s="438"/>
      <c r="J1420" s="438"/>
    </row>
    <row r="1421" spans="1:10" x14ac:dyDescent="0.25">
      <c r="A1421" s="274"/>
      <c r="B1421" s="498"/>
      <c r="C1421" s="287"/>
      <c r="D1421" s="288"/>
      <c r="E1421" s="288"/>
      <c r="F1421" s="438"/>
      <c r="G1421" s="438"/>
      <c r="H1421" s="438"/>
      <c r="I1421" s="438"/>
      <c r="J1421" s="438"/>
    </row>
    <row r="1422" spans="1:10" x14ac:dyDescent="0.25">
      <c r="A1422" s="274"/>
      <c r="B1422" s="498"/>
      <c r="C1422" s="287"/>
      <c r="D1422" s="288"/>
      <c r="E1422" s="288"/>
      <c r="F1422" s="438"/>
      <c r="G1422" s="438"/>
      <c r="H1422" s="438"/>
      <c r="I1422" s="438"/>
      <c r="J1422" s="438"/>
    </row>
    <row r="1423" spans="1:10" x14ac:dyDescent="0.25">
      <c r="A1423" s="274"/>
      <c r="B1423" s="498"/>
      <c r="C1423" s="287"/>
      <c r="D1423" s="288"/>
      <c r="E1423" s="288"/>
      <c r="F1423" s="438"/>
      <c r="G1423" s="438"/>
      <c r="H1423" s="438"/>
      <c r="I1423" s="438"/>
      <c r="J1423" s="438"/>
    </row>
    <row r="1424" spans="1:10" x14ac:dyDescent="0.25">
      <c r="A1424" s="274"/>
      <c r="B1424" s="498"/>
      <c r="C1424" s="287"/>
      <c r="D1424" s="288"/>
      <c r="E1424" s="288"/>
      <c r="F1424" s="438"/>
      <c r="G1424" s="438"/>
      <c r="H1424" s="438"/>
      <c r="I1424" s="438"/>
      <c r="J1424" s="438"/>
    </row>
    <row r="1425" spans="1:10" x14ac:dyDescent="0.25">
      <c r="A1425" s="274"/>
      <c r="B1425" s="498"/>
      <c r="C1425" s="287"/>
      <c r="D1425" s="288"/>
      <c r="E1425" s="288"/>
      <c r="F1425" s="438"/>
      <c r="G1425" s="438"/>
      <c r="H1425" s="438"/>
      <c r="I1425" s="438"/>
      <c r="J1425" s="438"/>
    </row>
    <row r="1426" spans="1:10" x14ac:dyDescent="0.25">
      <c r="A1426" s="274"/>
      <c r="B1426" s="498"/>
      <c r="C1426" s="287"/>
      <c r="D1426" s="288"/>
      <c r="E1426" s="288"/>
      <c r="F1426" s="438"/>
      <c r="G1426" s="438"/>
      <c r="H1426" s="438"/>
      <c r="I1426" s="438"/>
      <c r="J1426" s="438"/>
    </row>
    <row r="1427" spans="1:10" x14ac:dyDescent="0.25">
      <c r="A1427" s="274"/>
      <c r="B1427" s="498"/>
      <c r="C1427" s="287"/>
      <c r="D1427" s="288"/>
      <c r="E1427" s="288"/>
      <c r="F1427" s="438"/>
      <c r="G1427" s="438"/>
      <c r="H1427" s="438"/>
      <c r="I1427" s="438"/>
      <c r="J1427" s="438"/>
    </row>
    <row r="1428" spans="1:10" x14ac:dyDescent="0.25">
      <c r="A1428" s="274"/>
      <c r="B1428" s="498"/>
      <c r="C1428" s="287"/>
      <c r="D1428" s="288"/>
      <c r="E1428" s="288"/>
      <c r="F1428" s="438"/>
      <c r="G1428" s="438"/>
      <c r="H1428" s="438"/>
      <c r="I1428" s="438"/>
      <c r="J1428" s="438"/>
    </row>
    <row r="1429" spans="1:10" x14ac:dyDescent="0.25">
      <c r="A1429" s="274"/>
      <c r="B1429" s="498"/>
      <c r="C1429" s="287"/>
      <c r="D1429" s="288"/>
      <c r="E1429" s="288"/>
      <c r="F1429" s="438"/>
      <c r="G1429" s="438"/>
      <c r="H1429" s="438"/>
      <c r="I1429" s="438"/>
      <c r="J1429" s="438"/>
    </row>
    <row r="1430" spans="1:10" x14ac:dyDescent="0.25">
      <c r="A1430" s="274"/>
      <c r="B1430" s="498"/>
      <c r="C1430" s="287"/>
      <c r="D1430" s="288"/>
      <c r="E1430" s="288"/>
      <c r="F1430" s="438"/>
      <c r="G1430" s="438"/>
      <c r="H1430" s="438"/>
      <c r="I1430" s="438"/>
      <c r="J1430" s="438"/>
    </row>
    <row r="1431" spans="1:10" x14ac:dyDescent="0.25">
      <c r="A1431" s="274"/>
      <c r="B1431" s="498"/>
      <c r="C1431" s="287"/>
      <c r="D1431" s="288"/>
      <c r="E1431" s="288"/>
      <c r="F1431" s="438"/>
      <c r="G1431" s="438"/>
      <c r="H1431" s="438"/>
      <c r="I1431" s="438"/>
      <c r="J1431" s="438"/>
    </row>
    <row r="1432" spans="1:10" x14ac:dyDescent="0.25">
      <c r="A1432" s="274"/>
      <c r="B1432" s="498"/>
      <c r="C1432" s="287"/>
      <c r="D1432" s="288"/>
      <c r="E1432" s="288"/>
      <c r="F1432" s="438"/>
      <c r="G1432" s="438"/>
      <c r="H1432" s="438"/>
      <c r="I1432" s="438"/>
      <c r="J1432" s="438"/>
    </row>
    <row r="1433" spans="1:10" x14ac:dyDescent="0.25">
      <c r="A1433" s="274"/>
      <c r="B1433" s="498"/>
      <c r="C1433" s="287"/>
      <c r="D1433" s="288"/>
      <c r="E1433" s="288"/>
      <c r="F1433" s="438"/>
      <c r="G1433" s="438"/>
      <c r="H1433" s="438"/>
      <c r="I1433" s="438"/>
      <c r="J1433" s="438"/>
    </row>
    <row r="1434" spans="1:10" x14ac:dyDescent="0.25">
      <c r="A1434" s="274"/>
      <c r="B1434" s="498"/>
      <c r="C1434" s="287"/>
      <c r="D1434" s="288"/>
      <c r="E1434" s="288"/>
      <c r="F1434" s="438"/>
      <c r="G1434" s="438"/>
      <c r="H1434" s="438"/>
      <c r="I1434" s="438"/>
      <c r="J1434" s="438"/>
    </row>
    <row r="1435" spans="1:10" x14ac:dyDescent="0.25">
      <c r="A1435" s="274"/>
      <c r="B1435" s="498"/>
      <c r="C1435" s="287"/>
      <c r="D1435" s="288"/>
      <c r="E1435" s="288"/>
      <c r="F1435" s="438"/>
      <c r="G1435" s="438"/>
      <c r="H1435" s="438"/>
      <c r="I1435" s="438"/>
      <c r="J1435" s="438"/>
    </row>
    <row r="1436" spans="1:10" x14ac:dyDescent="0.25">
      <c r="A1436" s="274"/>
      <c r="B1436" s="498"/>
      <c r="C1436" s="287"/>
      <c r="D1436" s="288"/>
      <c r="E1436" s="288"/>
      <c r="F1436" s="438"/>
      <c r="G1436" s="438"/>
      <c r="H1436" s="438"/>
      <c r="I1436" s="438"/>
      <c r="J1436" s="438"/>
    </row>
    <row r="1437" spans="1:10" x14ac:dyDescent="0.25">
      <c r="A1437" s="274"/>
      <c r="B1437" s="498"/>
      <c r="C1437" s="287"/>
      <c r="D1437" s="288"/>
      <c r="E1437" s="288"/>
      <c r="F1437" s="438"/>
      <c r="G1437" s="438"/>
      <c r="H1437" s="438"/>
      <c r="I1437" s="438"/>
      <c r="J1437" s="438"/>
    </row>
    <row r="1438" spans="1:10" x14ac:dyDescent="0.25">
      <c r="A1438" s="274"/>
      <c r="B1438" s="498"/>
      <c r="C1438" s="287"/>
      <c r="D1438" s="288"/>
      <c r="E1438" s="288"/>
      <c r="F1438" s="438"/>
      <c r="G1438" s="438"/>
      <c r="H1438" s="438"/>
      <c r="I1438" s="438"/>
      <c r="J1438" s="438"/>
    </row>
    <row r="1439" spans="1:10" x14ac:dyDescent="0.25">
      <c r="A1439" s="274"/>
      <c r="B1439" s="498"/>
      <c r="C1439" s="287"/>
      <c r="D1439" s="288"/>
      <c r="E1439" s="288"/>
      <c r="F1439" s="438"/>
      <c r="G1439" s="438"/>
      <c r="H1439" s="438"/>
      <c r="I1439" s="438"/>
      <c r="J1439" s="438"/>
    </row>
    <row r="1440" spans="1:10" x14ac:dyDescent="0.25">
      <c r="A1440" s="274"/>
      <c r="B1440" s="498"/>
      <c r="C1440" s="287"/>
      <c r="D1440" s="288"/>
      <c r="E1440" s="288"/>
      <c r="F1440" s="438"/>
      <c r="G1440" s="438"/>
      <c r="H1440" s="438"/>
      <c r="I1440" s="438"/>
      <c r="J1440" s="438"/>
    </row>
    <row r="1441" spans="1:10" x14ac:dyDescent="0.25">
      <c r="A1441" s="274"/>
      <c r="B1441" s="498"/>
      <c r="C1441" s="287"/>
      <c r="D1441" s="288"/>
      <c r="E1441" s="288"/>
      <c r="F1441" s="438"/>
      <c r="G1441" s="438"/>
      <c r="H1441" s="438"/>
      <c r="I1441" s="438"/>
      <c r="J1441" s="438"/>
    </row>
    <row r="1442" spans="1:10" x14ac:dyDescent="0.25">
      <c r="A1442" s="274"/>
      <c r="B1442" s="498"/>
      <c r="C1442" s="287"/>
      <c r="D1442" s="288"/>
      <c r="E1442" s="288"/>
      <c r="F1442" s="438"/>
      <c r="G1442" s="438"/>
      <c r="H1442" s="438"/>
      <c r="I1442" s="438"/>
      <c r="J1442" s="438"/>
    </row>
    <row r="1443" spans="1:10" x14ac:dyDescent="0.25">
      <c r="A1443" s="274"/>
      <c r="B1443" s="498"/>
      <c r="C1443" s="287"/>
      <c r="D1443" s="288"/>
      <c r="E1443" s="288"/>
      <c r="F1443" s="438"/>
      <c r="G1443" s="438"/>
      <c r="H1443" s="438"/>
      <c r="I1443" s="438"/>
      <c r="J1443" s="438"/>
    </row>
    <row r="1444" spans="1:10" x14ac:dyDescent="0.25">
      <c r="A1444" s="274"/>
      <c r="B1444" s="498"/>
      <c r="C1444" s="287"/>
      <c r="D1444" s="288"/>
      <c r="E1444" s="288"/>
      <c r="F1444" s="438"/>
      <c r="G1444" s="438"/>
      <c r="H1444" s="438"/>
      <c r="I1444" s="438"/>
      <c r="J1444" s="438"/>
    </row>
    <row r="1445" spans="1:10" x14ac:dyDescent="0.25">
      <c r="A1445" s="274"/>
      <c r="B1445" s="498"/>
      <c r="C1445" s="287"/>
      <c r="D1445" s="288"/>
      <c r="E1445" s="288"/>
      <c r="F1445" s="438"/>
      <c r="G1445" s="438"/>
      <c r="H1445" s="438"/>
      <c r="I1445" s="438"/>
      <c r="J1445" s="438"/>
    </row>
    <row r="1446" spans="1:10" x14ac:dyDescent="0.25">
      <c r="A1446" s="274"/>
      <c r="B1446" s="498"/>
      <c r="C1446" s="287"/>
      <c r="D1446" s="288"/>
      <c r="E1446" s="288"/>
      <c r="F1446" s="438"/>
      <c r="G1446" s="438"/>
      <c r="H1446" s="438"/>
      <c r="I1446" s="438"/>
      <c r="J1446" s="438"/>
    </row>
    <row r="1447" spans="1:10" x14ac:dyDescent="0.25">
      <c r="A1447" s="274"/>
      <c r="B1447" s="498"/>
      <c r="C1447" s="287"/>
      <c r="D1447" s="288"/>
      <c r="E1447" s="288"/>
      <c r="F1447" s="438"/>
      <c r="G1447" s="438"/>
      <c r="H1447" s="438"/>
      <c r="I1447" s="438"/>
      <c r="J1447" s="438"/>
    </row>
    <row r="1448" spans="1:10" x14ac:dyDescent="0.25">
      <c r="A1448" s="274"/>
      <c r="B1448" s="498"/>
      <c r="C1448" s="287"/>
      <c r="D1448" s="288"/>
      <c r="E1448" s="288"/>
      <c r="F1448" s="438"/>
      <c r="G1448" s="438"/>
      <c r="H1448" s="438"/>
      <c r="I1448" s="438"/>
      <c r="J1448" s="438"/>
    </row>
    <row r="1449" spans="1:10" x14ac:dyDescent="0.25">
      <c r="A1449" s="274"/>
      <c r="B1449" s="498"/>
      <c r="C1449" s="287"/>
      <c r="D1449" s="288"/>
      <c r="E1449" s="288"/>
      <c r="F1449" s="438"/>
      <c r="G1449" s="438"/>
      <c r="H1449" s="438"/>
      <c r="I1449" s="438"/>
      <c r="J1449" s="438"/>
    </row>
    <row r="1450" spans="1:10" x14ac:dyDescent="0.25">
      <c r="A1450" s="274"/>
      <c r="B1450" s="498"/>
      <c r="C1450" s="287"/>
      <c r="D1450" s="288"/>
      <c r="E1450" s="288"/>
      <c r="F1450" s="438"/>
      <c r="G1450" s="438"/>
      <c r="H1450" s="438"/>
      <c r="I1450" s="438"/>
      <c r="J1450" s="438"/>
    </row>
    <row r="1451" spans="1:10" x14ac:dyDescent="0.25">
      <c r="A1451" s="274"/>
      <c r="B1451" s="498"/>
      <c r="C1451" s="287"/>
      <c r="D1451" s="288"/>
      <c r="E1451" s="288"/>
      <c r="F1451" s="438"/>
      <c r="G1451" s="438"/>
      <c r="H1451" s="438"/>
      <c r="I1451" s="438"/>
      <c r="J1451" s="438"/>
    </row>
    <row r="1452" spans="1:10" x14ac:dyDescent="0.25">
      <c r="A1452" s="274"/>
      <c r="B1452" s="498"/>
      <c r="C1452" s="287"/>
      <c r="D1452" s="288"/>
      <c r="E1452" s="288"/>
      <c r="F1452" s="438"/>
      <c r="G1452" s="438"/>
      <c r="H1452" s="438"/>
      <c r="I1452" s="438"/>
      <c r="J1452" s="438"/>
    </row>
    <row r="1453" spans="1:10" x14ac:dyDescent="0.25">
      <c r="A1453" s="274"/>
      <c r="B1453" s="498"/>
      <c r="C1453" s="287"/>
      <c r="D1453" s="288"/>
      <c r="E1453" s="288"/>
      <c r="F1453" s="438"/>
      <c r="G1453" s="438"/>
      <c r="H1453" s="438"/>
      <c r="I1453" s="438"/>
      <c r="J1453" s="438"/>
    </row>
    <row r="1454" spans="1:10" x14ac:dyDescent="0.25">
      <c r="A1454" s="274"/>
      <c r="B1454" s="498"/>
      <c r="C1454" s="287"/>
      <c r="D1454" s="288"/>
      <c r="E1454" s="288"/>
      <c r="F1454" s="438"/>
      <c r="G1454" s="438"/>
      <c r="H1454" s="438"/>
      <c r="I1454" s="438"/>
      <c r="J1454" s="438"/>
    </row>
    <row r="1455" spans="1:10" x14ac:dyDescent="0.25">
      <c r="A1455" s="274"/>
      <c r="B1455" s="498"/>
      <c r="C1455" s="287"/>
      <c r="D1455" s="288"/>
      <c r="E1455" s="288"/>
      <c r="F1455" s="438"/>
      <c r="G1455" s="438"/>
      <c r="H1455" s="438"/>
      <c r="I1455" s="438"/>
      <c r="J1455" s="438"/>
    </row>
    <row r="1456" spans="1:10" x14ac:dyDescent="0.25">
      <c r="A1456" s="274"/>
      <c r="B1456" s="498"/>
      <c r="C1456" s="287"/>
      <c r="D1456" s="288"/>
      <c r="E1456" s="288"/>
      <c r="F1456" s="438"/>
      <c r="G1456" s="438"/>
      <c r="H1456" s="438"/>
      <c r="I1456" s="438"/>
      <c r="J1456" s="438"/>
    </row>
    <row r="1457" spans="1:10" x14ac:dyDescent="0.25">
      <c r="A1457" s="274"/>
      <c r="B1457" s="498"/>
      <c r="C1457" s="287"/>
      <c r="D1457" s="288"/>
      <c r="E1457" s="288"/>
      <c r="F1457" s="438"/>
      <c r="G1457" s="438"/>
      <c r="H1457" s="438"/>
      <c r="I1457" s="438"/>
      <c r="J1457" s="438"/>
    </row>
    <row r="1458" spans="1:10" x14ac:dyDescent="0.25">
      <c r="A1458" s="274"/>
      <c r="B1458" s="498"/>
      <c r="C1458" s="287"/>
      <c r="D1458" s="288"/>
      <c r="E1458" s="288"/>
      <c r="F1458" s="438"/>
      <c r="G1458" s="438"/>
      <c r="H1458" s="438"/>
      <c r="I1458" s="438"/>
      <c r="J1458" s="438"/>
    </row>
    <row r="1459" spans="1:10" x14ac:dyDescent="0.25">
      <c r="A1459" s="274"/>
      <c r="B1459" s="498"/>
      <c r="C1459" s="287"/>
      <c r="D1459" s="288"/>
      <c r="E1459" s="288"/>
      <c r="F1459" s="438"/>
      <c r="G1459" s="438"/>
      <c r="H1459" s="438"/>
      <c r="I1459" s="438"/>
      <c r="J1459" s="438"/>
    </row>
    <row r="1460" spans="1:10" x14ac:dyDescent="0.25">
      <c r="A1460" s="274"/>
      <c r="B1460" s="498"/>
      <c r="C1460" s="287"/>
      <c r="D1460" s="288"/>
      <c r="E1460" s="288"/>
      <c r="F1460" s="438"/>
      <c r="G1460" s="438"/>
      <c r="H1460" s="438"/>
      <c r="I1460" s="438"/>
      <c r="J1460" s="438"/>
    </row>
    <row r="1461" spans="1:10" x14ac:dyDescent="0.25">
      <c r="A1461" s="274"/>
      <c r="B1461" s="498"/>
      <c r="C1461" s="287"/>
      <c r="D1461" s="288"/>
      <c r="E1461" s="288"/>
      <c r="F1461" s="438"/>
      <c r="G1461" s="438"/>
      <c r="H1461" s="438"/>
      <c r="I1461" s="438"/>
      <c r="J1461" s="438"/>
    </row>
    <row r="1462" spans="1:10" x14ac:dyDescent="0.25">
      <c r="A1462" s="274"/>
      <c r="B1462" s="498"/>
      <c r="C1462" s="287"/>
      <c r="D1462" s="288"/>
      <c r="E1462" s="288"/>
      <c r="F1462" s="438"/>
      <c r="G1462" s="438"/>
      <c r="H1462" s="438"/>
      <c r="I1462" s="438"/>
      <c r="J1462" s="438"/>
    </row>
    <row r="1463" spans="1:10" x14ac:dyDescent="0.25">
      <c r="A1463" s="274"/>
      <c r="B1463" s="498"/>
      <c r="C1463" s="287"/>
      <c r="D1463" s="288"/>
      <c r="E1463" s="288"/>
      <c r="F1463" s="438"/>
      <c r="G1463" s="438"/>
      <c r="H1463" s="438"/>
      <c r="I1463" s="438"/>
      <c r="J1463" s="438"/>
    </row>
    <row r="1464" spans="1:10" x14ac:dyDescent="0.25">
      <c r="A1464" s="274"/>
      <c r="B1464" s="498"/>
      <c r="C1464" s="287"/>
      <c r="D1464" s="288"/>
      <c r="E1464" s="288"/>
      <c r="F1464" s="438"/>
      <c r="G1464" s="438"/>
      <c r="H1464" s="438"/>
      <c r="I1464" s="438"/>
      <c r="J1464" s="438"/>
    </row>
    <row r="1465" spans="1:10" x14ac:dyDescent="0.25">
      <c r="A1465" s="274"/>
      <c r="B1465" s="498"/>
      <c r="C1465" s="287"/>
      <c r="D1465" s="288"/>
      <c r="E1465" s="288"/>
      <c r="F1465" s="438"/>
      <c r="G1465" s="438"/>
      <c r="H1465" s="438"/>
      <c r="I1465" s="438"/>
      <c r="J1465" s="438"/>
    </row>
    <row r="1466" spans="1:10" x14ac:dyDescent="0.25">
      <c r="A1466" s="274"/>
      <c r="B1466" s="498"/>
      <c r="C1466" s="287"/>
      <c r="D1466" s="288"/>
      <c r="E1466" s="288"/>
      <c r="F1466" s="438"/>
      <c r="G1466" s="438"/>
      <c r="H1466" s="438"/>
      <c r="I1466" s="438"/>
      <c r="J1466" s="438"/>
    </row>
    <row r="1467" spans="1:10" x14ac:dyDescent="0.25">
      <c r="A1467" s="274"/>
      <c r="B1467" s="498"/>
      <c r="C1467" s="287"/>
      <c r="D1467" s="288"/>
      <c r="E1467" s="288"/>
      <c r="F1467" s="438"/>
      <c r="G1467" s="438"/>
      <c r="H1467" s="438"/>
      <c r="I1467" s="438"/>
      <c r="J1467" s="438"/>
    </row>
    <row r="1468" spans="1:10" x14ac:dyDescent="0.25">
      <c r="A1468" s="274"/>
      <c r="B1468" s="498"/>
      <c r="C1468" s="287"/>
      <c r="D1468" s="288"/>
      <c r="E1468" s="288"/>
      <c r="F1468" s="438"/>
      <c r="G1468" s="438"/>
      <c r="H1468" s="438"/>
      <c r="I1468" s="438"/>
      <c r="J1468" s="438"/>
    </row>
    <row r="1469" spans="1:10" x14ac:dyDescent="0.25">
      <c r="A1469" s="274"/>
      <c r="B1469" s="498"/>
      <c r="C1469" s="287"/>
      <c r="D1469" s="288"/>
      <c r="E1469" s="288"/>
      <c r="F1469" s="438"/>
      <c r="G1469" s="438"/>
      <c r="H1469" s="438"/>
      <c r="I1469" s="438"/>
      <c r="J1469" s="438"/>
    </row>
    <row r="1470" spans="1:10" x14ac:dyDescent="0.25">
      <c r="A1470" s="274"/>
      <c r="B1470" s="498"/>
      <c r="C1470" s="287"/>
      <c r="D1470" s="288"/>
      <c r="E1470" s="288"/>
      <c r="F1470" s="438"/>
      <c r="G1470" s="438"/>
      <c r="H1470" s="438"/>
      <c r="I1470" s="438"/>
      <c r="J1470" s="438"/>
    </row>
    <row r="1471" spans="1:10" x14ac:dyDescent="0.25">
      <c r="A1471" s="274"/>
      <c r="B1471" s="498"/>
      <c r="C1471" s="287"/>
      <c r="D1471" s="288"/>
      <c r="E1471" s="288"/>
      <c r="F1471" s="438"/>
      <c r="G1471" s="438"/>
      <c r="H1471" s="438"/>
      <c r="I1471" s="438"/>
      <c r="J1471" s="438"/>
    </row>
    <row r="1472" spans="1:10" x14ac:dyDescent="0.25">
      <c r="A1472" s="274"/>
      <c r="B1472" s="498"/>
      <c r="C1472" s="287"/>
      <c r="D1472" s="288"/>
      <c r="E1472" s="288"/>
      <c r="F1472" s="438"/>
      <c r="G1472" s="438"/>
      <c r="H1472" s="438"/>
      <c r="I1472" s="438"/>
      <c r="J1472" s="438"/>
    </row>
    <row r="1473" spans="1:10" x14ac:dyDescent="0.25">
      <c r="A1473" s="274"/>
      <c r="B1473" s="498"/>
      <c r="C1473" s="287"/>
      <c r="D1473" s="288"/>
      <c r="E1473" s="288"/>
      <c r="F1473" s="438"/>
      <c r="G1473" s="438"/>
      <c r="H1473" s="438"/>
      <c r="I1473" s="438"/>
      <c r="J1473" s="438"/>
    </row>
    <row r="1474" spans="1:10" x14ac:dyDescent="0.25">
      <c r="A1474" s="274"/>
      <c r="B1474" s="498"/>
      <c r="C1474" s="287"/>
      <c r="D1474" s="288"/>
      <c r="E1474" s="288"/>
      <c r="F1474" s="438"/>
      <c r="G1474" s="438"/>
      <c r="H1474" s="438"/>
      <c r="I1474" s="438"/>
      <c r="J1474" s="438"/>
    </row>
    <row r="1475" spans="1:10" x14ac:dyDescent="0.25">
      <c r="A1475" s="274"/>
      <c r="B1475" s="498"/>
      <c r="C1475" s="287"/>
      <c r="D1475" s="288"/>
      <c r="E1475" s="288"/>
      <c r="F1475" s="438"/>
      <c r="G1475" s="438"/>
      <c r="H1475" s="438"/>
      <c r="I1475" s="438"/>
      <c r="J1475" s="438"/>
    </row>
    <row r="1476" spans="1:10" x14ac:dyDescent="0.25">
      <c r="A1476" s="274"/>
      <c r="B1476" s="498"/>
      <c r="C1476" s="287"/>
      <c r="D1476" s="288"/>
      <c r="E1476" s="288"/>
      <c r="F1476" s="438"/>
      <c r="G1476" s="438"/>
      <c r="H1476" s="438"/>
      <c r="I1476" s="438"/>
      <c r="J1476" s="438"/>
    </row>
    <row r="1477" spans="1:10" x14ac:dyDescent="0.25">
      <c r="A1477" s="274"/>
      <c r="B1477" s="498"/>
      <c r="C1477" s="287"/>
      <c r="D1477" s="288"/>
      <c r="E1477" s="288"/>
      <c r="F1477" s="438"/>
      <c r="G1477" s="438"/>
      <c r="H1477" s="438"/>
      <c r="I1477" s="438"/>
      <c r="J1477" s="438"/>
    </row>
    <row r="1478" spans="1:10" x14ac:dyDescent="0.25">
      <c r="A1478" s="274"/>
      <c r="B1478" s="498"/>
      <c r="C1478" s="287"/>
      <c r="D1478" s="288"/>
      <c r="E1478" s="288"/>
      <c r="F1478" s="438"/>
      <c r="G1478" s="438"/>
      <c r="H1478" s="438"/>
      <c r="I1478" s="438"/>
      <c r="J1478" s="438"/>
    </row>
    <row r="1479" spans="1:10" x14ac:dyDescent="0.25">
      <c r="A1479" s="274"/>
      <c r="B1479" s="498"/>
      <c r="C1479" s="287"/>
      <c r="D1479" s="288"/>
      <c r="E1479" s="288"/>
      <c r="F1479" s="438"/>
      <c r="G1479" s="438"/>
      <c r="H1479" s="438"/>
      <c r="I1479" s="438"/>
      <c r="J1479" s="438"/>
    </row>
    <row r="1480" spans="1:10" x14ac:dyDescent="0.25">
      <c r="A1480" s="274"/>
      <c r="B1480" s="498"/>
      <c r="C1480" s="287"/>
      <c r="D1480" s="288"/>
      <c r="E1480" s="288"/>
      <c r="F1480" s="438"/>
      <c r="G1480" s="438"/>
      <c r="H1480" s="438"/>
      <c r="I1480" s="438"/>
      <c r="J1480" s="438"/>
    </row>
    <row r="1481" spans="1:10" x14ac:dyDescent="0.25">
      <c r="A1481" s="274"/>
      <c r="B1481" s="498"/>
      <c r="C1481" s="287"/>
      <c r="D1481" s="288"/>
      <c r="E1481" s="288"/>
      <c r="F1481" s="438"/>
      <c r="G1481" s="438"/>
      <c r="H1481" s="438"/>
      <c r="I1481" s="438"/>
      <c r="J1481" s="438"/>
    </row>
    <row r="1482" spans="1:10" x14ac:dyDescent="0.25">
      <c r="A1482" s="274"/>
      <c r="B1482" s="498"/>
      <c r="C1482" s="287"/>
      <c r="D1482" s="288"/>
      <c r="E1482" s="288"/>
      <c r="F1482" s="438"/>
      <c r="G1482" s="438"/>
      <c r="H1482" s="438"/>
      <c r="I1482" s="438"/>
      <c r="J1482" s="438"/>
    </row>
    <row r="1483" spans="1:10" x14ac:dyDescent="0.25">
      <c r="A1483" s="274"/>
      <c r="B1483" s="498"/>
      <c r="C1483" s="287"/>
      <c r="D1483" s="288"/>
      <c r="E1483" s="288"/>
      <c r="F1483" s="438"/>
      <c r="G1483" s="438"/>
      <c r="H1483" s="438"/>
      <c r="I1483" s="438"/>
      <c r="J1483" s="438"/>
    </row>
    <row r="1484" spans="1:10" x14ac:dyDescent="0.25">
      <c r="A1484" s="274"/>
      <c r="B1484" s="498"/>
      <c r="C1484" s="287"/>
      <c r="D1484" s="288"/>
      <c r="E1484" s="288"/>
      <c r="F1484" s="438"/>
      <c r="G1484" s="438"/>
      <c r="H1484" s="438"/>
      <c r="I1484" s="438"/>
      <c r="J1484" s="438"/>
    </row>
    <row r="1485" spans="1:10" x14ac:dyDescent="0.25">
      <c r="A1485" s="274"/>
      <c r="B1485" s="498"/>
      <c r="C1485" s="287"/>
      <c r="D1485" s="288"/>
      <c r="E1485" s="288"/>
      <c r="F1485" s="438"/>
      <c r="G1485" s="438"/>
      <c r="H1485" s="438"/>
      <c r="I1485" s="438"/>
      <c r="J1485" s="438"/>
    </row>
    <row r="1486" spans="1:10" x14ac:dyDescent="0.25">
      <c r="A1486" s="274"/>
      <c r="B1486" s="498"/>
      <c r="C1486" s="287"/>
      <c r="D1486" s="288"/>
      <c r="E1486" s="288"/>
      <c r="F1486" s="438"/>
      <c r="G1486" s="438"/>
      <c r="H1486" s="438"/>
      <c r="I1486" s="438"/>
      <c r="J1486" s="438"/>
    </row>
    <row r="1487" spans="1:10" x14ac:dyDescent="0.25">
      <c r="A1487" s="274"/>
      <c r="B1487" s="498"/>
      <c r="C1487" s="287"/>
      <c r="D1487" s="288"/>
      <c r="E1487" s="288"/>
      <c r="F1487" s="438"/>
      <c r="G1487" s="438"/>
      <c r="H1487" s="438"/>
      <c r="I1487" s="438"/>
      <c r="J1487" s="438"/>
    </row>
    <row r="1488" spans="1:10" x14ac:dyDescent="0.25">
      <c r="A1488" s="274"/>
      <c r="B1488" s="498"/>
      <c r="C1488" s="287"/>
      <c r="D1488" s="288"/>
      <c r="E1488" s="288"/>
      <c r="F1488" s="438"/>
      <c r="G1488" s="438"/>
      <c r="H1488" s="438"/>
      <c r="I1488" s="438"/>
      <c r="J1488" s="438"/>
    </row>
    <row r="1489" spans="1:10" x14ac:dyDescent="0.25">
      <c r="A1489" s="274"/>
      <c r="B1489" s="498"/>
      <c r="C1489" s="287"/>
      <c r="D1489" s="288"/>
      <c r="E1489" s="288"/>
      <c r="F1489" s="438"/>
      <c r="G1489" s="438"/>
      <c r="H1489" s="438"/>
      <c r="I1489" s="438"/>
      <c r="J1489" s="438"/>
    </row>
    <row r="1490" spans="1:10" x14ac:dyDescent="0.25">
      <c r="A1490" s="274"/>
      <c r="B1490" s="498"/>
      <c r="C1490" s="287"/>
      <c r="D1490" s="288"/>
      <c r="E1490" s="288"/>
      <c r="F1490" s="438"/>
      <c r="G1490" s="438"/>
      <c r="H1490" s="438"/>
      <c r="I1490" s="438"/>
      <c r="J1490" s="438"/>
    </row>
    <row r="1491" spans="1:10" x14ac:dyDescent="0.25">
      <c r="A1491" s="274"/>
      <c r="B1491" s="498"/>
      <c r="C1491" s="287"/>
      <c r="D1491" s="288"/>
      <c r="E1491" s="288"/>
      <c r="F1491" s="438"/>
      <c r="G1491" s="438"/>
      <c r="H1491" s="438"/>
      <c r="I1491" s="438"/>
      <c r="J1491" s="438"/>
    </row>
    <row r="1492" spans="1:10" x14ac:dyDescent="0.25">
      <c r="A1492" s="274"/>
      <c r="B1492" s="498"/>
      <c r="C1492" s="287"/>
      <c r="D1492" s="288"/>
      <c r="E1492" s="288"/>
      <c r="F1492" s="438"/>
      <c r="G1492" s="438"/>
      <c r="H1492" s="438"/>
      <c r="I1492" s="438"/>
      <c r="J1492" s="438"/>
    </row>
    <row r="1493" spans="1:10" x14ac:dyDescent="0.25">
      <c r="A1493" s="274"/>
      <c r="B1493" s="498"/>
      <c r="C1493" s="287"/>
      <c r="D1493" s="288"/>
      <c r="E1493" s="288"/>
      <c r="F1493" s="438"/>
      <c r="G1493" s="438"/>
      <c r="H1493" s="438"/>
      <c r="I1493" s="438"/>
      <c r="J1493" s="438"/>
    </row>
    <row r="1494" spans="1:10" x14ac:dyDescent="0.25">
      <c r="A1494" s="274"/>
      <c r="B1494" s="498"/>
      <c r="C1494" s="287"/>
      <c r="D1494" s="288"/>
      <c r="E1494" s="288"/>
      <c r="F1494" s="438"/>
      <c r="G1494" s="438"/>
      <c r="H1494" s="438"/>
      <c r="I1494" s="438"/>
      <c r="J1494" s="438"/>
    </row>
    <row r="1495" spans="1:10" x14ac:dyDescent="0.25">
      <c r="A1495" s="274"/>
      <c r="B1495" s="498"/>
      <c r="C1495" s="287"/>
      <c r="D1495" s="288"/>
      <c r="E1495" s="288"/>
      <c r="F1495" s="438"/>
      <c r="G1495" s="438"/>
      <c r="H1495" s="438"/>
      <c r="I1495" s="438"/>
      <c r="J1495" s="438"/>
    </row>
    <row r="1496" spans="1:10" x14ac:dyDescent="0.25">
      <c r="A1496" s="274"/>
      <c r="B1496" s="498"/>
      <c r="C1496" s="287"/>
      <c r="D1496" s="288"/>
      <c r="E1496" s="288"/>
      <c r="F1496" s="438"/>
      <c r="G1496" s="438"/>
      <c r="H1496" s="438"/>
      <c r="I1496" s="438"/>
      <c r="J1496" s="438"/>
    </row>
    <row r="1497" spans="1:10" x14ac:dyDescent="0.25">
      <c r="A1497" s="274"/>
      <c r="B1497" s="498"/>
      <c r="C1497" s="287"/>
      <c r="D1497" s="288"/>
      <c r="E1497" s="288"/>
      <c r="F1497" s="438"/>
      <c r="G1497" s="438"/>
      <c r="H1497" s="438"/>
      <c r="I1497" s="438"/>
      <c r="J1497" s="438"/>
    </row>
    <row r="1498" spans="1:10" x14ac:dyDescent="0.25">
      <c r="A1498" s="274"/>
      <c r="B1498" s="498"/>
      <c r="C1498" s="287"/>
      <c r="D1498" s="288"/>
      <c r="E1498" s="288"/>
      <c r="F1498" s="438"/>
      <c r="G1498" s="438"/>
      <c r="H1498" s="438"/>
      <c r="I1498" s="438"/>
      <c r="J1498" s="438"/>
    </row>
    <row r="1499" spans="1:10" x14ac:dyDescent="0.25">
      <c r="A1499" s="274"/>
      <c r="B1499" s="498"/>
      <c r="C1499" s="287"/>
      <c r="D1499" s="288"/>
      <c r="E1499" s="288"/>
      <c r="F1499" s="438"/>
      <c r="G1499" s="438"/>
      <c r="H1499" s="438"/>
      <c r="I1499" s="438"/>
      <c r="J1499" s="438"/>
    </row>
    <row r="1500" spans="1:10" x14ac:dyDescent="0.25">
      <c r="A1500" s="274"/>
      <c r="B1500" s="498"/>
      <c r="C1500" s="287"/>
      <c r="D1500" s="288"/>
      <c r="E1500" s="288"/>
      <c r="F1500" s="438"/>
      <c r="G1500" s="438"/>
      <c r="H1500" s="438"/>
      <c r="I1500" s="438"/>
      <c r="J1500" s="438"/>
    </row>
    <row r="1501" spans="1:10" x14ac:dyDescent="0.25">
      <c r="A1501" s="274"/>
      <c r="B1501" s="498"/>
      <c r="C1501" s="287"/>
      <c r="D1501" s="288"/>
      <c r="E1501" s="288"/>
      <c r="F1501" s="438"/>
      <c r="G1501" s="438"/>
      <c r="H1501" s="438"/>
      <c r="I1501" s="438"/>
      <c r="J1501" s="438"/>
    </row>
    <row r="1502" spans="1:10" x14ac:dyDescent="0.25">
      <c r="A1502" s="274"/>
      <c r="B1502" s="498"/>
      <c r="C1502" s="287"/>
      <c r="D1502" s="288"/>
      <c r="E1502" s="288"/>
      <c r="F1502" s="438"/>
      <c r="G1502" s="438"/>
      <c r="H1502" s="438"/>
      <c r="I1502" s="438"/>
      <c r="J1502" s="438"/>
    </row>
    <row r="1503" spans="1:10" x14ac:dyDescent="0.25">
      <c r="A1503" s="274"/>
      <c r="B1503" s="498"/>
      <c r="C1503" s="287"/>
      <c r="D1503" s="288"/>
      <c r="E1503" s="288"/>
      <c r="F1503" s="438"/>
      <c r="G1503" s="438"/>
      <c r="H1503" s="438"/>
      <c r="I1503" s="438"/>
      <c r="J1503" s="438"/>
    </row>
    <row r="1504" spans="1:10" x14ac:dyDescent="0.25">
      <c r="A1504" s="274"/>
      <c r="B1504" s="498"/>
      <c r="C1504" s="287"/>
      <c r="D1504" s="288"/>
      <c r="E1504" s="288"/>
      <c r="F1504" s="438"/>
      <c r="G1504" s="438"/>
      <c r="H1504" s="438"/>
      <c r="I1504" s="438"/>
      <c r="J1504" s="438"/>
    </row>
    <row r="1505" spans="1:10" x14ac:dyDescent="0.25">
      <c r="A1505" s="274"/>
      <c r="B1505" s="498"/>
      <c r="C1505" s="287"/>
      <c r="D1505" s="288"/>
      <c r="E1505" s="288"/>
      <c r="F1505" s="438"/>
      <c r="G1505" s="438"/>
      <c r="H1505" s="438"/>
      <c r="I1505" s="438"/>
      <c r="J1505" s="438"/>
    </row>
    <row r="1506" spans="1:10" x14ac:dyDescent="0.25">
      <c r="A1506" s="274"/>
      <c r="B1506" s="498"/>
      <c r="C1506" s="287"/>
      <c r="D1506" s="288"/>
      <c r="E1506" s="288"/>
      <c r="F1506" s="438"/>
      <c r="G1506" s="438"/>
      <c r="H1506" s="438"/>
      <c r="I1506" s="438"/>
      <c r="J1506" s="438"/>
    </row>
    <row r="1507" spans="1:10" x14ac:dyDescent="0.25">
      <c r="A1507" s="274"/>
      <c r="B1507" s="498"/>
      <c r="C1507" s="287"/>
      <c r="D1507" s="288"/>
      <c r="E1507" s="288"/>
      <c r="F1507" s="438"/>
      <c r="G1507" s="438"/>
      <c r="H1507" s="438"/>
      <c r="I1507" s="438"/>
      <c r="J1507" s="438"/>
    </row>
    <row r="1508" spans="1:10" x14ac:dyDescent="0.25">
      <c r="A1508" s="274"/>
      <c r="B1508" s="498"/>
      <c r="C1508" s="287"/>
      <c r="D1508" s="288"/>
      <c r="E1508" s="288"/>
      <c r="F1508" s="438"/>
      <c r="G1508" s="438"/>
      <c r="H1508" s="438"/>
      <c r="I1508" s="438"/>
      <c r="J1508" s="438"/>
    </row>
    <row r="1509" spans="1:10" x14ac:dyDescent="0.25">
      <c r="A1509" s="274"/>
      <c r="B1509" s="498"/>
      <c r="C1509" s="287"/>
      <c r="D1509" s="288"/>
      <c r="E1509" s="288"/>
      <c r="F1509" s="438"/>
      <c r="G1509" s="438"/>
      <c r="H1509" s="438"/>
      <c r="I1509" s="438"/>
      <c r="J1509" s="438"/>
    </row>
    <row r="1510" spans="1:10" x14ac:dyDescent="0.25">
      <c r="A1510" s="274"/>
      <c r="B1510" s="498"/>
      <c r="C1510" s="287"/>
      <c r="D1510" s="288"/>
      <c r="E1510" s="288"/>
      <c r="F1510" s="438"/>
      <c r="G1510" s="438"/>
      <c r="H1510" s="438"/>
      <c r="I1510" s="438"/>
      <c r="J1510" s="438"/>
    </row>
    <row r="1511" spans="1:10" x14ac:dyDescent="0.25">
      <c r="A1511" s="274"/>
      <c r="B1511" s="498"/>
      <c r="C1511" s="287"/>
      <c r="D1511" s="288"/>
      <c r="E1511" s="288"/>
      <c r="F1511" s="438"/>
      <c r="G1511" s="438"/>
      <c r="H1511" s="438"/>
      <c r="I1511" s="438"/>
      <c r="J1511" s="438"/>
    </row>
    <row r="1512" spans="1:10" x14ac:dyDescent="0.25">
      <c r="A1512" s="274"/>
      <c r="B1512" s="498"/>
      <c r="C1512" s="287"/>
      <c r="D1512" s="288"/>
      <c r="E1512" s="288"/>
      <c r="F1512" s="438"/>
      <c r="G1512" s="438"/>
      <c r="H1512" s="438"/>
      <c r="I1512" s="438"/>
      <c r="J1512" s="438"/>
    </row>
    <row r="1513" spans="1:10" x14ac:dyDescent="0.25">
      <c r="A1513" s="274"/>
      <c r="B1513" s="498"/>
      <c r="C1513" s="287"/>
      <c r="D1513" s="288"/>
      <c r="E1513" s="288"/>
      <c r="F1513" s="438"/>
      <c r="G1513" s="438"/>
      <c r="H1513" s="438"/>
      <c r="I1513" s="438"/>
      <c r="J1513" s="438"/>
    </row>
    <row r="1514" spans="1:10" x14ac:dyDescent="0.25">
      <c r="A1514" s="274"/>
      <c r="B1514" s="498"/>
      <c r="C1514" s="287"/>
      <c r="D1514" s="288"/>
      <c r="E1514" s="288"/>
      <c r="F1514" s="438"/>
      <c r="G1514" s="438"/>
      <c r="H1514" s="438"/>
      <c r="I1514" s="438"/>
      <c r="J1514" s="438"/>
    </row>
    <row r="1515" spans="1:10" x14ac:dyDescent="0.25">
      <c r="A1515" s="274"/>
      <c r="B1515" s="498"/>
      <c r="C1515" s="287"/>
      <c r="D1515" s="288"/>
      <c r="E1515" s="288"/>
      <c r="F1515" s="438"/>
      <c r="G1515" s="438"/>
      <c r="H1515" s="438"/>
      <c r="I1515" s="438"/>
      <c r="J1515" s="438"/>
    </row>
    <row r="1516" spans="1:10" x14ac:dyDescent="0.25">
      <c r="A1516" s="274"/>
      <c r="B1516" s="498"/>
      <c r="C1516" s="287"/>
      <c r="D1516" s="288"/>
      <c r="E1516" s="288"/>
      <c r="F1516" s="438"/>
      <c r="G1516" s="438"/>
      <c r="H1516" s="438"/>
      <c r="I1516" s="438"/>
      <c r="J1516" s="438"/>
    </row>
    <row r="1517" spans="1:10" x14ac:dyDescent="0.25">
      <c r="A1517" s="274"/>
      <c r="B1517" s="498"/>
      <c r="C1517" s="287"/>
      <c r="D1517" s="288"/>
      <c r="E1517" s="288"/>
      <c r="F1517" s="438"/>
      <c r="G1517" s="438"/>
      <c r="H1517" s="438"/>
      <c r="I1517" s="438"/>
      <c r="J1517" s="438"/>
    </row>
    <row r="1518" spans="1:10" x14ac:dyDescent="0.25">
      <c r="A1518" s="274"/>
      <c r="B1518" s="498"/>
      <c r="C1518" s="287"/>
      <c r="D1518" s="288"/>
      <c r="E1518" s="288"/>
      <c r="F1518" s="438"/>
      <c r="G1518" s="438"/>
      <c r="H1518" s="438"/>
      <c r="I1518" s="438"/>
      <c r="J1518" s="438"/>
    </row>
    <row r="1519" spans="1:10" x14ac:dyDescent="0.25">
      <c r="A1519" s="274"/>
      <c r="B1519" s="498"/>
      <c r="C1519" s="287"/>
      <c r="D1519" s="288"/>
      <c r="E1519" s="288"/>
      <c r="F1519" s="438"/>
      <c r="G1519" s="438"/>
      <c r="H1519" s="438"/>
      <c r="I1519" s="438"/>
      <c r="J1519" s="438"/>
    </row>
    <row r="1520" spans="1:10" x14ac:dyDescent="0.25">
      <c r="A1520" s="274"/>
      <c r="B1520" s="498"/>
      <c r="C1520" s="287"/>
      <c r="D1520" s="288"/>
      <c r="E1520" s="288"/>
      <c r="F1520" s="438"/>
      <c r="G1520" s="438"/>
      <c r="H1520" s="438"/>
      <c r="I1520" s="438"/>
      <c r="J1520" s="438"/>
    </row>
    <row r="1521" spans="1:10" x14ac:dyDescent="0.25">
      <c r="A1521" s="274"/>
      <c r="B1521" s="498"/>
      <c r="C1521" s="287"/>
      <c r="D1521" s="288"/>
      <c r="E1521" s="288"/>
      <c r="F1521" s="438"/>
      <c r="G1521" s="438"/>
      <c r="H1521" s="438"/>
      <c r="I1521" s="438"/>
      <c r="J1521" s="438"/>
    </row>
    <row r="1522" spans="1:10" x14ac:dyDescent="0.25">
      <c r="A1522" s="274"/>
      <c r="B1522" s="498"/>
      <c r="C1522" s="287"/>
      <c r="D1522" s="288"/>
      <c r="E1522" s="288"/>
      <c r="F1522" s="438"/>
      <c r="G1522" s="438"/>
      <c r="H1522" s="438"/>
      <c r="I1522" s="438"/>
      <c r="J1522" s="438"/>
    </row>
    <row r="1523" spans="1:10" x14ac:dyDescent="0.25">
      <c r="A1523" s="274"/>
      <c r="B1523" s="498"/>
      <c r="C1523" s="287"/>
      <c r="D1523" s="288"/>
      <c r="E1523" s="288"/>
      <c r="F1523" s="438"/>
      <c r="G1523" s="438"/>
      <c r="H1523" s="438"/>
      <c r="I1523" s="438"/>
      <c r="J1523" s="438"/>
    </row>
    <row r="1524" spans="1:10" x14ac:dyDescent="0.25">
      <c r="A1524" s="274"/>
      <c r="B1524" s="498"/>
      <c r="C1524" s="287"/>
      <c r="D1524" s="288"/>
      <c r="E1524" s="288"/>
      <c r="F1524" s="438"/>
      <c r="G1524" s="438"/>
      <c r="H1524" s="438"/>
      <c r="I1524" s="438"/>
      <c r="J1524" s="438"/>
    </row>
    <row r="1525" spans="1:10" x14ac:dyDescent="0.25">
      <c r="A1525" s="274"/>
      <c r="B1525" s="498"/>
      <c r="C1525" s="287"/>
      <c r="D1525" s="288"/>
      <c r="E1525" s="288"/>
      <c r="F1525" s="438"/>
      <c r="G1525" s="438"/>
      <c r="H1525" s="438"/>
      <c r="I1525" s="438"/>
      <c r="J1525" s="438"/>
    </row>
    <row r="1526" spans="1:10" x14ac:dyDescent="0.25">
      <c r="A1526" s="274"/>
      <c r="B1526" s="498"/>
      <c r="C1526" s="287"/>
      <c r="D1526" s="288"/>
      <c r="E1526" s="288"/>
      <c r="F1526" s="438"/>
      <c r="G1526" s="438"/>
      <c r="H1526" s="438"/>
      <c r="I1526" s="438"/>
      <c r="J1526" s="438"/>
    </row>
    <row r="1527" spans="1:10" x14ac:dyDescent="0.25">
      <c r="A1527" s="274"/>
      <c r="B1527" s="498"/>
      <c r="C1527" s="287"/>
      <c r="D1527" s="288"/>
      <c r="E1527" s="288"/>
      <c r="F1527" s="438"/>
      <c r="G1527" s="438"/>
      <c r="H1527" s="438"/>
      <c r="I1527" s="438"/>
      <c r="J1527" s="438"/>
    </row>
    <row r="1528" spans="1:10" x14ac:dyDescent="0.25">
      <c r="A1528" s="274"/>
      <c r="B1528" s="498"/>
      <c r="C1528" s="287"/>
      <c r="D1528" s="288"/>
      <c r="E1528" s="288"/>
      <c r="F1528" s="438"/>
      <c r="G1528" s="438"/>
      <c r="H1528" s="438"/>
      <c r="I1528" s="438"/>
      <c r="J1528" s="438"/>
    </row>
    <row r="1529" spans="1:10" x14ac:dyDescent="0.25">
      <c r="A1529" s="274"/>
      <c r="B1529" s="498"/>
      <c r="C1529" s="287"/>
      <c r="D1529" s="288"/>
      <c r="E1529" s="288"/>
      <c r="F1529" s="438"/>
      <c r="G1529" s="438"/>
      <c r="H1529" s="438"/>
      <c r="I1529" s="438"/>
      <c r="J1529" s="438"/>
    </row>
    <row r="1530" spans="1:10" x14ac:dyDescent="0.25">
      <c r="A1530" s="274"/>
      <c r="B1530" s="498"/>
      <c r="C1530" s="287"/>
      <c r="D1530" s="288"/>
      <c r="E1530" s="288"/>
      <c r="F1530" s="438"/>
      <c r="G1530" s="438"/>
      <c r="H1530" s="438"/>
      <c r="I1530" s="438"/>
      <c r="J1530" s="438"/>
    </row>
    <row r="1531" spans="1:10" x14ac:dyDescent="0.25">
      <c r="A1531" s="274"/>
      <c r="B1531" s="498"/>
      <c r="C1531" s="287"/>
      <c r="D1531" s="288"/>
      <c r="E1531" s="288"/>
      <c r="F1531" s="438"/>
      <c r="G1531" s="438"/>
      <c r="H1531" s="438"/>
      <c r="I1531" s="438"/>
      <c r="J1531" s="438"/>
    </row>
    <row r="1532" spans="1:10" x14ac:dyDescent="0.25">
      <c r="A1532" s="274"/>
      <c r="B1532" s="498"/>
      <c r="C1532" s="287"/>
      <c r="D1532" s="288"/>
      <c r="E1532" s="288"/>
      <c r="F1532" s="438"/>
      <c r="G1532" s="438"/>
      <c r="H1532" s="438"/>
      <c r="I1532" s="438"/>
      <c r="J1532" s="438"/>
    </row>
    <row r="1533" spans="1:10" x14ac:dyDescent="0.25">
      <c r="A1533" s="274"/>
      <c r="B1533" s="498"/>
      <c r="C1533" s="287"/>
      <c r="D1533" s="288"/>
      <c r="E1533" s="288"/>
      <c r="F1533" s="438"/>
      <c r="G1533" s="438"/>
      <c r="H1533" s="438"/>
      <c r="I1533" s="438"/>
      <c r="J1533" s="438"/>
    </row>
    <row r="1534" spans="1:10" x14ac:dyDescent="0.25">
      <c r="A1534" s="274"/>
      <c r="B1534" s="498"/>
      <c r="C1534" s="287"/>
      <c r="D1534" s="288"/>
      <c r="E1534" s="288"/>
      <c r="F1534" s="438"/>
      <c r="G1534" s="438"/>
      <c r="H1534" s="438"/>
      <c r="I1534" s="438"/>
      <c r="J1534" s="438"/>
    </row>
    <row r="1535" spans="1:10" x14ac:dyDescent="0.25">
      <c r="A1535" s="274"/>
      <c r="B1535" s="498"/>
      <c r="C1535" s="287"/>
      <c r="D1535" s="288"/>
      <c r="E1535" s="288"/>
      <c r="F1535" s="438"/>
      <c r="G1535" s="438"/>
      <c r="H1535" s="438"/>
      <c r="I1535" s="438"/>
      <c r="J1535" s="438"/>
    </row>
    <row r="1536" spans="1:10" x14ac:dyDescent="0.25">
      <c r="A1536" s="274"/>
      <c r="B1536" s="498"/>
      <c r="C1536" s="287"/>
      <c r="D1536" s="288"/>
      <c r="E1536" s="288"/>
      <c r="F1536" s="438"/>
      <c r="G1536" s="438"/>
      <c r="H1536" s="438"/>
      <c r="I1536" s="438"/>
      <c r="J1536" s="438"/>
    </row>
    <row r="1537" spans="1:10" x14ac:dyDescent="0.25">
      <c r="A1537" s="274"/>
      <c r="B1537" s="498"/>
      <c r="C1537" s="287"/>
      <c r="D1537" s="288"/>
      <c r="E1537" s="288"/>
      <c r="F1537" s="438"/>
      <c r="G1537" s="438"/>
      <c r="H1537" s="438"/>
      <c r="I1537" s="438"/>
      <c r="J1537" s="438"/>
    </row>
    <row r="1538" spans="1:10" x14ac:dyDescent="0.25">
      <c r="A1538" s="274"/>
      <c r="B1538" s="498"/>
      <c r="C1538" s="287"/>
      <c r="D1538" s="288"/>
      <c r="E1538" s="288"/>
      <c r="F1538" s="438"/>
      <c r="G1538" s="438"/>
      <c r="H1538" s="438"/>
      <c r="I1538" s="438"/>
      <c r="J1538" s="438"/>
    </row>
    <row r="1539" spans="1:10" x14ac:dyDescent="0.25">
      <c r="A1539" s="274"/>
      <c r="B1539" s="498"/>
      <c r="C1539" s="287"/>
      <c r="D1539" s="288"/>
      <c r="E1539" s="288"/>
      <c r="F1539" s="438"/>
      <c r="G1539" s="438"/>
      <c r="H1539" s="438"/>
      <c r="I1539" s="438"/>
      <c r="J1539" s="438"/>
    </row>
    <row r="1540" spans="1:10" x14ac:dyDescent="0.25">
      <c r="A1540" s="274"/>
      <c r="B1540" s="498"/>
      <c r="C1540" s="287"/>
      <c r="D1540" s="288"/>
      <c r="E1540" s="288"/>
      <c r="F1540" s="438"/>
      <c r="G1540" s="438"/>
      <c r="H1540" s="438"/>
      <c r="I1540" s="438"/>
      <c r="J1540" s="438"/>
    </row>
    <row r="1541" spans="1:10" x14ac:dyDescent="0.25">
      <c r="A1541" s="274"/>
      <c r="B1541" s="498"/>
      <c r="C1541" s="287"/>
      <c r="D1541" s="288"/>
      <c r="E1541" s="288"/>
      <c r="F1541" s="438"/>
      <c r="G1541" s="438"/>
      <c r="H1541" s="438"/>
      <c r="I1541" s="438"/>
      <c r="J1541" s="438"/>
    </row>
    <row r="1542" spans="1:10" x14ac:dyDescent="0.25">
      <c r="A1542" s="274"/>
      <c r="B1542" s="498"/>
      <c r="C1542" s="287"/>
      <c r="D1542" s="288"/>
      <c r="E1542" s="288"/>
      <c r="F1542" s="438"/>
      <c r="G1542" s="438"/>
      <c r="H1542" s="438"/>
      <c r="I1542" s="438"/>
      <c r="J1542" s="438"/>
    </row>
    <row r="1543" spans="1:10" x14ac:dyDescent="0.25">
      <c r="A1543" s="274"/>
      <c r="B1543" s="498"/>
      <c r="C1543" s="287"/>
      <c r="D1543" s="288"/>
      <c r="E1543" s="288"/>
      <c r="F1543" s="438"/>
      <c r="G1543" s="438"/>
      <c r="H1543" s="438"/>
      <c r="I1543" s="438"/>
      <c r="J1543" s="438"/>
    </row>
    <row r="1544" spans="1:10" x14ac:dyDescent="0.25">
      <c r="A1544" s="274"/>
      <c r="B1544" s="498"/>
      <c r="C1544" s="287"/>
      <c r="D1544" s="288"/>
      <c r="E1544" s="288"/>
      <c r="F1544" s="438"/>
      <c r="G1544" s="438"/>
      <c r="H1544" s="438"/>
      <c r="I1544" s="438"/>
      <c r="J1544" s="438"/>
    </row>
    <row r="1545" spans="1:10" x14ac:dyDescent="0.25">
      <c r="A1545" s="274"/>
      <c r="B1545" s="498"/>
      <c r="C1545" s="287"/>
      <c r="D1545" s="288"/>
      <c r="E1545" s="288"/>
      <c r="F1545" s="438"/>
      <c r="G1545" s="438"/>
      <c r="H1545" s="438"/>
      <c r="I1545" s="438"/>
      <c r="J1545" s="438"/>
    </row>
    <row r="1546" spans="1:10" x14ac:dyDescent="0.25">
      <c r="A1546" s="274"/>
      <c r="B1546" s="498"/>
      <c r="C1546" s="287"/>
      <c r="D1546" s="288"/>
      <c r="E1546" s="288"/>
      <c r="F1546" s="438"/>
      <c r="G1546" s="438"/>
      <c r="H1546" s="438"/>
      <c r="I1546" s="438"/>
      <c r="J1546" s="438"/>
    </row>
    <row r="1547" spans="1:10" x14ac:dyDescent="0.25">
      <c r="A1547" s="274"/>
      <c r="B1547" s="498"/>
      <c r="C1547" s="287"/>
      <c r="D1547" s="288"/>
      <c r="E1547" s="288"/>
      <c r="F1547" s="438"/>
      <c r="G1547" s="438"/>
      <c r="H1547" s="438"/>
      <c r="I1547" s="438"/>
      <c r="J1547" s="438"/>
    </row>
    <row r="1548" spans="1:10" x14ac:dyDescent="0.25">
      <c r="A1548" s="274"/>
      <c r="B1548" s="498"/>
      <c r="C1548" s="287"/>
      <c r="D1548" s="288"/>
      <c r="E1548" s="288"/>
      <c r="F1548" s="438"/>
      <c r="G1548" s="438"/>
      <c r="H1548" s="438"/>
      <c r="I1548" s="438"/>
      <c r="J1548" s="438"/>
    </row>
    <row r="1549" spans="1:10" x14ac:dyDescent="0.25">
      <c r="A1549" s="274"/>
      <c r="B1549" s="498"/>
      <c r="C1549" s="287"/>
      <c r="D1549" s="288"/>
      <c r="E1549" s="288"/>
      <c r="F1549" s="438"/>
      <c r="G1549" s="438"/>
      <c r="H1549" s="438"/>
      <c r="I1549" s="438"/>
      <c r="J1549" s="438"/>
    </row>
    <row r="1550" spans="1:10" x14ac:dyDescent="0.25">
      <c r="A1550" s="274"/>
      <c r="B1550" s="498"/>
      <c r="C1550" s="287"/>
      <c r="D1550" s="288"/>
      <c r="E1550" s="288"/>
      <c r="F1550" s="438"/>
      <c r="G1550" s="438"/>
      <c r="H1550" s="438"/>
      <c r="I1550" s="438"/>
      <c r="J1550" s="438"/>
    </row>
    <row r="1551" spans="1:10" x14ac:dyDescent="0.25">
      <c r="A1551" s="274"/>
      <c r="B1551" s="498"/>
      <c r="C1551" s="287"/>
      <c r="D1551" s="288"/>
      <c r="E1551" s="288"/>
      <c r="F1551" s="438"/>
      <c r="G1551" s="438"/>
      <c r="H1551" s="438"/>
      <c r="I1551" s="438"/>
      <c r="J1551" s="438"/>
    </row>
    <row r="1552" spans="1:10" x14ac:dyDescent="0.25">
      <c r="A1552" s="274"/>
      <c r="B1552" s="498"/>
      <c r="C1552" s="287"/>
      <c r="D1552" s="288"/>
      <c r="E1552" s="288"/>
      <c r="F1552" s="438"/>
      <c r="G1552" s="438"/>
      <c r="H1552" s="438"/>
      <c r="I1552" s="438"/>
      <c r="J1552" s="438"/>
    </row>
    <row r="1553" spans="1:10" x14ac:dyDescent="0.25">
      <c r="A1553" s="274"/>
      <c r="B1553" s="498"/>
      <c r="C1553" s="287"/>
      <c r="D1553" s="288"/>
      <c r="E1553" s="288"/>
      <c r="F1553" s="438"/>
      <c r="G1553" s="438"/>
      <c r="H1553" s="438"/>
      <c r="I1553" s="438"/>
      <c r="J1553" s="438"/>
    </row>
    <row r="1554" spans="1:10" x14ac:dyDescent="0.25">
      <c r="A1554" s="274"/>
      <c r="B1554" s="498"/>
      <c r="C1554" s="287"/>
      <c r="D1554" s="288"/>
      <c r="E1554" s="288"/>
      <c r="F1554" s="438"/>
      <c r="G1554" s="438"/>
      <c r="H1554" s="438"/>
      <c r="I1554" s="438"/>
      <c r="J1554" s="438"/>
    </row>
    <row r="1555" spans="1:10" x14ac:dyDescent="0.25">
      <c r="A1555" s="274"/>
      <c r="B1555" s="498"/>
      <c r="C1555" s="287"/>
      <c r="D1555" s="288"/>
      <c r="E1555" s="288"/>
      <c r="F1555" s="438"/>
      <c r="G1555" s="438"/>
      <c r="H1555" s="438"/>
      <c r="I1555" s="438"/>
      <c r="J1555" s="438"/>
    </row>
    <row r="1556" spans="1:10" x14ac:dyDescent="0.25">
      <c r="A1556" s="274"/>
      <c r="B1556" s="498"/>
      <c r="C1556" s="287"/>
      <c r="D1556" s="288"/>
      <c r="E1556" s="288"/>
      <c r="F1556" s="438"/>
      <c r="G1556" s="438"/>
      <c r="H1556" s="438"/>
      <c r="I1556" s="438"/>
      <c r="J1556" s="438"/>
    </row>
    <row r="1557" spans="1:10" x14ac:dyDescent="0.25">
      <c r="A1557" s="274"/>
      <c r="B1557" s="498"/>
      <c r="C1557" s="287"/>
      <c r="D1557" s="288"/>
      <c r="E1557" s="288"/>
      <c r="F1557" s="438"/>
      <c r="G1557" s="438"/>
      <c r="H1557" s="438"/>
      <c r="I1557" s="438"/>
      <c r="J1557" s="438"/>
    </row>
    <row r="1558" spans="1:10" x14ac:dyDescent="0.25">
      <c r="A1558" s="274"/>
      <c r="B1558" s="498"/>
      <c r="C1558" s="287"/>
      <c r="D1558" s="288"/>
      <c r="E1558" s="288"/>
      <c r="F1558" s="438"/>
      <c r="G1558" s="438"/>
      <c r="H1558" s="438"/>
      <c r="I1558" s="438"/>
      <c r="J1558" s="438"/>
    </row>
    <row r="1559" spans="1:10" x14ac:dyDescent="0.25">
      <c r="A1559" s="274"/>
      <c r="B1559" s="498"/>
      <c r="C1559" s="287"/>
      <c r="D1559" s="288"/>
      <c r="E1559" s="288"/>
      <c r="F1559" s="438"/>
      <c r="G1559" s="438"/>
      <c r="H1559" s="438"/>
      <c r="I1559" s="438"/>
      <c r="J1559" s="438"/>
    </row>
    <row r="1560" spans="1:10" x14ac:dyDescent="0.25">
      <c r="A1560" s="274"/>
      <c r="B1560" s="498"/>
      <c r="C1560" s="287"/>
      <c r="D1560" s="288"/>
      <c r="E1560" s="288"/>
      <c r="F1560" s="438"/>
      <c r="G1560" s="438"/>
      <c r="H1560" s="438"/>
      <c r="I1560" s="438"/>
      <c r="J1560" s="438"/>
    </row>
    <row r="1561" spans="1:10" x14ac:dyDescent="0.25">
      <c r="A1561" s="274"/>
      <c r="B1561" s="498"/>
      <c r="C1561" s="287"/>
      <c r="D1561" s="288"/>
      <c r="E1561" s="288"/>
      <c r="F1561" s="438"/>
      <c r="G1561" s="438"/>
      <c r="H1561" s="438"/>
      <c r="I1561" s="438"/>
      <c r="J1561" s="438"/>
    </row>
    <row r="1562" spans="1:10" x14ac:dyDescent="0.25">
      <c r="A1562" s="274"/>
      <c r="B1562" s="498"/>
      <c r="C1562" s="287"/>
      <c r="D1562" s="288"/>
      <c r="E1562" s="288"/>
      <c r="F1562" s="438"/>
      <c r="G1562" s="438"/>
      <c r="H1562" s="438"/>
      <c r="I1562" s="438"/>
      <c r="J1562" s="438"/>
    </row>
    <row r="1563" spans="1:10" x14ac:dyDescent="0.25">
      <c r="A1563" s="274"/>
      <c r="B1563" s="498"/>
      <c r="C1563" s="287"/>
      <c r="D1563" s="288"/>
      <c r="E1563" s="288"/>
      <c r="F1563" s="438"/>
      <c r="G1563" s="438"/>
      <c r="H1563" s="438"/>
      <c r="I1563" s="438"/>
      <c r="J1563" s="438"/>
    </row>
    <row r="1564" spans="1:10" x14ac:dyDescent="0.25">
      <c r="A1564" s="274"/>
      <c r="B1564" s="498"/>
      <c r="C1564" s="287"/>
      <c r="D1564" s="288"/>
      <c r="E1564" s="288"/>
      <c r="F1564" s="438"/>
      <c r="G1564" s="438"/>
      <c r="H1564" s="438"/>
      <c r="I1564" s="438"/>
      <c r="J1564" s="438"/>
    </row>
    <row r="1565" spans="1:10" x14ac:dyDescent="0.25">
      <c r="A1565" s="274"/>
      <c r="B1565" s="498"/>
      <c r="C1565" s="287"/>
      <c r="D1565" s="288"/>
      <c r="E1565" s="288"/>
      <c r="F1565" s="438"/>
      <c r="G1565" s="438"/>
      <c r="H1565" s="438"/>
      <c r="I1565" s="438"/>
      <c r="J1565" s="438"/>
    </row>
    <row r="1566" spans="1:10" x14ac:dyDescent="0.25">
      <c r="A1566" s="274"/>
      <c r="B1566" s="498"/>
      <c r="C1566" s="287"/>
      <c r="D1566" s="288"/>
      <c r="E1566" s="288"/>
      <c r="F1566" s="438"/>
      <c r="G1566" s="438"/>
      <c r="H1566" s="438"/>
      <c r="I1566" s="438"/>
      <c r="J1566" s="438"/>
    </row>
    <row r="1567" spans="1:10" x14ac:dyDescent="0.25">
      <c r="A1567" s="274"/>
      <c r="B1567" s="498"/>
      <c r="C1567" s="287"/>
      <c r="D1567" s="288"/>
      <c r="E1567" s="288"/>
      <c r="F1567" s="438"/>
      <c r="G1567" s="438"/>
      <c r="H1567" s="438"/>
      <c r="I1567" s="438"/>
      <c r="J1567" s="438"/>
    </row>
    <row r="1568" spans="1:10" x14ac:dyDescent="0.25">
      <c r="A1568" s="274"/>
      <c r="B1568" s="498"/>
      <c r="C1568" s="287"/>
      <c r="D1568" s="288"/>
      <c r="E1568" s="288"/>
      <c r="F1568" s="438"/>
      <c r="G1568" s="438"/>
      <c r="H1568" s="438"/>
      <c r="I1568" s="438"/>
      <c r="J1568" s="438"/>
    </row>
    <row r="1569" spans="1:10" x14ac:dyDescent="0.25">
      <c r="A1569" s="274"/>
      <c r="B1569" s="498"/>
      <c r="C1569" s="287"/>
      <c r="D1569" s="288"/>
      <c r="E1569" s="288"/>
      <c r="F1569" s="438"/>
      <c r="G1569" s="438"/>
      <c r="H1569" s="438"/>
      <c r="I1569" s="438"/>
      <c r="J1569" s="438"/>
    </row>
    <row r="1570" spans="1:10" x14ac:dyDescent="0.25">
      <c r="A1570" s="274"/>
      <c r="B1570" s="498"/>
      <c r="C1570" s="287"/>
      <c r="D1570" s="288"/>
      <c r="E1570" s="288"/>
      <c r="F1570" s="438"/>
      <c r="G1570" s="438"/>
      <c r="H1570" s="438"/>
      <c r="I1570" s="438"/>
      <c r="J1570" s="438"/>
    </row>
    <row r="1571" spans="1:10" x14ac:dyDescent="0.25">
      <c r="A1571" s="274"/>
      <c r="B1571" s="498"/>
      <c r="C1571" s="287"/>
      <c r="D1571" s="288"/>
      <c r="E1571" s="288"/>
      <c r="F1571" s="438"/>
      <c r="G1571" s="438"/>
      <c r="H1571" s="438"/>
      <c r="I1571" s="438"/>
      <c r="J1571" s="438"/>
    </row>
    <row r="1572" spans="1:10" x14ac:dyDescent="0.25">
      <c r="A1572" s="274"/>
      <c r="B1572" s="498"/>
      <c r="C1572" s="287"/>
      <c r="D1572" s="288"/>
      <c r="E1572" s="288"/>
      <c r="F1572" s="438"/>
      <c r="G1572" s="438"/>
      <c r="H1572" s="438"/>
      <c r="I1572" s="438"/>
      <c r="J1572" s="438"/>
    </row>
    <row r="1573" spans="1:10" x14ac:dyDescent="0.25">
      <c r="A1573" s="274"/>
      <c r="B1573" s="498"/>
      <c r="C1573" s="287"/>
      <c r="D1573" s="288"/>
      <c r="E1573" s="288"/>
      <c r="F1573" s="438"/>
      <c r="G1573" s="438"/>
      <c r="H1573" s="438"/>
      <c r="I1573" s="438"/>
      <c r="J1573" s="438"/>
    </row>
    <row r="1574" spans="1:10" x14ac:dyDescent="0.25">
      <c r="A1574" s="274"/>
      <c r="B1574" s="498"/>
      <c r="C1574" s="287"/>
      <c r="D1574" s="288"/>
      <c r="E1574" s="288"/>
      <c r="F1574" s="438"/>
      <c r="G1574" s="438"/>
      <c r="H1574" s="438"/>
      <c r="I1574" s="438"/>
      <c r="J1574" s="438"/>
    </row>
    <row r="1575" spans="1:10" x14ac:dyDescent="0.25">
      <c r="A1575" s="274"/>
      <c r="B1575" s="498"/>
      <c r="C1575" s="287"/>
      <c r="D1575" s="288"/>
      <c r="E1575" s="288"/>
      <c r="F1575" s="438"/>
      <c r="G1575" s="438"/>
      <c r="H1575" s="438"/>
      <c r="I1575" s="438"/>
      <c r="J1575" s="438"/>
    </row>
    <row r="1576" spans="1:10" x14ac:dyDescent="0.25">
      <c r="A1576" s="274"/>
      <c r="B1576" s="498"/>
      <c r="C1576" s="287"/>
      <c r="D1576" s="288"/>
      <c r="E1576" s="288"/>
      <c r="F1576" s="438"/>
      <c r="G1576" s="438"/>
      <c r="H1576" s="438"/>
      <c r="I1576" s="438"/>
      <c r="J1576" s="438"/>
    </row>
    <row r="1577" spans="1:10" x14ac:dyDescent="0.25">
      <c r="A1577" s="274"/>
      <c r="B1577" s="498"/>
      <c r="C1577" s="287"/>
      <c r="D1577" s="288"/>
      <c r="E1577" s="288"/>
      <c r="F1577" s="438"/>
      <c r="G1577" s="438"/>
      <c r="H1577" s="438"/>
      <c r="I1577" s="438"/>
      <c r="J1577" s="438"/>
    </row>
    <row r="1578" spans="1:10" x14ac:dyDescent="0.25">
      <c r="A1578" s="274"/>
      <c r="B1578" s="498"/>
      <c r="C1578" s="287"/>
      <c r="D1578" s="288"/>
      <c r="E1578" s="288"/>
      <c r="F1578" s="438"/>
      <c r="G1578" s="438"/>
      <c r="H1578" s="438"/>
      <c r="I1578" s="438"/>
      <c r="J1578" s="438"/>
    </row>
    <row r="1579" spans="1:10" x14ac:dyDescent="0.25">
      <c r="A1579" s="274"/>
      <c r="B1579" s="498"/>
      <c r="C1579" s="287"/>
      <c r="D1579" s="288"/>
      <c r="E1579" s="288"/>
      <c r="F1579" s="438"/>
      <c r="G1579" s="438"/>
      <c r="H1579" s="438"/>
      <c r="I1579" s="438"/>
      <c r="J1579" s="438"/>
    </row>
    <row r="1580" spans="1:10" x14ac:dyDescent="0.25">
      <c r="A1580" s="274"/>
      <c r="B1580" s="498"/>
      <c r="C1580" s="287"/>
      <c r="D1580" s="288"/>
      <c r="E1580" s="288"/>
      <c r="F1580" s="438"/>
      <c r="G1580" s="438"/>
      <c r="H1580" s="438"/>
      <c r="I1580" s="438"/>
      <c r="J1580" s="438"/>
    </row>
    <row r="1581" spans="1:10" x14ac:dyDescent="0.25">
      <c r="A1581" s="274"/>
      <c r="B1581" s="498"/>
      <c r="C1581" s="287"/>
      <c r="D1581" s="288"/>
      <c r="E1581" s="288"/>
      <c r="F1581" s="438"/>
      <c r="G1581" s="438"/>
      <c r="H1581" s="438"/>
      <c r="I1581" s="438"/>
      <c r="J1581" s="438"/>
    </row>
    <row r="1582" spans="1:10" x14ac:dyDescent="0.25">
      <c r="A1582" s="274"/>
      <c r="B1582" s="498"/>
      <c r="C1582" s="287"/>
      <c r="D1582" s="288"/>
      <c r="E1582" s="288"/>
      <c r="F1582" s="438"/>
      <c r="G1582" s="438"/>
      <c r="H1582" s="438"/>
      <c r="I1582" s="438"/>
      <c r="J1582" s="438"/>
    </row>
    <row r="1583" spans="1:10" x14ac:dyDescent="0.25">
      <c r="A1583" s="274"/>
      <c r="B1583" s="498"/>
      <c r="C1583" s="287"/>
      <c r="D1583" s="288"/>
      <c r="E1583" s="288"/>
      <c r="F1583" s="438"/>
      <c r="G1583" s="438"/>
      <c r="H1583" s="438"/>
      <c r="I1583" s="438"/>
      <c r="J1583" s="438"/>
    </row>
    <row r="1584" spans="1:10" x14ac:dyDescent="0.25">
      <c r="A1584" s="274"/>
      <c r="B1584" s="498"/>
      <c r="C1584" s="287"/>
      <c r="D1584" s="288"/>
      <c r="E1584" s="288"/>
      <c r="F1584" s="438"/>
      <c r="G1584" s="438"/>
      <c r="H1584" s="438"/>
      <c r="I1584" s="438"/>
      <c r="J1584" s="438"/>
    </row>
    <row r="1585" spans="1:10" x14ac:dyDescent="0.25">
      <c r="A1585" s="274"/>
      <c r="B1585" s="498"/>
      <c r="C1585" s="287"/>
      <c r="D1585" s="288"/>
      <c r="E1585" s="288"/>
      <c r="F1585" s="438"/>
      <c r="G1585" s="438"/>
      <c r="H1585" s="438"/>
      <c r="I1585" s="438"/>
      <c r="J1585" s="438"/>
    </row>
    <row r="1586" spans="1:10" x14ac:dyDescent="0.25">
      <c r="A1586" s="274"/>
      <c r="B1586" s="498"/>
      <c r="C1586" s="287"/>
      <c r="D1586" s="288"/>
      <c r="E1586" s="288"/>
      <c r="F1586" s="438"/>
      <c r="G1586" s="438"/>
      <c r="H1586" s="438"/>
      <c r="I1586" s="438"/>
      <c r="J1586" s="438"/>
    </row>
    <row r="1587" spans="1:10" x14ac:dyDescent="0.25">
      <c r="A1587" s="274"/>
      <c r="B1587" s="498"/>
      <c r="C1587" s="287"/>
      <c r="D1587" s="288"/>
      <c r="E1587" s="288"/>
      <c r="F1587" s="438"/>
      <c r="G1587" s="438"/>
      <c r="H1587" s="438"/>
      <c r="I1587" s="438"/>
      <c r="J1587" s="438"/>
    </row>
    <row r="1588" spans="1:10" x14ac:dyDescent="0.25">
      <c r="A1588" s="274"/>
      <c r="B1588" s="498"/>
      <c r="C1588" s="287"/>
      <c r="D1588" s="288"/>
      <c r="E1588" s="288"/>
      <c r="F1588" s="438"/>
      <c r="G1588" s="438"/>
      <c r="H1588" s="438"/>
      <c r="I1588" s="438"/>
      <c r="J1588" s="438"/>
    </row>
    <row r="1589" spans="1:10" x14ac:dyDescent="0.25">
      <c r="A1589" s="274"/>
      <c r="B1589" s="498"/>
      <c r="C1589" s="287"/>
      <c r="D1589" s="288"/>
      <c r="E1589" s="288"/>
      <c r="F1589" s="438"/>
      <c r="G1589" s="438"/>
      <c r="H1589" s="438"/>
      <c r="I1589" s="438"/>
      <c r="J1589" s="438"/>
    </row>
    <row r="1590" spans="1:10" x14ac:dyDescent="0.25">
      <c r="A1590" s="274"/>
      <c r="B1590" s="498"/>
      <c r="C1590" s="287"/>
      <c r="D1590" s="288"/>
      <c r="E1590" s="288"/>
      <c r="F1590" s="438"/>
      <c r="G1590" s="438"/>
      <c r="H1590" s="438"/>
      <c r="I1590" s="438"/>
      <c r="J1590" s="438"/>
    </row>
    <row r="1591" spans="1:10" x14ac:dyDescent="0.25">
      <c r="A1591" s="274"/>
      <c r="B1591" s="498"/>
      <c r="C1591" s="287"/>
      <c r="D1591" s="288"/>
      <c r="E1591" s="288"/>
      <c r="F1591" s="438"/>
      <c r="G1591" s="438"/>
      <c r="H1591" s="438"/>
      <c r="I1591" s="438"/>
      <c r="J1591" s="438"/>
    </row>
    <row r="1592" spans="1:10" x14ac:dyDescent="0.25">
      <c r="A1592" s="274"/>
      <c r="B1592" s="498"/>
      <c r="C1592" s="287"/>
      <c r="D1592" s="288"/>
      <c r="E1592" s="288"/>
      <c r="F1592" s="438"/>
      <c r="G1592" s="438"/>
      <c r="H1592" s="438"/>
      <c r="I1592" s="438"/>
      <c r="J1592" s="438"/>
    </row>
    <row r="1593" spans="1:10" x14ac:dyDescent="0.25">
      <c r="A1593" s="274"/>
      <c r="B1593" s="498"/>
      <c r="C1593" s="287"/>
      <c r="D1593" s="288"/>
      <c r="E1593" s="288"/>
      <c r="F1593" s="438"/>
      <c r="G1593" s="438"/>
      <c r="H1593" s="438"/>
      <c r="I1593" s="438"/>
      <c r="J1593" s="438"/>
    </row>
    <row r="1594" spans="1:10" x14ac:dyDescent="0.25">
      <c r="A1594" s="274"/>
      <c r="B1594" s="498"/>
      <c r="C1594" s="287"/>
      <c r="D1594" s="288"/>
      <c r="E1594" s="288"/>
      <c r="F1594" s="438"/>
      <c r="G1594" s="438"/>
      <c r="H1594" s="438"/>
      <c r="I1594" s="438"/>
      <c r="J1594" s="438"/>
    </row>
    <row r="1595" spans="1:10" x14ac:dyDescent="0.25">
      <c r="A1595" s="274"/>
      <c r="B1595" s="498"/>
      <c r="C1595" s="287"/>
      <c r="D1595" s="288"/>
      <c r="E1595" s="288"/>
      <c r="F1595" s="438"/>
      <c r="G1595" s="438"/>
      <c r="H1595" s="438"/>
      <c r="I1595" s="438"/>
      <c r="J1595" s="438"/>
    </row>
    <row r="1596" spans="1:10" x14ac:dyDescent="0.25">
      <c r="A1596" s="274"/>
      <c r="B1596" s="498"/>
      <c r="C1596" s="287"/>
      <c r="D1596" s="288"/>
      <c r="E1596" s="288"/>
      <c r="F1596" s="438"/>
      <c r="G1596" s="438"/>
      <c r="H1596" s="438"/>
      <c r="I1596" s="438"/>
      <c r="J1596" s="438"/>
    </row>
    <row r="1597" spans="1:10" x14ac:dyDescent="0.25">
      <c r="A1597" s="274"/>
      <c r="B1597" s="498"/>
      <c r="C1597" s="287"/>
      <c r="D1597" s="288"/>
      <c r="E1597" s="288"/>
      <c r="F1597" s="438"/>
      <c r="G1597" s="438"/>
      <c r="H1597" s="438"/>
      <c r="I1597" s="438"/>
      <c r="J1597" s="438"/>
    </row>
    <row r="1598" spans="1:10" x14ac:dyDescent="0.25">
      <c r="A1598" s="274"/>
      <c r="B1598" s="498"/>
      <c r="C1598" s="287"/>
      <c r="D1598" s="288"/>
      <c r="E1598" s="288"/>
      <c r="F1598" s="438"/>
      <c r="G1598" s="438"/>
      <c r="H1598" s="438"/>
      <c r="I1598" s="438"/>
      <c r="J1598" s="438"/>
    </row>
    <row r="1599" spans="1:10" x14ac:dyDescent="0.25">
      <c r="A1599" s="274"/>
      <c r="B1599" s="498"/>
      <c r="C1599" s="287"/>
      <c r="D1599" s="288"/>
      <c r="E1599" s="288"/>
      <c r="F1599" s="438"/>
      <c r="G1599" s="438"/>
      <c r="H1599" s="438"/>
      <c r="I1599" s="438"/>
      <c r="J1599" s="438"/>
    </row>
    <row r="1600" spans="1:10" x14ac:dyDescent="0.25">
      <c r="A1600" s="274"/>
      <c r="B1600" s="498"/>
      <c r="C1600" s="287"/>
      <c r="D1600" s="288"/>
      <c r="E1600" s="288"/>
      <c r="F1600" s="438"/>
      <c r="G1600" s="438"/>
      <c r="H1600" s="438"/>
      <c r="I1600" s="438"/>
      <c r="J1600" s="438"/>
    </row>
    <row r="1601" spans="1:10" x14ac:dyDescent="0.25">
      <c r="A1601" s="274"/>
      <c r="B1601" s="498"/>
      <c r="C1601" s="287"/>
      <c r="D1601" s="288"/>
      <c r="E1601" s="288"/>
      <c r="F1601" s="438"/>
      <c r="G1601" s="438"/>
      <c r="H1601" s="438"/>
      <c r="I1601" s="438"/>
      <c r="J1601" s="438"/>
    </row>
    <row r="1602" spans="1:10" x14ac:dyDescent="0.25">
      <c r="A1602" s="274"/>
      <c r="B1602" s="498"/>
      <c r="C1602" s="287"/>
      <c r="D1602" s="288"/>
      <c r="E1602" s="288"/>
      <c r="F1602" s="438"/>
      <c r="G1602" s="438"/>
      <c r="H1602" s="438"/>
      <c r="I1602" s="438"/>
      <c r="J1602" s="438"/>
    </row>
    <row r="1603" spans="1:10" x14ac:dyDescent="0.25">
      <c r="A1603" s="274"/>
      <c r="B1603" s="498"/>
      <c r="C1603" s="287"/>
      <c r="D1603" s="288"/>
      <c r="E1603" s="288"/>
      <c r="F1603" s="438"/>
      <c r="G1603" s="438"/>
      <c r="H1603" s="438"/>
      <c r="I1603" s="438"/>
      <c r="J1603" s="438"/>
    </row>
    <row r="1604" spans="1:10" x14ac:dyDescent="0.25">
      <c r="A1604" s="274"/>
      <c r="B1604" s="498"/>
      <c r="C1604" s="287"/>
      <c r="D1604" s="288"/>
      <c r="E1604" s="288"/>
      <c r="F1604" s="438"/>
      <c r="G1604" s="438"/>
      <c r="H1604" s="438"/>
      <c r="I1604" s="438"/>
      <c r="J1604" s="438"/>
    </row>
    <row r="1605" spans="1:10" x14ac:dyDescent="0.25">
      <c r="A1605" s="274"/>
      <c r="B1605" s="498"/>
      <c r="C1605" s="287"/>
      <c r="D1605" s="288"/>
      <c r="E1605" s="288"/>
      <c r="F1605" s="438"/>
      <c r="G1605" s="438"/>
      <c r="H1605" s="438"/>
      <c r="I1605" s="438"/>
      <c r="J1605" s="438"/>
    </row>
    <row r="1606" spans="1:10" x14ac:dyDescent="0.25">
      <c r="A1606" s="274"/>
      <c r="B1606" s="498"/>
      <c r="C1606" s="287"/>
      <c r="D1606" s="288"/>
      <c r="E1606" s="288"/>
      <c r="F1606" s="438"/>
      <c r="G1606" s="438"/>
      <c r="H1606" s="438"/>
      <c r="I1606" s="438"/>
      <c r="J1606" s="438"/>
    </row>
    <row r="1607" spans="1:10" x14ac:dyDescent="0.25">
      <c r="A1607" s="274"/>
      <c r="B1607" s="498"/>
      <c r="C1607" s="287"/>
      <c r="D1607" s="288"/>
      <c r="E1607" s="288"/>
      <c r="F1607" s="438"/>
      <c r="G1607" s="438"/>
      <c r="H1607" s="438"/>
      <c r="I1607" s="438"/>
      <c r="J1607" s="438"/>
    </row>
    <row r="1608" spans="1:10" x14ac:dyDescent="0.25">
      <c r="A1608" s="274"/>
      <c r="B1608" s="498"/>
      <c r="C1608" s="287"/>
      <c r="D1608" s="288"/>
      <c r="E1608" s="288"/>
      <c r="F1608" s="438"/>
      <c r="G1608" s="438"/>
      <c r="H1608" s="438"/>
      <c r="I1608" s="438"/>
      <c r="J1608" s="438"/>
    </row>
    <row r="1609" spans="1:10" x14ac:dyDescent="0.25">
      <c r="A1609" s="274"/>
      <c r="B1609" s="498"/>
      <c r="C1609" s="287"/>
      <c r="D1609" s="288"/>
      <c r="E1609" s="288"/>
      <c r="F1609" s="438"/>
      <c r="G1609" s="438"/>
      <c r="H1609" s="438"/>
      <c r="I1609" s="438"/>
      <c r="J1609" s="438"/>
    </row>
    <row r="1610" spans="1:10" x14ac:dyDescent="0.25">
      <c r="A1610" s="274"/>
      <c r="B1610" s="498"/>
      <c r="C1610" s="287"/>
      <c r="D1610" s="288"/>
      <c r="E1610" s="288"/>
      <c r="F1610" s="438"/>
      <c r="G1610" s="438"/>
      <c r="H1610" s="438"/>
      <c r="I1610" s="438"/>
      <c r="J1610" s="438"/>
    </row>
    <row r="1611" spans="1:10" x14ac:dyDescent="0.25">
      <c r="A1611" s="274"/>
      <c r="B1611" s="498"/>
      <c r="C1611" s="287"/>
      <c r="D1611" s="288"/>
      <c r="E1611" s="288"/>
      <c r="F1611" s="438"/>
      <c r="G1611" s="438"/>
      <c r="H1611" s="438"/>
      <c r="I1611" s="438"/>
      <c r="J1611" s="438"/>
    </row>
    <row r="1612" spans="1:10" x14ac:dyDescent="0.25">
      <c r="A1612" s="274"/>
      <c r="B1612" s="498"/>
      <c r="C1612" s="287"/>
      <c r="D1612" s="288"/>
      <c r="E1612" s="288"/>
      <c r="F1612" s="438"/>
      <c r="G1612" s="438"/>
      <c r="H1612" s="438"/>
      <c r="I1612" s="438"/>
      <c r="J1612" s="438"/>
    </row>
    <row r="1613" spans="1:10" x14ac:dyDescent="0.25">
      <c r="A1613" s="274"/>
      <c r="B1613" s="498"/>
      <c r="C1613" s="287"/>
      <c r="D1613" s="288"/>
      <c r="E1613" s="288"/>
      <c r="F1613" s="438"/>
      <c r="G1613" s="438"/>
      <c r="H1613" s="438"/>
      <c r="I1613" s="438"/>
      <c r="J1613" s="438"/>
    </row>
    <row r="1614" spans="1:10" x14ac:dyDescent="0.25">
      <c r="A1614" s="274"/>
      <c r="B1614" s="498"/>
      <c r="C1614" s="287"/>
      <c r="D1614" s="288"/>
      <c r="E1614" s="288"/>
      <c r="F1614" s="438"/>
      <c r="G1614" s="438"/>
      <c r="H1614" s="438"/>
      <c r="I1614" s="438"/>
      <c r="J1614" s="438"/>
    </row>
    <row r="1615" spans="1:10" x14ac:dyDescent="0.25">
      <c r="A1615" s="274"/>
      <c r="B1615" s="498"/>
      <c r="C1615" s="287"/>
      <c r="D1615" s="288"/>
      <c r="E1615" s="288"/>
      <c r="F1615" s="438"/>
      <c r="G1615" s="438"/>
      <c r="H1615" s="438"/>
      <c r="I1615" s="438"/>
      <c r="J1615" s="438"/>
    </row>
    <row r="1616" spans="1:10" x14ac:dyDescent="0.25">
      <c r="A1616" s="274"/>
      <c r="B1616" s="498"/>
      <c r="C1616" s="287"/>
      <c r="D1616" s="288"/>
      <c r="E1616" s="288"/>
      <c r="F1616" s="438"/>
      <c r="G1616" s="438"/>
      <c r="H1616" s="438"/>
      <c r="I1616" s="438"/>
      <c r="J1616" s="438"/>
    </row>
    <row r="1617" spans="1:10" x14ac:dyDescent="0.25">
      <c r="A1617" s="274"/>
      <c r="B1617" s="498"/>
      <c r="C1617" s="287"/>
      <c r="D1617" s="288"/>
      <c r="E1617" s="288"/>
      <c r="F1617" s="438"/>
      <c r="G1617" s="438"/>
      <c r="H1617" s="438"/>
      <c r="I1617" s="438"/>
      <c r="J1617" s="438"/>
    </row>
    <row r="1618" spans="1:10" x14ac:dyDescent="0.25">
      <c r="A1618" s="274"/>
      <c r="B1618" s="498"/>
      <c r="C1618" s="287"/>
      <c r="D1618" s="288"/>
      <c r="E1618" s="288"/>
      <c r="F1618" s="438"/>
      <c r="G1618" s="438"/>
      <c r="H1618" s="438"/>
      <c r="I1618" s="438"/>
      <c r="J1618" s="438"/>
    </row>
    <row r="1619" spans="1:10" x14ac:dyDescent="0.25">
      <c r="A1619" s="274"/>
      <c r="B1619" s="498"/>
      <c r="C1619" s="287"/>
      <c r="D1619" s="288"/>
      <c r="E1619" s="288"/>
      <c r="F1619" s="438"/>
      <c r="G1619" s="438"/>
      <c r="H1619" s="438"/>
      <c r="I1619" s="438"/>
      <c r="J1619" s="438"/>
    </row>
    <row r="1620" spans="1:10" x14ac:dyDescent="0.25">
      <c r="A1620" s="274"/>
      <c r="B1620" s="498"/>
      <c r="C1620" s="287"/>
      <c r="D1620" s="288"/>
      <c r="E1620" s="288"/>
      <c r="F1620" s="438"/>
      <c r="G1620" s="438"/>
      <c r="H1620" s="438"/>
      <c r="I1620" s="438"/>
      <c r="J1620" s="438"/>
    </row>
    <row r="1621" spans="1:10" x14ac:dyDescent="0.25">
      <c r="A1621" s="274"/>
      <c r="B1621" s="498"/>
      <c r="C1621" s="287"/>
      <c r="D1621" s="288"/>
      <c r="E1621" s="288"/>
      <c r="F1621" s="438"/>
      <c r="G1621" s="438"/>
      <c r="H1621" s="438"/>
      <c r="I1621" s="438"/>
      <c r="J1621" s="438"/>
    </row>
    <row r="1622" spans="1:10" x14ac:dyDescent="0.25">
      <c r="A1622" s="274"/>
      <c r="B1622" s="498"/>
      <c r="C1622" s="287"/>
      <c r="D1622" s="288"/>
      <c r="E1622" s="288"/>
      <c r="F1622" s="438"/>
      <c r="G1622" s="438"/>
      <c r="H1622" s="438"/>
      <c r="I1622" s="438"/>
      <c r="J1622" s="438"/>
    </row>
    <row r="1623" spans="1:10" x14ac:dyDescent="0.25">
      <c r="A1623" s="274"/>
      <c r="B1623" s="498"/>
      <c r="C1623" s="287"/>
      <c r="D1623" s="288"/>
      <c r="E1623" s="288"/>
      <c r="F1623" s="438"/>
      <c r="G1623" s="438"/>
      <c r="H1623" s="438"/>
      <c r="I1623" s="438"/>
      <c r="J1623" s="438"/>
    </row>
    <row r="1624" spans="1:10" x14ac:dyDescent="0.25">
      <c r="A1624" s="274"/>
      <c r="B1624" s="498"/>
      <c r="C1624" s="287"/>
      <c r="D1624" s="288"/>
      <c r="E1624" s="288"/>
      <c r="F1624" s="438"/>
      <c r="G1624" s="438"/>
      <c r="H1624" s="438"/>
      <c r="I1624" s="438"/>
      <c r="J1624" s="438"/>
    </row>
    <row r="1625" spans="1:10" x14ac:dyDescent="0.25">
      <c r="A1625" s="274"/>
      <c r="B1625" s="498"/>
      <c r="C1625" s="287"/>
      <c r="D1625" s="288"/>
      <c r="E1625" s="288"/>
      <c r="F1625" s="438"/>
      <c r="G1625" s="438"/>
      <c r="H1625" s="438"/>
      <c r="I1625" s="438"/>
      <c r="J1625" s="438"/>
    </row>
    <row r="1626" spans="1:10" x14ac:dyDescent="0.25">
      <c r="A1626" s="274"/>
      <c r="B1626" s="498"/>
      <c r="C1626" s="287"/>
      <c r="D1626" s="288"/>
      <c r="E1626" s="288"/>
      <c r="F1626" s="438"/>
      <c r="G1626" s="438"/>
      <c r="H1626" s="438"/>
      <c r="I1626" s="438"/>
      <c r="J1626" s="438"/>
    </row>
    <row r="1627" spans="1:10" x14ac:dyDescent="0.25">
      <c r="A1627" s="274"/>
      <c r="B1627" s="498"/>
      <c r="C1627" s="287"/>
      <c r="D1627" s="288"/>
      <c r="E1627" s="288"/>
      <c r="F1627" s="438"/>
      <c r="G1627" s="438"/>
      <c r="H1627" s="438"/>
      <c r="I1627" s="438"/>
      <c r="J1627" s="438"/>
    </row>
    <row r="1628" spans="1:10" x14ac:dyDescent="0.25">
      <c r="A1628" s="274"/>
      <c r="B1628" s="498"/>
      <c r="C1628" s="287"/>
      <c r="D1628" s="288"/>
      <c r="E1628" s="288"/>
      <c r="F1628" s="438"/>
      <c r="G1628" s="438"/>
      <c r="H1628" s="438"/>
      <c r="I1628" s="438"/>
      <c r="J1628" s="438"/>
    </row>
    <row r="1629" spans="1:10" x14ac:dyDescent="0.25">
      <c r="A1629" s="274"/>
      <c r="B1629" s="498"/>
      <c r="C1629" s="287"/>
      <c r="D1629" s="288"/>
      <c r="E1629" s="288"/>
      <c r="F1629" s="438"/>
      <c r="G1629" s="438"/>
      <c r="H1629" s="438"/>
      <c r="I1629" s="438"/>
      <c r="J1629" s="438"/>
    </row>
    <row r="1630" spans="1:10" x14ac:dyDescent="0.25">
      <c r="A1630" s="274"/>
      <c r="B1630" s="498"/>
      <c r="C1630" s="287"/>
      <c r="D1630" s="288"/>
      <c r="E1630" s="288"/>
      <c r="F1630" s="438"/>
      <c r="G1630" s="438"/>
      <c r="H1630" s="438"/>
      <c r="I1630" s="438"/>
      <c r="J1630" s="438"/>
    </row>
    <row r="1631" spans="1:10" x14ac:dyDescent="0.25">
      <c r="A1631" s="274"/>
      <c r="B1631" s="498"/>
      <c r="C1631" s="287"/>
      <c r="D1631" s="288"/>
      <c r="E1631" s="288"/>
      <c r="F1631" s="438"/>
      <c r="G1631" s="438"/>
      <c r="H1631" s="438"/>
      <c r="I1631" s="438"/>
      <c r="J1631" s="438"/>
    </row>
    <row r="1632" spans="1:10" x14ac:dyDescent="0.25">
      <c r="A1632" s="274"/>
      <c r="B1632" s="498"/>
      <c r="C1632" s="287"/>
      <c r="D1632" s="288"/>
      <c r="E1632" s="288"/>
      <c r="F1632" s="438"/>
      <c r="G1632" s="438"/>
      <c r="H1632" s="438"/>
      <c r="I1632" s="438"/>
      <c r="J1632" s="438"/>
    </row>
    <row r="1633" spans="1:10" x14ac:dyDescent="0.25">
      <c r="A1633" s="274"/>
      <c r="B1633" s="498"/>
      <c r="C1633" s="287"/>
      <c r="D1633" s="288"/>
      <c r="E1633" s="288"/>
      <c r="F1633" s="438"/>
      <c r="G1633" s="438"/>
      <c r="H1633" s="438"/>
      <c r="I1633" s="438"/>
      <c r="J1633" s="438"/>
    </row>
    <row r="1634" spans="1:10" x14ac:dyDescent="0.25">
      <c r="A1634" s="274"/>
      <c r="B1634" s="498"/>
      <c r="C1634" s="287"/>
      <c r="D1634" s="288"/>
      <c r="E1634" s="288"/>
      <c r="F1634" s="438"/>
      <c r="G1634" s="438"/>
      <c r="H1634" s="438"/>
      <c r="I1634" s="438"/>
      <c r="J1634" s="438"/>
    </row>
    <row r="1635" spans="1:10" x14ac:dyDescent="0.25">
      <c r="A1635" s="274"/>
      <c r="B1635" s="498"/>
      <c r="C1635" s="287"/>
      <c r="D1635" s="288"/>
      <c r="E1635" s="288"/>
      <c r="F1635" s="438"/>
      <c r="G1635" s="438"/>
      <c r="H1635" s="438"/>
      <c r="I1635" s="438"/>
      <c r="J1635" s="438"/>
    </row>
    <row r="1636" spans="1:10" x14ac:dyDescent="0.25">
      <c r="A1636" s="274"/>
      <c r="B1636" s="498"/>
      <c r="C1636" s="287"/>
      <c r="D1636" s="288"/>
      <c r="E1636" s="288"/>
      <c r="F1636" s="438"/>
      <c r="G1636" s="438"/>
      <c r="H1636" s="438"/>
      <c r="I1636" s="438"/>
      <c r="J1636" s="438"/>
    </row>
    <row r="1637" spans="1:10" x14ac:dyDescent="0.25">
      <c r="A1637" s="274"/>
      <c r="B1637" s="498"/>
      <c r="C1637" s="287"/>
      <c r="D1637" s="288"/>
      <c r="E1637" s="288"/>
      <c r="F1637" s="438"/>
      <c r="G1637" s="438"/>
      <c r="H1637" s="438"/>
      <c r="I1637" s="438"/>
      <c r="J1637" s="438"/>
    </row>
    <row r="1638" spans="1:10" x14ac:dyDescent="0.25">
      <c r="A1638" s="274"/>
      <c r="B1638" s="498"/>
      <c r="C1638" s="287"/>
      <c r="D1638" s="288"/>
      <c r="E1638" s="288"/>
      <c r="F1638" s="438"/>
      <c r="G1638" s="438"/>
      <c r="H1638" s="438"/>
      <c r="I1638" s="438"/>
      <c r="J1638" s="438"/>
    </row>
    <row r="1639" spans="1:10" x14ac:dyDescent="0.25">
      <c r="A1639" s="274"/>
      <c r="B1639" s="498"/>
      <c r="C1639" s="287"/>
      <c r="D1639" s="288"/>
      <c r="E1639" s="288"/>
      <c r="F1639" s="438"/>
      <c r="G1639" s="438"/>
      <c r="H1639" s="438"/>
      <c r="I1639" s="438"/>
      <c r="J1639" s="438"/>
    </row>
    <row r="1640" spans="1:10" x14ac:dyDescent="0.25">
      <c r="A1640" s="274"/>
      <c r="B1640" s="498"/>
      <c r="C1640" s="287"/>
      <c r="D1640" s="288"/>
      <c r="E1640" s="288"/>
      <c r="F1640" s="438"/>
      <c r="G1640" s="438"/>
      <c r="H1640" s="438"/>
      <c r="I1640" s="438"/>
      <c r="J1640" s="438"/>
    </row>
    <row r="1641" spans="1:10" x14ac:dyDescent="0.25">
      <c r="A1641" s="274"/>
      <c r="B1641" s="498"/>
      <c r="C1641" s="287"/>
      <c r="D1641" s="288"/>
      <c r="E1641" s="288"/>
      <c r="F1641" s="438"/>
      <c r="G1641" s="438"/>
      <c r="H1641" s="438"/>
      <c r="I1641" s="438"/>
      <c r="J1641" s="438"/>
    </row>
    <row r="1642" spans="1:10" x14ac:dyDescent="0.25">
      <c r="A1642" s="274"/>
      <c r="B1642" s="498"/>
      <c r="C1642" s="287"/>
      <c r="D1642" s="288"/>
      <c r="E1642" s="288"/>
      <c r="F1642" s="438"/>
      <c r="G1642" s="438"/>
      <c r="H1642" s="438"/>
      <c r="I1642" s="438"/>
      <c r="J1642" s="438"/>
    </row>
    <row r="1643" spans="1:10" x14ac:dyDescent="0.25">
      <c r="A1643" s="274"/>
      <c r="B1643" s="498"/>
      <c r="C1643" s="287"/>
      <c r="D1643" s="288"/>
      <c r="E1643" s="288"/>
      <c r="F1643" s="438"/>
      <c r="G1643" s="438"/>
      <c r="H1643" s="438"/>
      <c r="I1643" s="438"/>
      <c r="J1643" s="438"/>
    </row>
    <row r="1644" spans="1:10" x14ac:dyDescent="0.25">
      <c r="A1644" s="274"/>
      <c r="B1644" s="498"/>
      <c r="C1644" s="287"/>
      <c r="D1644" s="288"/>
      <c r="E1644" s="288"/>
      <c r="F1644" s="438"/>
      <c r="G1644" s="438"/>
      <c r="H1644" s="438"/>
      <c r="I1644" s="438"/>
      <c r="J1644" s="438"/>
    </row>
    <row r="1645" spans="1:10" x14ac:dyDescent="0.25">
      <c r="A1645" s="274"/>
      <c r="B1645" s="498"/>
      <c r="C1645" s="287"/>
      <c r="D1645" s="288"/>
      <c r="E1645" s="288"/>
      <c r="F1645" s="438"/>
      <c r="G1645" s="438"/>
      <c r="H1645" s="438"/>
      <c r="I1645" s="438"/>
      <c r="J1645" s="438"/>
    </row>
    <row r="1646" spans="1:10" x14ac:dyDescent="0.25">
      <c r="A1646" s="274"/>
      <c r="B1646" s="498"/>
      <c r="C1646" s="287"/>
      <c r="D1646" s="288"/>
      <c r="E1646" s="288"/>
      <c r="F1646" s="438"/>
      <c r="G1646" s="438"/>
      <c r="H1646" s="438"/>
      <c r="I1646" s="438"/>
      <c r="J1646" s="438"/>
    </row>
    <row r="1647" spans="1:10" x14ac:dyDescent="0.25">
      <c r="A1647" s="274"/>
      <c r="B1647" s="498"/>
      <c r="C1647" s="287"/>
      <c r="D1647" s="288"/>
      <c r="E1647" s="288"/>
      <c r="F1647" s="438"/>
      <c r="G1647" s="438"/>
      <c r="H1647" s="438"/>
      <c r="I1647" s="438"/>
      <c r="J1647" s="438"/>
    </row>
    <row r="1648" spans="1:10" x14ac:dyDescent="0.25">
      <c r="A1648" s="274"/>
      <c r="B1648" s="498"/>
      <c r="C1648" s="287"/>
      <c r="D1648" s="288"/>
      <c r="E1648" s="288"/>
      <c r="F1648" s="438"/>
      <c r="G1648" s="438"/>
      <c r="H1648" s="438"/>
      <c r="I1648" s="438"/>
      <c r="J1648" s="438"/>
    </row>
    <row r="1649" spans="1:10" x14ac:dyDescent="0.25">
      <c r="A1649" s="274"/>
      <c r="B1649" s="498"/>
      <c r="C1649" s="287"/>
      <c r="D1649" s="288"/>
      <c r="E1649" s="288"/>
      <c r="F1649" s="438"/>
      <c r="G1649" s="438"/>
      <c r="H1649" s="438"/>
      <c r="I1649" s="438"/>
      <c r="J1649" s="438"/>
    </row>
    <row r="1650" spans="1:10" x14ac:dyDescent="0.25">
      <c r="A1650" s="274"/>
      <c r="B1650" s="498"/>
      <c r="C1650" s="287"/>
      <c r="D1650" s="288"/>
      <c r="E1650" s="288"/>
      <c r="F1650" s="438"/>
      <c r="G1650" s="438"/>
      <c r="H1650" s="438"/>
      <c r="I1650" s="438"/>
      <c r="J1650" s="438"/>
    </row>
    <row r="1651" spans="1:10" x14ac:dyDescent="0.25">
      <c r="A1651" s="274"/>
      <c r="B1651" s="498"/>
      <c r="C1651" s="287"/>
      <c r="D1651" s="288"/>
      <c r="E1651" s="288"/>
      <c r="F1651" s="438"/>
      <c r="G1651" s="438"/>
      <c r="H1651" s="438"/>
      <c r="I1651" s="438"/>
      <c r="J1651" s="438"/>
    </row>
    <row r="1652" spans="1:10" x14ac:dyDescent="0.25">
      <c r="A1652" s="274"/>
      <c r="B1652" s="498"/>
      <c r="C1652" s="287"/>
      <c r="D1652" s="288"/>
      <c r="E1652" s="288"/>
      <c r="F1652" s="438"/>
      <c r="G1652" s="438"/>
      <c r="H1652" s="438"/>
      <c r="I1652" s="438"/>
      <c r="J1652" s="438"/>
    </row>
    <row r="1653" spans="1:10" x14ac:dyDescent="0.25">
      <c r="A1653" s="274"/>
      <c r="B1653" s="498"/>
      <c r="C1653" s="287"/>
      <c r="D1653" s="288"/>
      <c r="E1653" s="288"/>
      <c r="F1653" s="438"/>
      <c r="G1653" s="438"/>
      <c r="H1653" s="438"/>
      <c r="I1653" s="438"/>
      <c r="J1653" s="438"/>
    </row>
    <row r="1654" spans="1:10" x14ac:dyDescent="0.25">
      <c r="A1654" s="274"/>
      <c r="B1654" s="498"/>
      <c r="C1654" s="287"/>
      <c r="D1654" s="288"/>
      <c r="E1654" s="288"/>
      <c r="F1654" s="438"/>
      <c r="G1654" s="438"/>
      <c r="H1654" s="438"/>
      <c r="I1654" s="438"/>
      <c r="J1654" s="438"/>
    </row>
    <row r="1655" spans="1:10" x14ac:dyDescent="0.25">
      <c r="A1655" s="274"/>
      <c r="B1655" s="498"/>
      <c r="C1655" s="287"/>
      <c r="D1655" s="288"/>
      <c r="E1655" s="288"/>
      <c r="F1655" s="438"/>
      <c r="G1655" s="438"/>
      <c r="H1655" s="438"/>
      <c r="I1655" s="438"/>
      <c r="J1655" s="438"/>
    </row>
    <row r="1656" spans="1:10" x14ac:dyDescent="0.25">
      <c r="A1656" s="274"/>
      <c r="B1656" s="498"/>
      <c r="C1656" s="287"/>
      <c r="D1656" s="288"/>
      <c r="E1656" s="288"/>
      <c r="F1656" s="438"/>
      <c r="G1656" s="438"/>
      <c r="H1656" s="438"/>
      <c r="I1656" s="438"/>
      <c r="J1656" s="438"/>
    </row>
    <row r="1657" spans="1:10" x14ac:dyDescent="0.25">
      <c r="A1657" s="274"/>
      <c r="B1657" s="498"/>
      <c r="C1657" s="287"/>
      <c r="D1657" s="288"/>
      <c r="E1657" s="288"/>
      <c r="F1657" s="438"/>
      <c r="G1657" s="438"/>
      <c r="H1657" s="438"/>
      <c r="I1657" s="438"/>
      <c r="J1657" s="438"/>
    </row>
    <row r="1658" spans="1:10" x14ac:dyDescent="0.25">
      <c r="A1658" s="274"/>
      <c r="B1658" s="498"/>
      <c r="C1658" s="287"/>
      <c r="D1658" s="288"/>
      <c r="E1658" s="288"/>
      <c r="F1658" s="438"/>
      <c r="G1658" s="438"/>
      <c r="H1658" s="438"/>
      <c r="I1658" s="438"/>
      <c r="J1658" s="438"/>
    </row>
    <row r="1659" spans="1:10" x14ac:dyDescent="0.25">
      <c r="A1659" s="274"/>
      <c r="B1659" s="498"/>
      <c r="C1659" s="287"/>
      <c r="D1659" s="288"/>
      <c r="E1659" s="288"/>
      <c r="F1659" s="438"/>
      <c r="G1659" s="438"/>
      <c r="H1659" s="438"/>
      <c r="I1659" s="438"/>
      <c r="J1659" s="438"/>
    </row>
    <row r="1660" spans="1:10" x14ac:dyDescent="0.25">
      <c r="A1660" s="274"/>
      <c r="B1660" s="498"/>
      <c r="C1660" s="287"/>
      <c r="D1660" s="288"/>
      <c r="E1660" s="288"/>
      <c r="F1660" s="438"/>
      <c r="G1660" s="438"/>
      <c r="H1660" s="438"/>
      <c r="I1660" s="438"/>
      <c r="J1660" s="438"/>
    </row>
    <row r="1661" spans="1:10" x14ac:dyDescent="0.25">
      <c r="A1661" s="274"/>
      <c r="B1661" s="498"/>
      <c r="C1661" s="287"/>
      <c r="D1661" s="288"/>
      <c r="E1661" s="288"/>
      <c r="F1661" s="438"/>
      <c r="G1661" s="438"/>
      <c r="H1661" s="438"/>
      <c r="I1661" s="438"/>
      <c r="J1661" s="438"/>
    </row>
    <row r="1662" spans="1:10" x14ac:dyDescent="0.25">
      <c r="A1662" s="274"/>
      <c r="B1662" s="498"/>
      <c r="C1662" s="287"/>
      <c r="D1662" s="288"/>
      <c r="E1662" s="288"/>
      <c r="F1662" s="438"/>
      <c r="G1662" s="438"/>
      <c r="H1662" s="438"/>
      <c r="I1662" s="438"/>
      <c r="J1662" s="438"/>
    </row>
    <row r="1663" spans="1:10" x14ac:dyDescent="0.25">
      <c r="A1663" s="274"/>
      <c r="B1663" s="498"/>
      <c r="C1663" s="287"/>
      <c r="D1663" s="288"/>
      <c r="E1663" s="288"/>
      <c r="F1663" s="438"/>
      <c r="G1663" s="438"/>
      <c r="H1663" s="438"/>
      <c r="I1663" s="438"/>
      <c r="J1663" s="438"/>
    </row>
    <row r="1664" spans="1:10" x14ac:dyDescent="0.25">
      <c r="A1664" s="274"/>
      <c r="B1664" s="498"/>
      <c r="C1664" s="287"/>
      <c r="D1664" s="288"/>
      <c r="E1664" s="288"/>
      <c r="F1664" s="438"/>
      <c r="G1664" s="438"/>
      <c r="H1664" s="438"/>
      <c r="I1664" s="438"/>
      <c r="J1664" s="438"/>
    </row>
    <row r="1665" spans="1:10" x14ac:dyDescent="0.25">
      <c r="A1665" s="274"/>
      <c r="B1665" s="498"/>
      <c r="C1665" s="287"/>
      <c r="D1665" s="288"/>
      <c r="E1665" s="288"/>
      <c r="F1665" s="438"/>
      <c r="G1665" s="438"/>
      <c r="H1665" s="438"/>
      <c r="I1665" s="438"/>
      <c r="J1665" s="438"/>
    </row>
    <row r="1666" spans="1:10" x14ac:dyDescent="0.25">
      <c r="A1666" s="274"/>
      <c r="B1666" s="498"/>
      <c r="C1666" s="287"/>
      <c r="D1666" s="288"/>
      <c r="E1666" s="288"/>
      <c r="F1666" s="438"/>
      <c r="G1666" s="438"/>
      <c r="H1666" s="438"/>
      <c r="I1666" s="438"/>
      <c r="J1666" s="438"/>
    </row>
    <row r="1667" spans="1:10" x14ac:dyDescent="0.25">
      <c r="A1667" s="274"/>
      <c r="B1667" s="498"/>
      <c r="C1667" s="287"/>
      <c r="D1667" s="288"/>
      <c r="E1667" s="288"/>
      <c r="F1667" s="438"/>
      <c r="G1667" s="438"/>
      <c r="H1667" s="438"/>
      <c r="I1667" s="438"/>
      <c r="J1667" s="438"/>
    </row>
    <row r="1668" spans="1:10" x14ac:dyDescent="0.25">
      <c r="A1668" s="274"/>
      <c r="B1668" s="498"/>
      <c r="C1668" s="287"/>
      <c r="D1668" s="288"/>
      <c r="E1668" s="288"/>
      <c r="F1668" s="438"/>
      <c r="G1668" s="438"/>
      <c r="H1668" s="438"/>
      <c r="I1668" s="438"/>
      <c r="J1668" s="438"/>
    </row>
    <row r="1669" spans="1:10" x14ac:dyDescent="0.25">
      <c r="A1669" s="274"/>
      <c r="B1669" s="498"/>
      <c r="C1669" s="287"/>
      <c r="D1669" s="288"/>
      <c r="E1669" s="288"/>
      <c r="F1669" s="438"/>
      <c r="G1669" s="438"/>
      <c r="H1669" s="438"/>
      <c r="I1669" s="438"/>
      <c r="J1669" s="438"/>
    </row>
    <row r="1670" spans="1:10" x14ac:dyDescent="0.25">
      <c r="A1670" s="274"/>
      <c r="B1670" s="498"/>
      <c r="C1670" s="287"/>
      <c r="D1670" s="288"/>
      <c r="E1670" s="288"/>
      <c r="F1670" s="438"/>
      <c r="G1670" s="438"/>
      <c r="H1670" s="438"/>
      <c r="I1670" s="438"/>
      <c r="J1670" s="438"/>
    </row>
    <row r="1671" spans="1:10" x14ac:dyDescent="0.25">
      <c r="A1671" s="274"/>
      <c r="B1671" s="498"/>
      <c r="C1671" s="287"/>
      <c r="D1671" s="288"/>
      <c r="E1671" s="288"/>
      <c r="F1671" s="438"/>
      <c r="G1671" s="438"/>
      <c r="H1671" s="438"/>
      <c r="I1671" s="438"/>
      <c r="J1671" s="438"/>
    </row>
    <row r="1672" spans="1:10" x14ac:dyDescent="0.25">
      <c r="A1672" s="274"/>
      <c r="B1672" s="498"/>
      <c r="C1672" s="287"/>
      <c r="D1672" s="288"/>
      <c r="E1672" s="288"/>
      <c r="F1672" s="438"/>
      <c r="G1672" s="438"/>
      <c r="H1672" s="438"/>
      <c r="I1672" s="438"/>
      <c r="J1672" s="438"/>
    </row>
    <row r="1673" spans="1:10" x14ac:dyDescent="0.25">
      <c r="A1673" s="274"/>
      <c r="B1673" s="498"/>
      <c r="C1673" s="287"/>
      <c r="D1673" s="288"/>
      <c r="E1673" s="288"/>
      <c r="F1673" s="438"/>
      <c r="G1673" s="438"/>
      <c r="H1673" s="438"/>
      <c r="I1673" s="438"/>
      <c r="J1673" s="438"/>
    </row>
    <row r="1674" spans="1:10" x14ac:dyDescent="0.25">
      <c r="A1674" s="274"/>
      <c r="B1674" s="498"/>
      <c r="C1674" s="287"/>
      <c r="D1674" s="288"/>
      <c r="E1674" s="288"/>
      <c r="F1674" s="438"/>
      <c r="G1674" s="438"/>
      <c r="H1674" s="438"/>
      <c r="I1674" s="438"/>
      <c r="J1674" s="438"/>
    </row>
    <row r="1675" spans="1:10" x14ac:dyDescent="0.25">
      <c r="A1675" s="274"/>
      <c r="B1675" s="498"/>
      <c r="C1675" s="287"/>
      <c r="D1675" s="288"/>
      <c r="E1675" s="288"/>
      <c r="F1675" s="438"/>
      <c r="G1675" s="438"/>
      <c r="H1675" s="438"/>
      <c r="I1675" s="438"/>
      <c r="J1675" s="438"/>
    </row>
    <row r="1676" spans="1:10" x14ac:dyDescent="0.25">
      <c r="A1676" s="274"/>
      <c r="B1676" s="498"/>
      <c r="C1676" s="287"/>
      <c r="D1676" s="288"/>
      <c r="E1676" s="288"/>
      <c r="F1676" s="438"/>
      <c r="G1676" s="438"/>
      <c r="H1676" s="438"/>
      <c r="I1676" s="438"/>
      <c r="J1676" s="438"/>
    </row>
    <row r="1677" spans="1:10" x14ac:dyDescent="0.25">
      <c r="A1677" s="274"/>
      <c r="B1677" s="498"/>
      <c r="C1677" s="287"/>
      <c r="D1677" s="288"/>
      <c r="E1677" s="288"/>
      <c r="F1677" s="438"/>
      <c r="G1677" s="438"/>
      <c r="H1677" s="438"/>
      <c r="I1677" s="438"/>
      <c r="J1677" s="438"/>
    </row>
    <row r="1678" spans="1:10" x14ac:dyDescent="0.25">
      <c r="A1678" s="274"/>
      <c r="B1678" s="498"/>
      <c r="C1678" s="287"/>
      <c r="D1678" s="288"/>
      <c r="E1678" s="288"/>
      <c r="F1678" s="438"/>
      <c r="G1678" s="438"/>
      <c r="H1678" s="438"/>
      <c r="I1678" s="438"/>
      <c r="J1678" s="438"/>
    </row>
    <row r="1679" spans="1:10" x14ac:dyDescent="0.25">
      <c r="A1679" s="274"/>
      <c r="B1679" s="498"/>
      <c r="C1679" s="287"/>
      <c r="D1679" s="288"/>
      <c r="E1679" s="288"/>
      <c r="F1679" s="438"/>
      <c r="G1679" s="438"/>
      <c r="H1679" s="438"/>
      <c r="I1679" s="438"/>
      <c r="J1679" s="438"/>
    </row>
    <row r="1680" spans="1:10" x14ac:dyDescent="0.25">
      <c r="A1680" s="274"/>
      <c r="B1680" s="498"/>
      <c r="C1680" s="287"/>
      <c r="D1680" s="288"/>
      <c r="E1680" s="288"/>
      <c r="F1680" s="438"/>
      <c r="G1680" s="438"/>
      <c r="H1680" s="438"/>
      <c r="I1680" s="438"/>
      <c r="J1680" s="438"/>
    </row>
    <row r="1681" spans="1:10" x14ac:dyDescent="0.25">
      <c r="A1681" s="274"/>
      <c r="B1681" s="498"/>
      <c r="C1681" s="287"/>
      <c r="D1681" s="288"/>
      <c r="E1681" s="288"/>
      <c r="F1681" s="438"/>
      <c r="G1681" s="438"/>
      <c r="H1681" s="438"/>
      <c r="I1681" s="438"/>
      <c r="J1681" s="438"/>
    </row>
    <row r="1682" spans="1:10" x14ac:dyDescent="0.25">
      <c r="A1682" s="274"/>
      <c r="B1682" s="498"/>
      <c r="C1682" s="287"/>
      <c r="D1682" s="288"/>
      <c r="E1682" s="288"/>
      <c r="F1682" s="438"/>
      <c r="G1682" s="438"/>
      <c r="H1682" s="438"/>
      <c r="I1682" s="438"/>
      <c r="J1682" s="438"/>
    </row>
    <row r="1683" spans="1:10" x14ac:dyDescent="0.25">
      <c r="A1683" s="274"/>
      <c r="B1683" s="498"/>
      <c r="C1683" s="287"/>
      <c r="D1683" s="288"/>
      <c r="E1683" s="288"/>
      <c r="F1683" s="438"/>
      <c r="G1683" s="438"/>
      <c r="H1683" s="438"/>
      <c r="I1683" s="438"/>
      <c r="J1683" s="438"/>
    </row>
    <row r="1684" spans="1:10" x14ac:dyDescent="0.25">
      <c r="A1684" s="274"/>
      <c r="B1684" s="498"/>
      <c r="C1684" s="287"/>
      <c r="D1684" s="288"/>
      <c r="E1684" s="288"/>
      <c r="F1684" s="438"/>
      <c r="G1684" s="438"/>
      <c r="H1684" s="438"/>
      <c r="I1684" s="438"/>
      <c r="J1684" s="438"/>
    </row>
    <row r="1685" spans="1:10" x14ac:dyDescent="0.25">
      <c r="A1685" s="274"/>
      <c r="B1685" s="498"/>
      <c r="C1685" s="287"/>
      <c r="D1685" s="288"/>
      <c r="E1685" s="288"/>
      <c r="F1685" s="438"/>
      <c r="G1685" s="438"/>
      <c r="H1685" s="438"/>
      <c r="I1685" s="438"/>
      <c r="J1685" s="438"/>
    </row>
    <row r="1686" spans="1:10" x14ac:dyDescent="0.25">
      <c r="A1686" s="274"/>
      <c r="B1686" s="498"/>
      <c r="C1686" s="287"/>
      <c r="D1686" s="288"/>
      <c r="E1686" s="288"/>
      <c r="F1686" s="438"/>
      <c r="G1686" s="438"/>
      <c r="H1686" s="438"/>
      <c r="I1686" s="438"/>
      <c r="J1686" s="438"/>
    </row>
    <row r="1687" spans="1:10" x14ac:dyDescent="0.25">
      <c r="A1687" s="274"/>
      <c r="B1687" s="498"/>
      <c r="C1687" s="287"/>
      <c r="D1687" s="288"/>
      <c r="E1687" s="288"/>
      <c r="F1687" s="438"/>
      <c r="G1687" s="438"/>
      <c r="H1687" s="438"/>
      <c r="I1687" s="438"/>
      <c r="J1687" s="438"/>
    </row>
    <row r="1688" spans="1:10" x14ac:dyDescent="0.25">
      <c r="A1688" s="274"/>
      <c r="B1688" s="498"/>
      <c r="C1688" s="287"/>
      <c r="D1688" s="288"/>
      <c r="E1688" s="288"/>
      <c r="F1688" s="438"/>
      <c r="G1688" s="438"/>
      <c r="H1688" s="438"/>
      <c r="I1688" s="438"/>
      <c r="J1688" s="438"/>
    </row>
    <row r="1689" spans="1:10" x14ac:dyDescent="0.25">
      <c r="A1689" s="274"/>
      <c r="B1689" s="498"/>
      <c r="C1689" s="287"/>
      <c r="D1689" s="288"/>
      <c r="E1689" s="288"/>
      <c r="F1689" s="438"/>
      <c r="G1689" s="438"/>
      <c r="H1689" s="438"/>
      <c r="I1689" s="438"/>
      <c r="J1689" s="438"/>
    </row>
    <row r="1690" spans="1:10" x14ac:dyDescent="0.25">
      <c r="A1690" s="274"/>
      <c r="B1690" s="498"/>
      <c r="C1690" s="287"/>
      <c r="D1690" s="288"/>
      <c r="E1690" s="288"/>
      <c r="F1690" s="438"/>
      <c r="G1690" s="438"/>
      <c r="H1690" s="438"/>
      <c r="I1690" s="438"/>
      <c r="J1690" s="438"/>
    </row>
    <row r="1691" spans="1:10" x14ac:dyDescent="0.25">
      <c r="A1691" s="274"/>
      <c r="B1691" s="498"/>
      <c r="C1691" s="287"/>
      <c r="D1691" s="288"/>
      <c r="E1691" s="288"/>
      <c r="F1691" s="438"/>
      <c r="G1691" s="438"/>
      <c r="H1691" s="438"/>
      <c r="I1691" s="438"/>
      <c r="J1691" s="438"/>
    </row>
    <row r="1692" spans="1:10" x14ac:dyDescent="0.25">
      <c r="A1692" s="274"/>
      <c r="B1692" s="498"/>
      <c r="C1692" s="287"/>
      <c r="D1692" s="288"/>
      <c r="E1692" s="288"/>
      <c r="F1692" s="438"/>
      <c r="G1692" s="438"/>
      <c r="H1692" s="438"/>
      <c r="I1692" s="438"/>
      <c r="J1692" s="438"/>
    </row>
    <row r="1693" spans="1:10" x14ac:dyDescent="0.25">
      <c r="A1693" s="274"/>
      <c r="B1693" s="498"/>
      <c r="C1693" s="287"/>
      <c r="D1693" s="288"/>
      <c r="E1693" s="288"/>
      <c r="F1693" s="438"/>
      <c r="G1693" s="438"/>
      <c r="H1693" s="438"/>
      <c r="I1693" s="438"/>
      <c r="J1693" s="438"/>
    </row>
    <row r="1694" spans="1:10" x14ac:dyDescent="0.25">
      <c r="A1694" s="274"/>
      <c r="B1694" s="498"/>
      <c r="C1694" s="287"/>
      <c r="D1694" s="288"/>
      <c r="E1694" s="288"/>
      <c r="F1694" s="438"/>
      <c r="G1694" s="438"/>
      <c r="H1694" s="438"/>
      <c r="I1694" s="438"/>
      <c r="J1694" s="438"/>
    </row>
    <row r="1695" spans="1:10" x14ac:dyDescent="0.25">
      <c r="A1695" s="274"/>
      <c r="B1695" s="498"/>
      <c r="C1695" s="287"/>
      <c r="D1695" s="288"/>
      <c r="E1695" s="288"/>
      <c r="F1695" s="438"/>
      <c r="G1695" s="438"/>
      <c r="H1695" s="438"/>
      <c r="I1695" s="438"/>
      <c r="J1695" s="438"/>
    </row>
    <row r="1696" spans="1:10" x14ac:dyDescent="0.25">
      <c r="A1696" s="274"/>
      <c r="B1696" s="498"/>
      <c r="C1696" s="287"/>
      <c r="D1696" s="288"/>
      <c r="E1696" s="288"/>
      <c r="F1696" s="438"/>
      <c r="G1696" s="438"/>
      <c r="H1696" s="438"/>
      <c r="I1696" s="438"/>
      <c r="J1696" s="438"/>
    </row>
    <row r="1697" spans="1:10" x14ac:dyDescent="0.25">
      <c r="A1697" s="274"/>
      <c r="B1697" s="498"/>
      <c r="C1697" s="287"/>
      <c r="D1697" s="288"/>
      <c r="E1697" s="288"/>
      <c r="F1697" s="438"/>
      <c r="G1697" s="438"/>
      <c r="H1697" s="438"/>
      <c r="I1697" s="438"/>
      <c r="J1697" s="438"/>
    </row>
    <row r="1698" spans="1:10" x14ac:dyDescent="0.25">
      <c r="A1698" s="274"/>
      <c r="B1698" s="498"/>
      <c r="C1698" s="287"/>
      <c r="D1698" s="288"/>
      <c r="E1698" s="288"/>
      <c r="F1698" s="438"/>
      <c r="G1698" s="438"/>
      <c r="H1698" s="438"/>
      <c r="I1698" s="438"/>
      <c r="J1698" s="438"/>
    </row>
    <row r="1699" spans="1:10" x14ac:dyDescent="0.25">
      <c r="A1699" s="274"/>
      <c r="B1699" s="498"/>
      <c r="C1699" s="287"/>
      <c r="D1699" s="288"/>
      <c r="E1699" s="288"/>
      <c r="F1699" s="438"/>
      <c r="G1699" s="438"/>
      <c r="H1699" s="438"/>
      <c r="I1699" s="438"/>
      <c r="J1699" s="438"/>
    </row>
    <row r="1700" spans="1:10" x14ac:dyDescent="0.25">
      <c r="A1700" s="274"/>
      <c r="B1700" s="498"/>
      <c r="C1700" s="287"/>
      <c r="D1700" s="288"/>
      <c r="E1700" s="288"/>
      <c r="F1700" s="438"/>
      <c r="G1700" s="438"/>
      <c r="H1700" s="438"/>
      <c r="I1700" s="438"/>
      <c r="J1700" s="438"/>
    </row>
    <row r="1701" spans="1:10" x14ac:dyDescent="0.25">
      <c r="A1701" s="274"/>
      <c r="B1701" s="498"/>
      <c r="C1701" s="287"/>
      <c r="D1701" s="288"/>
      <c r="E1701" s="288"/>
      <c r="F1701" s="438"/>
      <c r="G1701" s="438"/>
      <c r="H1701" s="438"/>
      <c r="I1701" s="438"/>
      <c r="J1701" s="438"/>
    </row>
    <row r="1702" spans="1:10" x14ac:dyDescent="0.25">
      <c r="A1702" s="274"/>
      <c r="B1702" s="498"/>
      <c r="C1702" s="287"/>
      <c r="D1702" s="288"/>
      <c r="E1702" s="288"/>
      <c r="F1702" s="438"/>
      <c r="G1702" s="438"/>
      <c r="H1702" s="438"/>
      <c r="I1702" s="438"/>
      <c r="J1702" s="438"/>
    </row>
    <row r="1703" spans="1:10" x14ac:dyDescent="0.25">
      <c r="A1703" s="274"/>
      <c r="B1703" s="498"/>
      <c r="C1703" s="287"/>
      <c r="D1703" s="288"/>
      <c r="E1703" s="288"/>
      <c r="F1703" s="438"/>
      <c r="G1703" s="438"/>
      <c r="H1703" s="438"/>
      <c r="I1703" s="438"/>
      <c r="J1703" s="438"/>
    </row>
    <row r="1704" spans="1:10" x14ac:dyDescent="0.25">
      <c r="A1704" s="274"/>
      <c r="B1704" s="498"/>
      <c r="C1704" s="287"/>
      <c r="D1704" s="288"/>
      <c r="E1704" s="288"/>
      <c r="F1704" s="438"/>
      <c r="G1704" s="438"/>
      <c r="H1704" s="438"/>
      <c r="I1704" s="438"/>
      <c r="J1704" s="438"/>
    </row>
    <row r="1705" spans="1:10" x14ac:dyDescent="0.25">
      <c r="A1705" s="274"/>
      <c r="B1705" s="498"/>
      <c r="C1705" s="287"/>
      <c r="D1705" s="288"/>
      <c r="E1705" s="288"/>
      <c r="F1705" s="438"/>
      <c r="G1705" s="438"/>
      <c r="H1705" s="438"/>
      <c r="I1705" s="438"/>
      <c r="J1705" s="438"/>
    </row>
    <row r="1706" spans="1:10" x14ac:dyDescent="0.25">
      <c r="A1706" s="274"/>
      <c r="B1706" s="498"/>
      <c r="C1706" s="287"/>
      <c r="D1706" s="288"/>
      <c r="E1706" s="288"/>
      <c r="F1706" s="438"/>
      <c r="G1706" s="438"/>
      <c r="H1706" s="438"/>
      <c r="I1706" s="438"/>
      <c r="J1706" s="438"/>
    </row>
    <row r="1707" spans="1:10" x14ac:dyDescent="0.25">
      <c r="A1707" s="274"/>
      <c r="B1707" s="498"/>
      <c r="C1707" s="287"/>
      <c r="D1707" s="288"/>
      <c r="E1707" s="288"/>
      <c r="F1707" s="438"/>
      <c r="G1707" s="438"/>
      <c r="H1707" s="438"/>
      <c r="I1707" s="438"/>
      <c r="J1707" s="438"/>
    </row>
    <row r="1708" spans="1:10" x14ac:dyDescent="0.25">
      <c r="A1708" s="274"/>
      <c r="B1708" s="498"/>
      <c r="C1708" s="287"/>
      <c r="D1708" s="288"/>
      <c r="E1708" s="288"/>
      <c r="F1708" s="438"/>
      <c r="G1708" s="438"/>
      <c r="H1708" s="438"/>
      <c r="I1708" s="438"/>
      <c r="J1708" s="438"/>
    </row>
    <row r="1709" spans="1:10" x14ac:dyDescent="0.25">
      <c r="A1709" s="274"/>
      <c r="B1709" s="498"/>
      <c r="C1709" s="287"/>
      <c r="D1709" s="288"/>
      <c r="E1709" s="288"/>
      <c r="F1709" s="438"/>
      <c r="G1709" s="438"/>
      <c r="H1709" s="438"/>
      <c r="I1709" s="438"/>
      <c r="J1709" s="438"/>
    </row>
    <row r="1710" spans="1:10" x14ac:dyDescent="0.25">
      <c r="A1710" s="274"/>
      <c r="B1710" s="498"/>
      <c r="C1710" s="287"/>
      <c r="D1710" s="288"/>
      <c r="E1710" s="288"/>
      <c r="F1710" s="438"/>
      <c r="G1710" s="438"/>
      <c r="H1710" s="438"/>
      <c r="I1710" s="438"/>
      <c r="J1710" s="438"/>
    </row>
    <row r="1711" spans="1:10" x14ac:dyDescent="0.25">
      <c r="A1711" s="274"/>
      <c r="B1711" s="498"/>
      <c r="C1711" s="287"/>
      <c r="D1711" s="288"/>
      <c r="E1711" s="288"/>
      <c r="F1711" s="438"/>
      <c r="G1711" s="438"/>
      <c r="H1711" s="438"/>
      <c r="I1711" s="438"/>
      <c r="J1711" s="438"/>
    </row>
    <row r="1712" spans="1:10" x14ac:dyDescent="0.25">
      <c r="A1712" s="274"/>
      <c r="B1712" s="498"/>
      <c r="C1712" s="287"/>
      <c r="D1712" s="288"/>
      <c r="E1712" s="288"/>
      <c r="F1712" s="438"/>
      <c r="G1712" s="438"/>
      <c r="H1712" s="438"/>
      <c r="I1712" s="438"/>
      <c r="J1712" s="438"/>
    </row>
    <row r="1713" spans="1:10" x14ac:dyDescent="0.25">
      <c r="A1713" s="274"/>
      <c r="B1713" s="498"/>
      <c r="C1713" s="287"/>
      <c r="D1713" s="288"/>
      <c r="E1713" s="288"/>
      <c r="F1713" s="438"/>
      <c r="G1713" s="438"/>
      <c r="H1713" s="438"/>
      <c r="I1713" s="438"/>
      <c r="J1713" s="438"/>
    </row>
    <row r="1714" spans="1:10" x14ac:dyDescent="0.25">
      <c r="A1714" s="274"/>
      <c r="B1714" s="498"/>
      <c r="C1714" s="287"/>
      <c r="D1714" s="288"/>
      <c r="E1714" s="288"/>
      <c r="F1714" s="438"/>
      <c r="G1714" s="438"/>
      <c r="H1714" s="438"/>
      <c r="I1714" s="438"/>
      <c r="J1714" s="438"/>
    </row>
    <row r="1715" spans="1:10" x14ac:dyDescent="0.25">
      <c r="A1715" s="274"/>
      <c r="B1715" s="498"/>
      <c r="C1715" s="287"/>
      <c r="D1715" s="288"/>
      <c r="E1715" s="288"/>
      <c r="F1715" s="438"/>
      <c r="G1715" s="438"/>
      <c r="H1715" s="438"/>
      <c r="I1715" s="438"/>
      <c r="J1715" s="438"/>
    </row>
    <row r="1716" spans="1:10" x14ac:dyDescent="0.25">
      <c r="A1716" s="274"/>
      <c r="B1716" s="498"/>
      <c r="C1716" s="287"/>
      <c r="D1716" s="288"/>
      <c r="E1716" s="288"/>
      <c r="F1716" s="438"/>
      <c r="G1716" s="438"/>
      <c r="H1716" s="438"/>
      <c r="I1716" s="438"/>
      <c r="J1716" s="438"/>
    </row>
    <row r="1717" spans="1:10" x14ac:dyDescent="0.25">
      <c r="A1717" s="274"/>
      <c r="B1717" s="498"/>
      <c r="C1717" s="287"/>
      <c r="D1717" s="288"/>
      <c r="E1717" s="288"/>
      <c r="F1717" s="438"/>
      <c r="G1717" s="438"/>
      <c r="H1717" s="438"/>
      <c r="I1717" s="438"/>
      <c r="J1717" s="438"/>
    </row>
    <row r="1718" spans="1:10" x14ac:dyDescent="0.25">
      <c r="A1718" s="274"/>
      <c r="B1718" s="498"/>
      <c r="C1718" s="287"/>
      <c r="D1718" s="288"/>
      <c r="E1718" s="288"/>
      <c r="F1718" s="438"/>
      <c r="G1718" s="438"/>
      <c r="H1718" s="438"/>
      <c r="I1718" s="438"/>
      <c r="J1718" s="438"/>
    </row>
    <row r="1719" spans="1:10" x14ac:dyDescent="0.25">
      <c r="A1719" s="274"/>
      <c r="B1719" s="498"/>
      <c r="C1719" s="287"/>
      <c r="D1719" s="288"/>
      <c r="E1719" s="288"/>
      <c r="F1719" s="438"/>
      <c r="G1719" s="438"/>
      <c r="H1719" s="438"/>
      <c r="I1719" s="438"/>
      <c r="J1719" s="438"/>
    </row>
    <row r="1720" spans="1:10" x14ac:dyDescent="0.25">
      <c r="A1720" s="274"/>
      <c r="B1720" s="498"/>
      <c r="C1720" s="287"/>
      <c r="D1720" s="288"/>
      <c r="E1720" s="288"/>
      <c r="F1720" s="438"/>
      <c r="G1720" s="438"/>
      <c r="H1720" s="438"/>
      <c r="I1720" s="438"/>
      <c r="J1720" s="438"/>
    </row>
    <row r="1721" spans="1:10" x14ac:dyDescent="0.25">
      <c r="A1721" s="274"/>
      <c r="B1721" s="498"/>
      <c r="C1721" s="287"/>
      <c r="D1721" s="288"/>
      <c r="E1721" s="288"/>
      <c r="F1721" s="438"/>
      <c r="G1721" s="438"/>
      <c r="H1721" s="438"/>
      <c r="I1721" s="438"/>
      <c r="J1721" s="438"/>
    </row>
    <row r="1722" spans="1:10" x14ac:dyDescent="0.25">
      <c r="A1722" s="274"/>
      <c r="B1722" s="498"/>
      <c r="C1722" s="287"/>
      <c r="D1722" s="288"/>
      <c r="E1722" s="288"/>
      <c r="F1722" s="438"/>
      <c r="G1722" s="438"/>
      <c r="H1722" s="438"/>
      <c r="I1722" s="438"/>
      <c r="J1722" s="438"/>
    </row>
    <row r="1723" spans="1:10" x14ac:dyDescent="0.25">
      <c r="A1723" s="274"/>
      <c r="B1723" s="498"/>
      <c r="C1723" s="287"/>
      <c r="D1723" s="288"/>
      <c r="E1723" s="288"/>
      <c r="F1723" s="438"/>
      <c r="G1723" s="438"/>
      <c r="H1723" s="438"/>
      <c r="I1723" s="438"/>
      <c r="J1723" s="438"/>
    </row>
    <row r="1724" spans="1:10" x14ac:dyDescent="0.25">
      <c r="A1724" s="274"/>
      <c r="B1724" s="498"/>
      <c r="C1724" s="287"/>
      <c r="D1724" s="288"/>
      <c r="E1724" s="288"/>
      <c r="F1724" s="438"/>
      <c r="G1724" s="438"/>
      <c r="H1724" s="438"/>
      <c r="I1724" s="438"/>
      <c r="J1724" s="438"/>
    </row>
    <row r="1725" spans="1:10" x14ac:dyDescent="0.25">
      <c r="A1725" s="274"/>
      <c r="B1725" s="498"/>
      <c r="C1725" s="287"/>
      <c r="D1725" s="288"/>
      <c r="E1725" s="288"/>
      <c r="F1725" s="438"/>
      <c r="G1725" s="438"/>
      <c r="H1725" s="438"/>
      <c r="I1725" s="438"/>
      <c r="J1725" s="438"/>
    </row>
    <row r="1726" spans="1:10" x14ac:dyDescent="0.25">
      <c r="A1726" s="274"/>
      <c r="B1726" s="498"/>
      <c r="C1726" s="287"/>
      <c r="D1726" s="288"/>
      <c r="E1726" s="288"/>
      <c r="F1726" s="438"/>
      <c r="G1726" s="438"/>
      <c r="H1726" s="438"/>
      <c r="I1726" s="438"/>
      <c r="J1726" s="438"/>
    </row>
    <row r="1727" spans="1:10" x14ac:dyDescent="0.25">
      <c r="A1727" s="274"/>
      <c r="B1727" s="498"/>
      <c r="C1727" s="287"/>
      <c r="D1727" s="288"/>
      <c r="E1727" s="288"/>
      <c r="F1727" s="438"/>
      <c r="G1727" s="438"/>
      <c r="H1727" s="438"/>
      <c r="I1727" s="438"/>
      <c r="J1727" s="438"/>
    </row>
    <row r="1728" spans="1:10" x14ac:dyDescent="0.25">
      <c r="A1728" s="274"/>
      <c r="B1728" s="498"/>
      <c r="C1728" s="287"/>
      <c r="D1728" s="288"/>
      <c r="E1728" s="288"/>
      <c r="F1728" s="438"/>
      <c r="G1728" s="438"/>
      <c r="H1728" s="438"/>
      <c r="I1728" s="438"/>
      <c r="J1728" s="438"/>
    </row>
    <row r="1729" spans="1:10" x14ac:dyDescent="0.25">
      <c r="A1729" s="274"/>
      <c r="B1729" s="498"/>
      <c r="C1729" s="287"/>
      <c r="D1729" s="288"/>
      <c r="E1729" s="288"/>
      <c r="F1729" s="438"/>
      <c r="G1729" s="438"/>
      <c r="H1729" s="438"/>
      <c r="I1729" s="438"/>
      <c r="J1729" s="438"/>
    </row>
    <row r="1730" spans="1:10" x14ac:dyDescent="0.25">
      <c r="A1730" s="274"/>
      <c r="B1730" s="498"/>
      <c r="C1730" s="287"/>
      <c r="D1730" s="288"/>
      <c r="E1730" s="288"/>
      <c r="F1730" s="438"/>
      <c r="G1730" s="438"/>
      <c r="H1730" s="438"/>
      <c r="I1730" s="438"/>
      <c r="J1730" s="438"/>
    </row>
    <row r="1731" spans="1:10" x14ac:dyDescent="0.25">
      <c r="A1731" s="274"/>
      <c r="B1731" s="498"/>
      <c r="C1731" s="287"/>
      <c r="D1731" s="288"/>
      <c r="E1731" s="288"/>
      <c r="F1731" s="438"/>
      <c r="G1731" s="438"/>
      <c r="H1731" s="438"/>
      <c r="I1731" s="438"/>
      <c r="J1731" s="438"/>
    </row>
    <row r="1732" spans="1:10" x14ac:dyDescent="0.25">
      <c r="A1732" s="274"/>
      <c r="B1732" s="498"/>
      <c r="C1732" s="287"/>
      <c r="D1732" s="288"/>
      <c r="E1732" s="288"/>
      <c r="F1732" s="438"/>
      <c r="G1732" s="438"/>
      <c r="H1732" s="438"/>
      <c r="I1732" s="438"/>
      <c r="J1732" s="438"/>
    </row>
    <row r="1733" spans="1:10" x14ac:dyDescent="0.25">
      <c r="A1733" s="274"/>
      <c r="B1733" s="498"/>
      <c r="C1733" s="287"/>
      <c r="D1733" s="288"/>
      <c r="E1733" s="288"/>
      <c r="F1733" s="438"/>
      <c r="G1733" s="438"/>
      <c r="H1733" s="438"/>
      <c r="I1733" s="438"/>
      <c r="J1733" s="438"/>
    </row>
    <row r="1734" spans="1:10" x14ac:dyDescent="0.25">
      <c r="A1734" s="274"/>
      <c r="B1734" s="498"/>
      <c r="C1734" s="287"/>
      <c r="D1734" s="288"/>
      <c r="E1734" s="288"/>
      <c r="F1734" s="438"/>
      <c r="G1734" s="438"/>
      <c r="H1734" s="438"/>
      <c r="I1734" s="438"/>
      <c r="J1734" s="438"/>
    </row>
    <row r="1735" spans="1:10" x14ac:dyDescent="0.25">
      <c r="A1735" s="274"/>
      <c r="B1735" s="498"/>
      <c r="C1735" s="287"/>
      <c r="D1735" s="288"/>
      <c r="E1735" s="288"/>
      <c r="F1735" s="438"/>
      <c r="G1735" s="438"/>
      <c r="H1735" s="438"/>
      <c r="I1735" s="438"/>
      <c r="J1735" s="438"/>
    </row>
    <row r="1736" spans="1:10" x14ac:dyDescent="0.25">
      <c r="A1736" s="274"/>
      <c r="B1736" s="498"/>
      <c r="C1736" s="287"/>
      <c r="D1736" s="288"/>
      <c r="E1736" s="288"/>
      <c r="F1736" s="438"/>
      <c r="G1736" s="438"/>
      <c r="H1736" s="438"/>
      <c r="I1736" s="438"/>
      <c r="J1736" s="438"/>
    </row>
    <row r="1737" spans="1:10" x14ac:dyDescent="0.25">
      <c r="A1737" s="274"/>
      <c r="B1737" s="498"/>
      <c r="C1737" s="287"/>
      <c r="D1737" s="288"/>
      <c r="E1737" s="288"/>
      <c r="F1737" s="438"/>
      <c r="G1737" s="438"/>
      <c r="H1737" s="438"/>
      <c r="I1737" s="438"/>
      <c r="J1737" s="438"/>
    </row>
    <row r="1738" spans="1:10" x14ac:dyDescent="0.25">
      <c r="A1738" s="274"/>
      <c r="B1738" s="498"/>
      <c r="C1738" s="287"/>
      <c r="D1738" s="288"/>
      <c r="E1738" s="288"/>
      <c r="F1738" s="438"/>
      <c r="G1738" s="438"/>
      <c r="H1738" s="438"/>
      <c r="I1738" s="438"/>
      <c r="J1738" s="438"/>
    </row>
    <row r="1739" spans="1:10" x14ac:dyDescent="0.25">
      <c r="A1739" s="274"/>
      <c r="B1739" s="498"/>
      <c r="C1739" s="287"/>
      <c r="D1739" s="288"/>
      <c r="E1739" s="288"/>
      <c r="F1739" s="438"/>
      <c r="G1739" s="438"/>
      <c r="H1739" s="438"/>
      <c r="I1739" s="438"/>
      <c r="J1739" s="438"/>
    </row>
    <row r="1740" spans="1:10" x14ac:dyDescent="0.25">
      <c r="A1740" s="274"/>
      <c r="B1740" s="498"/>
      <c r="C1740" s="287"/>
      <c r="D1740" s="288"/>
      <c r="E1740" s="288"/>
      <c r="F1740" s="438"/>
      <c r="G1740" s="438"/>
      <c r="H1740" s="438"/>
      <c r="I1740" s="438"/>
      <c r="J1740" s="438"/>
    </row>
    <row r="1741" spans="1:10" x14ac:dyDescent="0.25">
      <c r="A1741" s="274"/>
      <c r="B1741" s="498"/>
      <c r="C1741" s="287"/>
      <c r="D1741" s="288"/>
      <c r="E1741" s="288"/>
      <c r="F1741" s="438"/>
      <c r="G1741" s="438"/>
      <c r="H1741" s="438"/>
      <c r="I1741" s="438"/>
      <c r="J1741" s="438"/>
    </row>
    <row r="1742" spans="1:10" x14ac:dyDescent="0.25">
      <c r="A1742" s="274"/>
      <c r="B1742" s="498"/>
      <c r="C1742" s="287"/>
      <c r="D1742" s="288"/>
      <c r="E1742" s="288"/>
      <c r="F1742" s="438"/>
      <c r="G1742" s="438"/>
      <c r="H1742" s="438"/>
      <c r="I1742" s="438"/>
      <c r="J1742" s="438"/>
    </row>
    <row r="1743" spans="1:10" x14ac:dyDescent="0.25">
      <c r="A1743" s="274"/>
      <c r="B1743" s="498"/>
      <c r="C1743" s="287"/>
      <c r="D1743" s="288"/>
      <c r="E1743" s="288"/>
      <c r="F1743" s="438"/>
      <c r="G1743" s="438"/>
      <c r="H1743" s="438"/>
      <c r="I1743" s="438"/>
      <c r="J1743" s="438"/>
    </row>
    <row r="1744" spans="1:10" x14ac:dyDescent="0.25">
      <c r="A1744" s="274"/>
      <c r="B1744" s="498"/>
      <c r="C1744" s="287"/>
      <c r="D1744" s="288"/>
      <c r="E1744" s="288"/>
      <c r="F1744" s="438"/>
      <c r="G1744" s="438"/>
      <c r="H1744" s="438"/>
      <c r="I1744" s="438"/>
      <c r="J1744" s="438"/>
    </row>
    <row r="1745" spans="1:10" x14ac:dyDescent="0.25">
      <c r="A1745" s="274"/>
      <c r="B1745" s="498"/>
      <c r="C1745" s="287"/>
      <c r="D1745" s="288"/>
      <c r="E1745" s="288"/>
      <c r="F1745" s="438"/>
      <c r="G1745" s="438"/>
      <c r="H1745" s="438"/>
      <c r="I1745" s="438"/>
      <c r="J1745" s="438"/>
    </row>
    <row r="1746" spans="1:10" x14ac:dyDescent="0.25">
      <c r="A1746" s="274"/>
      <c r="B1746" s="498"/>
      <c r="C1746" s="287"/>
      <c r="D1746" s="288"/>
      <c r="E1746" s="288"/>
      <c r="F1746" s="438"/>
      <c r="G1746" s="438"/>
      <c r="H1746" s="438"/>
      <c r="I1746" s="438"/>
      <c r="J1746" s="438"/>
    </row>
    <row r="1747" spans="1:10" x14ac:dyDescent="0.25">
      <c r="A1747" s="274"/>
      <c r="B1747" s="498"/>
      <c r="C1747" s="287"/>
      <c r="D1747" s="288"/>
      <c r="E1747" s="288"/>
      <c r="F1747" s="438"/>
      <c r="G1747" s="438"/>
      <c r="H1747" s="438"/>
      <c r="I1747" s="438"/>
      <c r="J1747" s="438"/>
    </row>
    <row r="1748" spans="1:10" x14ac:dyDescent="0.25">
      <c r="A1748" s="274"/>
      <c r="B1748" s="498"/>
      <c r="C1748" s="287"/>
      <c r="D1748" s="288"/>
      <c r="E1748" s="288"/>
      <c r="F1748" s="438"/>
      <c r="G1748" s="438"/>
      <c r="H1748" s="438"/>
      <c r="I1748" s="438"/>
      <c r="J1748" s="438"/>
    </row>
    <row r="1749" spans="1:10" x14ac:dyDescent="0.25">
      <c r="A1749" s="274"/>
      <c r="B1749" s="498"/>
      <c r="C1749" s="287"/>
      <c r="D1749" s="288"/>
      <c r="E1749" s="288"/>
      <c r="F1749" s="438"/>
      <c r="G1749" s="438"/>
      <c r="H1749" s="438"/>
      <c r="I1749" s="438"/>
      <c r="J1749" s="438"/>
    </row>
    <row r="1750" spans="1:10" x14ac:dyDescent="0.25">
      <c r="A1750" s="274"/>
      <c r="B1750" s="498"/>
      <c r="C1750" s="287"/>
      <c r="D1750" s="288"/>
      <c r="E1750" s="288"/>
      <c r="F1750" s="438"/>
      <c r="G1750" s="438"/>
      <c r="H1750" s="438"/>
      <c r="I1750" s="438"/>
      <c r="J1750" s="438"/>
    </row>
    <row r="1751" spans="1:10" x14ac:dyDescent="0.25">
      <c r="A1751" s="274"/>
      <c r="B1751" s="498"/>
      <c r="C1751" s="287"/>
      <c r="D1751" s="288"/>
      <c r="E1751" s="288"/>
      <c r="F1751" s="438"/>
      <c r="G1751" s="438"/>
      <c r="H1751" s="438"/>
      <c r="I1751" s="438"/>
      <c r="J1751" s="438"/>
    </row>
    <row r="1752" spans="1:10" x14ac:dyDescent="0.25">
      <c r="A1752" s="274"/>
      <c r="B1752" s="498"/>
      <c r="C1752" s="287"/>
      <c r="D1752" s="288"/>
      <c r="E1752" s="288"/>
      <c r="F1752" s="438"/>
      <c r="G1752" s="438"/>
      <c r="H1752" s="438"/>
      <c r="I1752" s="438"/>
      <c r="J1752" s="438"/>
    </row>
    <row r="1753" spans="1:10" x14ac:dyDescent="0.25">
      <c r="A1753" s="274"/>
      <c r="B1753" s="498"/>
      <c r="C1753" s="287"/>
      <c r="D1753" s="288"/>
      <c r="E1753" s="288"/>
      <c r="F1753" s="438"/>
      <c r="G1753" s="438"/>
      <c r="H1753" s="438"/>
      <c r="I1753" s="438"/>
      <c r="J1753" s="438"/>
    </row>
    <row r="1754" spans="1:10" x14ac:dyDescent="0.25">
      <c r="A1754" s="274"/>
      <c r="B1754" s="498"/>
      <c r="C1754" s="287"/>
      <c r="D1754" s="288"/>
      <c r="E1754" s="288"/>
      <c r="F1754" s="438"/>
      <c r="G1754" s="438"/>
      <c r="H1754" s="438"/>
      <c r="I1754" s="438"/>
      <c r="J1754" s="438"/>
    </row>
    <row r="1755" spans="1:10" x14ac:dyDescent="0.25">
      <c r="A1755" s="274"/>
      <c r="B1755" s="498"/>
      <c r="C1755" s="287"/>
      <c r="D1755" s="288"/>
      <c r="E1755" s="288"/>
      <c r="F1755" s="438"/>
      <c r="G1755" s="438"/>
      <c r="H1755" s="438"/>
      <c r="I1755" s="438"/>
      <c r="J1755" s="438"/>
    </row>
    <row r="1756" spans="1:10" x14ac:dyDescent="0.25">
      <c r="A1756" s="274"/>
      <c r="B1756" s="498"/>
      <c r="C1756" s="287"/>
      <c r="D1756" s="288"/>
      <c r="E1756" s="288"/>
      <c r="F1756" s="438"/>
      <c r="G1756" s="438"/>
      <c r="H1756" s="438"/>
      <c r="I1756" s="438"/>
      <c r="J1756" s="438"/>
    </row>
    <row r="1757" spans="1:10" x14ac:dyDescent="0.25">
      <c r="A1757" s="274"/>
      <c r="B1757" s="498"/>
      <c r="C1757" s="287"/>
      <c r="D1757" s="288"/>
      <c r="E1757" s="288"/>
      <c r="F1757" s="438"/>
      <c r="G1757" s="438"/>
      <c r="H1757" s="438"/>
      <c r="I1757" s="438"/>
      <c r="J1757" s="438"/>
    </row>
    <row r="1758" spans="1:10" x14ac:dyDescent="0.25">
      <c r="A1758" s="274"/>
      <c r="B1758" s="498"/>
      <c r="C1758" s="287"/>
      <c r="D1758" s="288"/>
      <c r="E1758" s="288"/>
      <c r="F1758" s="438"/>
      <c r="G1758" s="438"/>
      <c r="H1758" s="438"/>
      <c r="I1758" s="438"/>
      <c r="J1758" s="438"/>
    </row>
    <row r="1759" spans="1:10" x14ac:dyDescent="0.25">
      <c r="A1759" s="274"/>
      <c r="B1759" s="498"/>
      <c r="C1759" s="287"/>
      <c r="D1759" s="288"/>
      <c r="E1759" s="288"/>
      <c r="F1759" s="438"/>
      <c r="G1759" s="438"/>
      <c r="H1759" s="438"/>
      <c r="I1759" s="438"/>
      <c r="J1759" s="438"/>
    </row>
    <row r="1760" spans="1:10" x14ac:dyDescent="0.25">
      <c r="A1760" s="274"/>
      <c r="B1760" s="498"/>
      <c r="C1760" s="287"/>
      <c r="D1760" s="288"/>
      <c r="E1760" s="288"/>
      <c r="F1760" s="438"/>
      <c r="G1760" s="438"/>
      <c r="H1760" s="438"/>
      <c r="I1760" s="438"/>
      <c r="J1760" s="438"/>
    </row>
    <row r="1761" spans="1:10" x14ac:dyDescent="0.25">
      <c r="A1761" s="274"/>
      <c r="B1761" s="498"/>
      <c r="C1761" s="287"/>
      <c r="D1761" s="288"/>
      <c r="E1761" s="288"/>
      <c r="F1761" s="438"/>
      <c r="G1761" s="438"/>
      <c r="H1761" s="438"/>
      <c r="I1761" s="438"/>
      <c r="J1761" s="438"/>
    </row>
    <row r="1762" spans="1:10" x14ac:dyDescent="0.25">
      <c r="A1762" s="274"/>
      <c r="B1762" s="498"/>
      <c r="C1762" s="287"/>
      <c r="D1762" s="288"/>
      <c r="E1762" s="288"/>
      <c r="F1762" s="438"/>
      <c r="G1762" s="438"/>
      <c r="H1762" s="438"/>
      <c r="I1762" s="438"/>
      <c r="J1762" s="438"/>
    </row>
    <row r="1763" spans="1:10" x14ac:dyDescent="0.25">
      <c r="A1763" s="274"/>
      <c r="B1763" s="498"/>
      <c r="C1763" s="287"/>
      <c r="D1763" s="288"/>
      <c r="E1763" s="288"/>
      <c r="F1763" s="438"/>
      <c r="G1763" s="438"/>
      <c r="H1763" s="438"/>
      <c r="I1763" s="438"/>
      <c r="J1763" s="438"/>
    </row>
    <row r="1764" spans="1:10" x14ac:dyDescent="0.25">
      <c r="A1764" s="274"/>
      <c r="B1764" s="498"/>
      <c r="C1764" s="287"/>
      <c r="D1764" s="288"/>
      <c r="E1764" s="288"/>
      <c r="F1764" s="438"/>
      <c r="G1764" s="438"/>
      <c r="H1764" s="438"/>
      <c r="I1764" s="438"/>
      <c r="J1764" s="438"/>
    </row>
    <row r="1765" spans="1:10" x14ac:dyDescent="0.25">
      <c r="A1765" s="274"/>
      <c r="B1765" s="498"/>
      <c r="C1765" s="287"/>
      <c r="D1765" s="288"/>
      <c r="E1765" s="288"/>
      <c r="F1765" s="438"/>
      <c r="G1765" s="438"/>
      <c r="H1765" s="438"/>
      <c r="I1765" s="438"/>
      <c r="J1765" s="438"/>
    </row>
    <row r="1766" spans="1:10" x14ac:dyDescent="0.25">
      <c r="A1766" s="274"/>
      <c r="B1766" s="498"/>
      <c r="C1766" s="287"/>
      <c r="D1766" s="288"/>
      <c r="E1766" s="288"/>
      <c r="F1766" s="438"/>
      <c r="G1766" s="438"/>
      <c r="H1766" s="438"/>
      <c r="I1766" s="438"/>
      <c r="J1766" s="438"/>
    </row>
    <row r="1767" spans="1:10" x14ac:dyDescent="0.25">
      <c r="A1767" s="274"/>
      <c r="B1767" s="498"/>
      <c r="C1767" s="287"/>
      <c r="D1767" s="288"/>
      <c r="E1767" s="288"/>
      <c r="F1767" s="438"/>
      <c r="G1767" s="438"/>
      <c r="H1767" s="438"/>
      <c r="I1767" s="438"/>
      <c r="J1767" s="438"/>
    </row>
    <row r="1768" spans="1:10" x14ac:dyDescent="0.25">
      <c r="A1768" s="274"/>
      <c r="B1768" s="498"/>
      <c r="C1768" s="287"/>
      <c r="D1768" s="288"/>
      <c r="E1768" s="288"/>
      <c r="F1768" s="438"/>
      <c r="G1768" s="438"/>
      <c r="H1768" s="438"/>
      <c r="I1768" s="438"/>
      <c r="J1768" s="438"/>
    </row>
    <row r="1769" spans="1:10" x14ac:dyDescent="0.25">
      <c r="A1769" s="274"/>
      <c r="B1769" s="498"/>
      <c r="C1769" s="287"/>
      <c r="D1769" s="288"/>
      <c r="E1769" s="288"/>
      <c r="F1769" s="438"/>
      <c r="G1769" s="438"/>
      <c r="H1769" s="438"/>
      <c r="I1769" s="438"/>
      <c r="J1769" s="438"/>
    </row>
    <row r="1770" spans="1:10" x14ac:dyDescent="0.25">
      <c r="A1770" s="274"/>
      <c r="B1770" s="498"/>
      <c r="C1770" s="287"/>
      <c r="D1770" s="288"/>
      <c r="E1770" s="288"/>
      <c r="F1770" s="438"/>
      <c r="G1770" s="438"/>
      <c r="H1770" s="438"/>
      <c r="I1770" s="438"/>
      <c r="J1770" s="438"/>
    </row>
    <row r="1771" spans="1:10" x14ac:dyDescent="0.25">
      <c r="A1771" s="274"/>
      <c r="B1771" s="498"/>
      <c r="C1771" s="287"/>
      <c r="D1771" s="288"/>
      <c r="E1771" s="288"/>
      <c r="F1771" s="438"/>
      <c r="G1771" s="438"/>
      <c r="H1771" s="438"/>
      <c r="I1771" s="438"/>
      <c r="J1771" s="438"/>
    </row>
    <row r="1772" spans="1:10" x14ac:dyDescent="0.25">
      <c r="A1772" s="274"/>
      <c r="B1772" s="498"/>
      <c r="C1772" s="287"/>
      <c r="D1772" s="288"/>
      <c r="E1772" s="288"/>
      <c r="F1772" s="438"/>
      <c r="G1772" s="438"/>
      <c r="H1772" s="438"/>
      <c r="I1772" s="438"/>
      <c r="J1772" s="438"/>
    </row>
    <row r="1773" spans="1:10" x14ac:dyDescent="0.25">
      <c r="A1773" s="274"/>
      <c r="B1773" s="498"/>
      <c r="C1773" s="287"/>
      <c r="D1773" s="288"/>
      <c r="E1773" s="288"/>
      <c r="F1773" s="438"/>
      <c r="G1773" s="438"/>
      <c r="H1773" s="438"/>
      <c r="I1773" s="438"/>
      <c r="J1773" s="438"/>
    </row>
    <row r="1774" spans="1:10" x14ac:dyDescent="0.25">
      <c r="A1774" s="274"/>
      <c r="B1774" s="498"/>
      <c r="C1774" s="287"/>
      <c r="D1774" s="288"/>
      <c r="E1774" s="288"/>
      <c r="F1774" s="438"/>
      <c r="G1774" s="438"/>
      <c r="H1774" s="438"/>
      <c r="I1774" s="438"/>
      <c r="J1774" s="438"/>
    </row>
    <row r="1775" spans="1:10" x14ac:dyDescent="0.25">
      <c r="A1775" s="274"/>
      <c r="B1775" s="498"/>
      <c r="C1775" s="287"/>
      <c r="D1775" s="288"/>
      <c r="E1775" s="288"/>
      <c r="F1775" s="438"/>
      <c r="G1775" s="438"/>
      <c r="H1775" s="438"/>
      <c r="I1775" s="438"/>
      <c r="J1775" s="438"/>
    </row>
    <row r="1776" spans="1:10" x14ac:dyDescent="0.25">
      <c r="A1776" s="274"/>
      <c r="B1776" s="498"/>
      <c r="C1776" s="287"/>
      <c r="D1776" s="288"/>
      <c r="E1776" s="288"/>
      <c r="F1776" s="438"/>
      <c r="G1776" s="438"/>
      <c r="H1776" s="438"/>
      <c r="I1776" s="438"/>
      <c r="J1776" s="438"/>
    </row>
    <row r="1777" spans="1:10" x14ac:dyDescent="0.25">
      <c r="A1777" s="274"/>
      <c r="B1777" s="498"/>
      <c r="C1777" s="287"/>
      <c r="D1777" s="288"/>
      <c r="E1777" s="288"/>
      <c r="F1777" s="438"/>
      <c r="G1777" s="438"/>
      <c r="H1777" s="438"/>
      <c r="I1777" s="438"/>
      <c r="J1777" s="438"/>
    </row>
    <row r="1778" spans="1:10" x14ac:dyDescent="0.25">
      <c r="A1778" s="274"/>
      <c r="B1778" s="498"/>
      <c r="C1778" s="287"/>
      <c r="D1778" s="288"/>
      <c r="E1778" s="288"/>
      <c r="F1778" s="438"/>
      <c r="G1778" s="438"/>
      <c r="H1778" s="438"/>
      <c r="I1778" s="438"/>
      <c r="J1778" s="438"/>
    </row>
    <row r="1779" spans="1:10" x14ac:dyDescent="0.25">
      <c r="A1779" s="274"/>
      <c r="B1779" s="498"/>
      <c r="C1779" s="287"/>
      <c r="D1779" s="288"/>
      <c r="E1779" s="288"/>
      <c r="F1779" s="438"/>
      <c r="G1779" s="438"/>
      <c r="H1779" s="438"/>
      <c r="I1779" s="438"/>
      <c r="J1779" s="438"/>
    </row>
    <row r="1780" spans="1:10" x14ac:dyDescent="0.25">
      <c r="A1780" s="274"/>
      <c r="B1780" s="498"/>
      <c r="C1780" s="287"/>
      <c r="D1780" s="288"/>
      <c r="E1780" s="288"/>
      <c r="F1780" s="438"/>
      <c r="G1780" s="438"/>
      <c r="H1780" s="438"/>
      <c r="I1780" s="438"/>
      <c r="J1780" s="438"/>
    </row>
    <row r="1781" spans="1:10" x14ac:dyDescent="0.25">
      <c r="A1781" s="274"/>
      <c r="B1781" s="498"/>
      <c r="C1781" s="287"/>
      <c r="D1781" s="288"/>
      <c r="E1781" s="288"/>
      <c r="F1781" s="438"/>
      <c r="G1781" s="438"/>
      <c r="H1781" s="438"/>
      <c r="I1781" s="438"/>
      <c r="J1781" s="438"/>
    </row>
    <row r="1782" spans="1:10" x14ac:dyDescent="0.25">
      <c r="A1782" s="274"/>
      <c r="B1782" s="498"/>
      <c r="C1782" s="287"/>
      <c r="D1782" s="288"/>
      <c r="E1782" s="288"/>
      <c r="F1782" s="438"/>
      <c r="G1782" s="438"/>
      <c r="H1782" s="438"/>
      <c r="I1782" s="438"/>
      <c r="J1782" s="438"/>
    </row>
    <row r="1783" spans="1:10" x14ac:dyDescent="0.25">
      <c r="A1783" s="274"/>
      <c r="B1783" s="498"/>
      <c r="C1783" s="287"/>
      <c r="D1783" s="288"/>
      <c r="E1783" s="288"/>
      <c r="F1783" s="438"/>
      <c r="G1783" s="438"/>
      <c r="H1783" s="438"/>
      <c r="I1783" s="438"/>
      <c r="J1783" s="438"/>
    </row>
    <row r="1784" spans="1:10" x14ac:dyDescent="0.25">
      <c r="A1784" s="274"/>
      <c r="B1784" s="498"/>
      <c r="C1784" s="287"/>
      <c r="D1784" s="288"/>
      <c r="E1784" s="288"/>
      <c r="F1784" s="438"/>
      <c r="G1784" s="438"/>
      <c r="H1784" s="438"/>
      <c r="I1784" s="438"/>
      <c r="J1784" s="438"/>
    </row>
    <row r="1785" spans="1:10" x14ac:dyDescent="0.25">
      <c r="A1785" s="274"/>
      <c r="B1785" s="498"/>
      <c r="C1785" s="287"/>
      <c r="D1785" s="288"/>
      <c r="E1785" s="288"/>
      <c r="F1785" s="438"/>
      <c r="G1785" s="438"/>
      <c r="H1785" s="438"/>
      <c r="I1785" s="438"/>
      <c r="J1785" s="438"/>
    </row>
    <row r="1786" spans="1:10" x14ac:dyDescent="0.25">
      <c r="A1786" s="274"/>
      <c r="B1786" s="498"/>
      <c r="C1786" s="287"/>
      <c r="D1786" s="288"/>
      <c r="E1786" s="288"/>
      <c r="F1786" s="438"/>
      <c r="G1786" s="438"/>
      <c r="H1786" s="438"/>
      <c r="I1786" s="438"/>
      <c r="J1786" s="438"/>
    </row>
    <row r="1787" spans="1:10" x14ac:dyDescent="0.25">
      <c r="A1787" s="274"/>
      <c r="B1787" s="498"/>
      <c r="C1787" s="287"/>
      <c r="D1787" s="288"/>
      <c r="E1787" s="288"/>
      <c r="F1787" s="438"/>
      <c r="G1787" s="438"/>
      <c r="H1787" s="438"/>
      <c r="I1787" s="438"/>
      <c r="J1787" s="438"/>
    </row>
    <row r="1788" spans="1:10" x14ac:dyDescent="0.25">
      <c r="A1788" s="274"/>
      <c r="B1788" s="498"/>
      <c r="C1788" s="287"/>
      <c r="D1788" s="288"/>
      <c r="E1788" s="288"/>
      <c r="F1788" s="438"/>
      <c r="G1788" s="438"/>
      <c r="H1788" s="438"/>
      <c r="I1788" s="438"/>
      <c r="J1788" s="438"/>
    </row>
    <row r="1789" spans="1:10" x14ac:dyDescent="0.25">
      <c r="A1789" s="274"/>
      <c r="B1789" s="498"/>
      <c r="C1789" s="287"/>
      <c r="D1789" s="288"/>
      <c r="E1789" s="288"/>
      <c r="F1789" s="438"/>
      <c r="G1789" s="438"/>
      <c r="H1789" s="438"/>
      <c r="I1789" s="438"/>
      <c r="J1789" s="438"/>
    </row>
    <row r="1790" spans="1:10" x14ac:dyDescent="0.25">
      <c r="A1790" s="274"/>
      <c r="B1790" s="498"/>
      <c r="C1790" s="287"/>
      <c r="D1790" s="288"/>
      <c r="E1790" s="288"/>
      <c r="F1790" s="438"/>
      <c r="G1790" s="438"/>
      <c r="H1790" s="438"/>
      <c r="I1790" s="438"/>
      <c r="J1790" s="438"/>
    </row>
    <row r="1791" spans="1:10" x14ac:dyDescent="0.25">
      <c r="A1791" s="274"/>
      <c r="B1791" s="498"/>
      <c r="C1791" s="287"/>
      <c r="D1791" s="288"/>
      <c r="E1791" s="288"/>
      <c r="F1791" s="438"/>
      <c r="G1791" s="438"/>
      <c r="H1791" s="438"/>
      <c r="I1791" s="438"/>
      <c r="J1791" s="438"/>
    </row>
    <row r="1792" spans="1:10" x14ac:dyDescent="0.25">
      <c r="A1792" s="274"/>
      <c r="B1792" s="498"/>
      <c r="C1792" s="287"/>
      <c r="D1792" s="288"/>
      <c r="E1792" s="288"/>
      <c r="F1792" s="438"/>
      <c r="G1792" s="438"/>
      <c r="H1792" s="438"/>
      <c r="I1792" s="438"/>
      <c r="J1792" s="438"/>
    </row>
    <row r="1793" spans="1:10" x14ac:dyDescent="0.25">
      <c r="A1793" s="274"/>
      <c r="B1793" s="498"/>
      <c r="C1793" s="287"/>
      <c r="D1793" s="288"/>
      <c r="E1793" s="288"/>
      <c r="F1793" s="438"/>
      <c r="G1793" s="438"/>
      <c r="H1793" s="438"/>
      <c r="I1793" s="438"/>
      <c r="J1793" s="438"/>
    </row>
    <row r="1794" spans="1:10" x14ac:dyDescent="0.25">
      <c r="A1794" s="274"/>
      <c r="B1794" s="498"/>
      <c r="C1794" s="287"/>
      <c r="D1794" s="288"/>
      <c r="E1794" s="288"/>
      <c r="F1794" s="438"/>
      <c r="G1794" s="438"/>
      <c r="H1794" s="438"/>
      <c r="I1794" s="438"/>
      <c r="J1794" s="438"/>
    </row>
    <row r="1795" spans="1:10" x14ac:dyDescent="0.25">
      <c r="A1795" s="274"/>
      <c r="B1795" s="498"/>
      <c r="C1795" s="287"/>
      <c r="D1795" s="288"/>
      <c r="E1795" s="288"/>
      <c r="F1795" s="438"/>
      <c r="G1795" s="438"/>
      <c r="H1795" s="438"/>
      <c r="I1795" s="438"/>
      <c r="J1795" s="438"/>
    </row>
    <row r="1796" spans="1:10" x14ac:dyDescent="0.25">
      <c r="A1796" s="274"/>
      <c r="B1796" s="498"/>
      <c r="C1796" s="287"/>
      <c r="D1796" s="288"/>
      <c r="E1796" s="288"/>
      <c r="F1796" s="438"/>
      <c r="G1796" s="438"/>
      <c r="H1796" s="438"/>
      <c r="I1796" s="438"/>
      <c r="J1796" s="438"/>
    </row>
    <row r="1797" spans="1:10" x14ac:dyDescent="0.25">
      <c r="A1797" s="274"/>
      <c r="B1797" s="498"/>
      <c r="C1797" s="287"/>
      <c r="D1797" s="288"/>
      <c r="E1797" s="288"/>
      <c r="F1797" s="438"/>
      <c r="G1797" s="438"/>
      <c r="H1797" s="438"/>
      <c r="I1797" s="438"/>
      <c r="J1797" s="438"/>
    </row>
    <row r="1798" spans="1:10" x14ac:dyDescent="0.25">
      <c r="A1798" s="274"/>
      <c r="B1798" s="498"/>
      <c r="C1798" s="287"/>
      <c r="D1798" s="288"/>
      <c r="E1798" s="288"/>
      <c r="F1798" s="438"/>
      <c r="G1798" s="438"/>
      <c r="H1798" s="438"/>
      <c r="I1798" s="438"/>
      <c r="J1798" s="438"/>
    </row>
    <row r="1799" spans="1:10" x14ac:dyDescent="0.25">
      <c r="A1799" s="274"/>
      <c r="B1799" s="498"/>
      <c r="C1799" s="287"/>
      <c r="D1799" s="288"/>
      <c r="E1799" s="288"/>
      <c r="F1799" s="438"/>
      <c r="G1799" s="438"/>
      <c r="H1799" s="438"/>
      <c r="I1799" s="438"/>
      <c r="J1799" s="438"/>
    </row>
    <row r="1800" spans="1:10" x14ac:dyDescent="0.25">
      <c r="A1800" s="274"/>
      <c r="B1800" s="498"/>
      <c r="C1800" s="287"/>
      <c r="D1800" s="288"/>
      <c r="E1800" s="288"/>
      <c r="F1800" s="438"/>
      <c r="G1800" s="438"/>
      <c r="H1800" s="438"/>
      <c r="I1800" s="438"/>
      <c r="J1800" s="438"/>
    </row>
    <row r="1801" spans="1:10" x14ac:dyDescent="0.25">
      <c r="A1801" s="274"/>
      <c r="B1801" s="498"/>
      <c r="C1801" s="287"/>
      <c r="D1801" s="288"/>
      <c r="E1801" s="288"/>
      <c r="F1801" s="438"/>
      <c r="G1801" s="438"/>
      <c r="H1801" s="438"/>
      <c r="I1801" s="438"/>
      <c r="J1801" s="438"/>
    </row>
    <row r="1802" spans="1:10" x14ac:dyDescent="0.25">
      <c r="A1802" s="274"/>
      <c r="B1802" s="498"/>
      <c r="C1802" s="287"/>
      <c r="D1802" s="288"/>
      <c r="E1802" s="288"/>
      <c r="F1802" s="438"/>
      <c r="G1802" s="438"/>
      <c r="H1802" s="438"/>
      <c r="I1802" s="438"/>
      <c r="J1802" s="438"/>
    </row>
    <row r="1803" spans="1:10" x14ac:dyDescent="0.25">
      <c r="A1803" s="274"/>
      <c r="B1803" s="498"/>
      <c r="C1803" s="287"/>
      <c r="D1803" s="288"/>
      <c r="E1803" s="288"/>
      <c r="F1803" s="438"/>
      <c r="G1803" s="438"/>
      <c r="H1803" s="438"/>
      <c r="I1803" s="438"/>
      <c r="J1803" s="438"/>
    </row>
    <row r="1804" spans="1:10" x14ac:dyDescent="0.25">
      <c r="A1804" s="274"/>
      <c r="B1804" s="498"/>
      <c r="C1804" s="287"/>
      <c r="D1804" s="288"/>
      <c r="E1804" s="288"/>
      <c r="F1804" s="438"/>
      <c r="G1804" s="438"/>
      <c r="H1804" s="438"/>
      <c r="I1804" s="438"/>
      <c r="J1804" s="438"/>
    </row>
    <row r="1805" spans="1:10" x14ac:dyDescent="0.25">
      <c r="A1805" s="274"/>
      <c r="B1805" s="498"/>
      <c r="C1805" s="287"/>
      <c r="D1805" s="288"/>
      <c r="E1805" s="288"/>
      <c r="F1805" s="438"/>
      <c r="G1805" s="438"/>
      <c r="H1805" s="438"/>
      <c r="I1805" s="438"/>
      <c r="J1805" s="438"/>
    </row>
    <row r="1806" spans="1:10" x14ac:dyDescent="0.25">
      <c r="A1806" s="274"/>
      <c r="B1806" s="498"/>
      <c r="C1806" s="287"/>
      <c r="D1806" s="288"/>
      <c r="E1806" s="288"/>
      <c r="F1806" s="438"/>
      <c r="G1806" s="438"/>
      <c r="H1806" s="438"/>
      <c r="I1806" s="438"/>
      <c r="J1806" s="438"/>
    </row>
    <row r="1807" spans="1:10" x14ac:dyDescent="0.25">
      <c r="A1807" s="274"/>
      <c r="B1807" s="498"/>
      <c r="C1807" s="287"/>
      <c r="D1807" s="288"/>
      <c r="E1807" s="288"/>
      <c r="F1807" s="438"/>
      <c r="G1807" s="438"/>
      <c r="H1807" s="438"/>
      <c r="I1807" s="438"/>
      <c r="J1807" s="438"/>
    </row>
    <row r="1808" spans="1:10" x14ac:dyDescent="0.25">
      <c r="A1808" s="274"/>
      <c r="B1808" s="498"/>
      <c r="C1808" s="287"/>
      <c r="D1808" s="288"/>
      <c r="E1808" s="288"/>
      <c r="F1808" s="438"/>
      <c r="G1808" s="438"/>
      <c r="H1808" s="438"/>
      <c r="I1808" s="438"/>
      <c r="J1808" s="438"/>
    </row>
    <row r="1809" spans="1:10" x14ac:dyDescent="0.25">
      <c r="A1809" s="274"/>
      <c r="B1809" s="498"/>
      <c r="C1809" s="287"/>
      <c r="D1809" s="288"/>
      <c r="E1809" s="288"/>
      <c r="F1809" s="438"/>
      <c r="G1809" s="438"/>
      <c r="H1809" s="438"/>
      <c r="I1809" s="438"/>
      <c r="J1809" s="438"/>
    </row>
    <row r="1810" spans="1:10" x14ac:dyDescent="0.25">
      <c r="A1810" s="274"/>
      <c r="B1810" s="498"/>
      <c r="C1810" s="287"/>
      <c r="D1810" s="288"/>
      <c r="E1810" s="288"/>
      <c r="F1810" s="438"/>
      <c r="G1810" s="438"/>
      <c r="H1810" s="438"/>
      <c r="I1810" s="438"/>
      <c r="J1810" s="438"/>
    </row>
    <row r="1811" spans="1:10" x14ac:dyDescent="0.25">
      <c r="A1811" s="274"/>
      <c r="B1811" s="498"/>
      <c r="C1811" s="287"/>
      <c r="D1811" s="288"/>
      <c r="E1811" s="288"/>
      <c r="F1811" s="438"/>
      <c r="G1811" s="438"/>
      <c r="H1811" s="438"/>
      <c r="I1811" s="438"/>
      <c r="J1811" s="438"/>
    </row>
    <row r="1812" spans="1:10" x14ac:dyDescent="0.25">
      <c r="A1812" s="274"/>
      <c r="B1812" s="498"/>
      <c r="C1812" s="287"/>
      <c r="D1812" s="288"/>
      <c r="E1812" s="288"/>
      <c r="F1812" s="438"/>
      <c r="G1812" s="438"/>
      <c r="H1812" s="438"/>
      <c r="I1812" s="438"/>
      <c r="J1812" s="438"/>
    </row>
    <row r="1813" spans="1:10" x14ac:dyDescent="0.25">
      <c r="A1813" s="274"/>
      <c r="B1813" s="498"/>
      <c r="C1813" s="287"/>
      <c r="D1813" s="288"/>
      <c r="E1813" s="288"/>
      <c r="F1813" s="438"/>
      <c r="G1813" s="438"/>
      <c r="H1813" s="438"/>
      <c r="I1813" s="438"/>
      <c r="J1813" s="438"/>
    </row>
    <row r="1814" spans="1:10" x14ac:dyDescent="0.25">
      <c r="A1814" s="274"/>
      <c r="B1814" s="498"/>
      <c r="C1814" s="287"/>
      <c r="D1814" s="288"/>
      <c r="E1814" s="288"/>
      <c r="F1814" s="438"/>
      <c r="G1814" s="438"/>
      <c r="H1814" s="438"/>
      <c r="I1814" s="438"/>
      <c r="J1814" s="438"/>
    </row>
    <row r="1815" spans="1:10" x14ac:dyDescent="0.25">
      <c r="A1815" s="274"/>
      <c r="B1815" s="498"/>
      <c r="C1815" s="287"/>
      <c r="D1815" s="288"/>
      <c r="E1815" s="288"/>
      <c r="F1815" s="438"/>
      <c r="G1815" s="438"/>
      <c r="H1815" s="438"/>
      <c r="I1815" s="438"/>
      <c r="J1815" s="438"/>
    </row>
    <row r="1816" spans="1:10" x14ac:dyDescent="0.25">
      <c r="A1816" s="274"/>
      <c r="B1816" s="498"/>
      <c r="C1816" s="287"/>
      <c r="D1816" s="288"/>
      <c r="E1816" s="288"/>
      <c r="F1816" s="438"/>
      <c r="G1816" s="438"/>
      <c r="H1816" s="438"/>
      <c r="I1816" s="438"/>
      <c r="J1816" s="438"/>
    </row>
    <row r="1817" spans="1:10" x14ac:dyDescent="0.25">
      <c r="A1817" s="274"/>
      <c r="B1817" s="498"/>
      <c r="C1817" s="287"/>
      <c r="D1817" s="288"/>
      <c r="E1817" s="288"/>
      <c r="F1817" s="438"/>
      <c r="G1817" s="438"/>
      <c r="H1817" s="438"/>
      <c r="I1817" s="438"/>
      <c r="J1817" s="438"/>
    </row>
    <row r="1818" spans="1:10" x14ac:dyDescent="0.25">
      <c r="A1818" s="274"/>
      <c r="B1818" s="498"/>
      <c r="C1818" s="287"/>
      <c r="D1818" s="288"/>
      <c r="E1818" s="288"/>
      <c r="F1818" s="438"/>
      <c r="G1818" s="438"/>
      <c r="H1818" s="438"/>
      <c r="I1818" s="438"/>
      <c r="J1818" s="438"/>
    </row>
    <row r="1819" spans="1:10" x14ac:dyDescent="0.25">
      <c r="A1819" s="274"/>
      <c r="B1819" s="498"/>
      <c r="C1819" s="287"/>
      <c r="D1819" s="288"/>
      <c r="E1819" s="288"/>
      <c r="F1819" s="438"/>
      <c r="G1819" s="438"/>
      <c r="H1819" s="438"/>
      <c r="I1819" s="438"/>
      <c r="J1819" s="438"/>
    </row>
    <row r="1820" spans="1:10" x14ac:dyDescent="0.25">
      <c r="A1820" s="274"/>
      <c r="B1820" s="498"/>
      <c r="C1820" s="287"/>
      <c r="D1820" s="288"/>
      <c r="E1820" s="288"/>
      <c r="F1820" s="438"/>
      <c r="G1820" s="438"/>
      <c r="H1820" s="438"/>
      <c r="I1820" s="438"/>
      <c r="J1820" s="438"/>
    </row>
    <row r="1821" spans="1:10" x14ac:dyDescent="0.25">
      <c r="A1821" s="274"/>
      <c r="B1821" s="498"/>
      <c r="C1821" s="287"/>
      <c r="D1821" s="288"/>
      <c r="E1821" s="288"/>
      <c r="F1821" s="438"/>
      <c r="G1821" s="438"/>
      <c r="H1821" s="438"/>
      <c r="I1821" s="438"/>
      <c r="J1821" s="438"/>
    </row>
    <row r="1822" spans="1:10" x14ac:dyDescent="0.25">
      <c r="A1822" s="274"/>
      <c r="B1822" s="498"/>
      <c r="C1822" s="287"/>
      <c r="D1822" s="288"/>
      <c r="E1822" s="288"/>
      <c r="F1822" s="438"/>
      <c r="G1822" s="438"/>
      <c r="H1822" s="438"/>
      <c r="I1822" s="438"/>
      <c r="J1822" s="438"/>
    </row>
    <row r="1823" spans="1:10" x14ac:dyDescent="0.25">
      <c r="A1823" s="274"/>
      <c r="B1823" s="498"/>
      <c r="C1823" s="287"/>
      <c r="D1823" s="288"/>
      <c r="E1823" s="288"/>
      <c r="F1823" s="438"/>
      <c r="G1823" s="438"/>
      <c r="H1823" s="438"/>
      <c r="I1823" s="438"/>
      <c r="J1823" s="438"/>
    </row>
    <row r="1824" spans="1:10" x14ac:dyDescent="0.25">
      <c r="A1824" s="274"/>
      <c r="B1824" s="498"/>
      <c r="C1824" s="287"/>
      <c r="D1824" s="288"/>
      <c r="E1824" s="288"/>
      <c r="F1824" s="438"/>
      <c r="G1824" s="438"/>
      <c r="H1824" s="438"/>
      <c r="I1824" s="438"/>
      <c r="J1824" s="438"/>
    </row>
    <row r="1825" spans="1:10" x14ac:dyDescent="0.25">
      <c r="A1825" s="274"/>
      <c r="B1825" s="498"/>
      <c r="C1825" s="287"/>
      <c r="D1825" s="288"/>
      <c r="E1825" s="288"/>
      <c r="F1825" s="438"/>
      <c r="G1825" s="438"/>
      <c r="H1825" s="438"/>
      <c r="I1825" s="438"/>
      <c r="J1825" s="438"/>
    </row>
    <row r="1826" spans="1:10" x14ac:dyDescent="0.25">
      <c r="A1826" s="274"/>
      <c r="B1826" s="498"/>
      <c r="C1826" s="287"/>
      <c r="D1826" s="288"/>
      <c r="E1826" s="288"/>
      <c r="F1826" s="438"/>
      <c r="G1826" s="438"/>
      <c r="H1826" s="438"/>
      <c r="I1826" s="438"/>
      <c r="J1826" s="438"/>
    </row>
    <row r="1827" spans="1:10" x14ac:dyDescent="0.25">
      <c r="A1827" s="274"/>
      <c r="B1827" s="498"/>
      <c r="C1827" s="287"/>
      <c r="D1827" s="288"/>
      <c r="E1827" s="288"/>
      <c r="F1827" s="438"/>
      <c r="G1827" s="438"/>
      <c r="H1827" s="438"/>
      <c r="I1827" s="438"/>
      <c r="J1827" s="438"/>
    </row>
    <row r="1828" spans="1:10" x14ac:dyDescent="0.25">
      <c r="A1828" s="274"/>
      <c r="B1828" s="498"/>
      <c r="C1828" s="287"/>
      <c r="D1828" s="288"/>
      <c r="E1828" s="288"/>
      <c r="F1828" s="438"/>
      <c r="G1828" s="438"/>
      <c r="H1828" s="438"/>
      <c r="I1828" s="438"/>
      <c r="J1828" s="438"/>
    </row>
    <row r="1829" spans="1:10" x14ac:dyDescent="0.25">
      <c r="A1829" s="274"/>
      <c r="B1829" s="498"/>
      <c r="C1829" s="287"/>
      <c r="D1829" s="288"/>
      <c r="E1829" s="288"/>
      <c r="F1829" s="438"/>
      <c r="G1829" s="438"/>
      <c r="H1829" s="438"/>
      <c r="I1829" s="438"/>
      <c r="J1829" s="438"/>
    </row>
    <row r="1830" spans="1:10" x14ac:dyDescent="0.25">
      <c r="A1830" s="274"/>
      <c r="B1830" s="498"/>
      <c r="C1830" s="287"/>
      <c r="D1830" s="288"/>
      <c r="E1830" s="288"/>
      <c r="F1830" s="438"/>
      <c r="G1830" s="438"/>
      <c r="H1830" s="438"/>
      <c r="I1830" s="438"/>
      <c r="J1830" s="438"/>
    </row>
    <row r="1831" spans="1:10" x14ac:dyDescent="0.25">
      <c r="A1831" s="274"/>
      <c r="B1831" s="498"/>
      <c r="C1831" s="287"/>
      <c r="D1831" s="288"/>
      <c r="E1831" s="288"/>
      <c r="F1831" s="438"/>
      <c r="G1831" s="438"/>
      <c r="H1831" s="438"/>
      <c r="I1831" s="438"/>
      <c r="J1831" s="438"/>
    </row>
    <row r="1832" spans="1:10" x14ac:dyDescent="0.25">
      <c r="A1832" s="274"/>
      <c r="B1832" s="498"/>
      <c r="C1832" s="287"/>
      <c r="D1832" s="288"/>
      <c r="E1832" s="288"/>
      <c r="F1832" s="438"/>
      <c r="G1832" s="438"/>
      <c r="H1832" s="438"/>
      <c r="I1832" s="438"/>
      <c r="J1832" s="438"/>
    </row>
    <row r="1833" spans="1:10" x14ac:dyDescent="0.25">
      <c r="A1833" s="274"/>
      <c r="B1833" s="498"/>
      <c r="C1833" s="287"/>
      <c r="D1833" s="288"/>
      <c r="E1833" s="288"/>
      <c r="F1833" s="438"/>
      <c r="G1833" s="438"/>
      <c r="H1833" s="438"/>
      <c r="I1833" s="438"/>
      <c r="J1833" s="438"/>
    </row>
    <row r="1834" spans="1:10" x14ac:dyDescent="0.25">
      <c r="A1834" s="274"/>
      <c r="B1834" s="498"/>
      <c r="C1834" s="287"/>
      <c r="D1834" s="288"/>
      <c r="E1834" s="288"/>
      <c r="F1834" s="438"/>
      <c r="G1834" s="438"/>
      <c r="H1834" s="438"/>
      <c r="I1834" s="438"/>
      <c r="J1834" s="438"/>
    </row>
    <row r="1835" spans="1:10" x14ac:dyDescent="0.25">
      <c r="A1835" s="274"/>
      <c r="B1835" s="498"/>
      <c r="C1835" s="287"/>
      <c r="D1835" s="288"/>
      <c r="E1835" s="288"/>
      <c r="F1835" s="438"/>
      <c r="G1835" s="438"/>
      <c r="H1835" s="438"/>
      <c r="I1835" s="438"/>
      <c r="J1835" s="438"/>
    </row>
    <row r="1836" spans="1:10" x14ac:dyDescent="0.25">
      <c r="A1836" s="274"/>
      <c r="B1836" s="498"/>
      <c r="C1836" s="287"/>
      <c r="D1836" s="288"/>
      <c r="E1836" s="288"/>
      <c r="F1836" s="438"/>
      <c r="G1836" s="438"/>
      <c r="H1836" s="438"/>
      <c r="I1836" s="438"/>
      <c r="J1836" s="438"/>
    </row>
    <row r="1837" spans="1:10" x14ac:dyDescent="0.25">
      <c r="A1837" s="274"/>
      <c r="B1837" s="498"/>
      <c r="C1837" s="287"/>
      <c r="D1837" s="288"/>
      <c r="E1837" s="288"/>
      <c r="F1837" s="438"/>
      <c r="G1837" s="438"/>
      <c r="H1837" s="438"/>
      <c r="I1837" s="438"/>
      <c r="J1837" s="438"/>
    </row>
    <row r="1838" spans="1:10" x14ac:dyDescent="0.25">
      <c r="A1838" s="274"/>
      <c r="B1838" s="498"/>
      <c r="C1838" s="287"/>
      <c r="D1838" s="288"/>
      <c r="E1838" s="288"/>
      <c r="F1838" s="438"/>
      <c r="G1838" s="438"/>
      <c r="H1838" s="438"/>
      <c r="I1838" s="438"/>
      <c r="J1838" s="438"/>
    </row>
    <row r="1839" spans="1:10" x14ac:dyDescent="0.25">
      <c r="A1839" s="274"/>
      <c r="B1839" s="498"/>
      <c r="C1839" s="287"/>
      <c r="D1839" s="288"/>
      <c r="E1839" s="288"/>
      <c r="F1839" s="438"/>
      <c r="G1839" s="438"/>
      <c r="H1839" s="438"/>
      <c r="I1839" s="438"/>
      <c r="J1839" s="438"/>
    </row>
    <row r="1840" spans="1:10" x14ac:dyDescent="0.25">
      <c r="A1840" s="274"/>
      <c r="B1840" s="498"/>
      <c r="C1840" s="287"/>
      <c r="D1840" s="288"/>
      <c r="E1840" s="288"/>
      <c r="F1840" s="438"/>
      <c r="G1840" s="438"/>
      <c r="H1840" s="438"/>
      <c r="I1840" s="438"/>
      <c r="J1840" s="438"/>
    </row>
    <row r="1841" spans="1:10" x14ac:dyDescent="0.25">
      <c r="A1841" s="274"/>
      <c r="B1841" s="498"/>
      <c r="C1841" s="287"/>
      <c r="D1841" s="288"/>
      <c r="E1841" s="288"/>
      <c r="F1841" s="438"/>
      <c r="G1841" s="438"/>
      <c r="H1841" s="438"/>
      <c r="I1841" s="438"/>
      <c r="J1841" s="438"/>
    </row>
    <row r="1842" spans="1:10" x14ac:dyDescent="0.25">
      <c r="A1842" s="274"/>
      <c r="B1842" s="498"/>
      <c r="C1842" s="287"/>
      <c r="D1842" s="288"/>
      <c r="E1842" s="288"/>
      <c r="F1842" s="438"/>
      <c r="G1842" s="438"/>
      <c r="H1842" s="438"/>
      <c r="I1842" s="438"/>
      <c r="J1842" s="438"/>
    </row>
    <row r="1843" spans="1:10" x14ac:dyDescent="0.25">
      <c r="A1843" s="274"/>
      <c r="B1843" s="498"/>
      <c r="C1843" s="287"/>
      <c r="D1843" s="288"/>
      <c r="E1843" s="288"/>
      <c r="F1843" s="438"/>
      <c r="G1843" s="438"/>
      <c r="H1843" s="438"/>
      <c r="I1843" s="438"/>
      <c r="J1843" s="438"/>
    </row>
    <row r="1844" spans="1:10" x14ac:dyDescent="0.25">
      <c r="A1844" s="274"/>
      <c r="B1844" s="498"/>
      <c r="C1844" s="287"/>
      <c r="D1844" s="288"/>
      <c r="E1844" s="288"/>
      <c r="F1844" s="438"/>
      <c r="G1844" s="438"/>
      <c r="H1844" s="438"/>
      <c r="I1844" s="438"/>
      <c r="J1844" s="438"/>
    </row>
    <row r="1845" spans="1:10" x14ac:dyDescent="0.25">
      <c r="A1845" s="274"/>
      <c r="B1845" s="498"/>
      <c r="C1845" s="287"/>
      <c r="D1845" s="288"/>
      <c r="E1845" s="288"/>
      <c r="F1845" s="438"/>
      <c r="G1845" s="438"/>
      <c r="H1845" s="438"/>
      <c r="I1845" s="438"/>
      <c r="J1845" s="438"/>
    </row>
    <row r="1846" spans="1:10" x14ac:dyDescent="0.25">
      <c r="A1846" s="274"/>
      <c r="B1846" s="498"/>
      <c r="C1846" s="287"/>
      <c r="D1846" s="288"/>
      <c r="E1846" s="288"/>
      <c r="F1846" s="438"/>
      <c r="G1846" s="438"/>
      <c r="H1846" s="438"/>
      <c r="I1846" s="438"/>
      <c r="J1846" s="438"/>
    </row>
    <row r="1847" spans="1:10" x14ac:dyDescent="0.25">
      <c r="A1847" s="274"/>
      <c r="B1847" s="498"/>
      <c r="C1847" s="287"/>
      <c r="D1847" s="288"/>
      <c r="E1847" s="288"/>
      <c r="F1847" s="438"/>
      <c r="G1847" s="438"/>
      <c r="H1847" s="438"/>
      <c r="I1847" s="438"/>
      <c r="J1847" s="438"/>
    </row>
    <row r="1848" spans="1:10" x14ac:dyDescent="0.25">
      <c r="A1848" s="274"/>
      <c r="B1848" s="498"/>
      <c r="C1848" s="287"/>
      <c r="D1848" s="288"/>
      <c r="E1848" s="288"/>
      <c r="F1848" s="438"/>
      <c r="G1848" s="438"/>
      <c r="H1848" s="438"/>
      <c r="I1848" s="438"/>
      <c r="J1848" s="438"/>
    </row>
    <row r="1849" spans="1:10" x14ac:dyDescent="0.25">
      <c r="A1849" s="274"/>
      <c r="B1849" s="498"/>
      <c r="C1849" s="287"/>
      <c r="D1849" s="288"/>
      <c r="E1849" s="288"/>
      <c r="F1849" s="438"/>
      <c r="G1849" s="438"/>
      <c r="H1849" s="438"/>
      <c r="I1849" s="438"/>
      <c r="J1849" s="438"/>
    </row>
    <row r="1850" spans="1:10" x14ac:dyDescent="0.25">
      <c r="A1850" s="274"/>
      <c r="B1850" s="498"/>
      <c r="C1850" s="287"/>
      <c r="D1850" s="288"/>
      <c r="E1850" s="288"/>
      <c r="F1850" s="438"/>
      <c r="G1850" s="438"/>
      <c r="H1850" s="438"/>
      <c r="I1850" s="438"/>
      <c r="J1850" s="438"/>
    </row>
    <row r="1851" spans="1:10" x14ac:dyDescent="0.25">
      <c r="A1851" s="274"/>
      <c r="B1851" s="498"/>
      <c r="C1851" s="287"/>
      <c r="D1851" s="288"/>
      <c r="E1851" s="288"/>
      <c r="F1851" s="438"/>
      <c r="G1851" s="438"/>
      <c r="H1851" s="438"/>
      <c r="I1851" s="438"/>
      <c r="J1851" s="438"/>
    </row>
    <row r="1852" spans="1:10" x14ac:dyDescent="0.25">
      <c r="A1852" s="274"/>
      <c r="B1852" s="498"/>
      <c r="C1852" s="287"/>
      <c r="D1852" s="288"/>
      <c r="E1852" s="288"/>
      <c r="F1852" s="438"/>
      <c r="G1852" s="438"/>
      <c r="H1852" s="438"/>
      <c r="I1852" s="438"/>
      <c r="J1852" s="438"/>
    </row>
    <row r="1853" spans="1:10" x14ac:dyDescent="0.25">
      <c r="A1853" s="274"/>
      <c r="B1853" s="498"/>
      <c r="C1853" s="287"/>
      <c r="D1853" s="288"/>
      <c r="E1853" s="288"/>
      <c r="F1853" s="438"/>
      <c r="G1853" s="438"/>
      <c r="H1853" s="438"/>
      <c r="I1853" s="438"/>
      <c r="J1853" s="438"/>
    </row>
    <row r="1854" spans="1:10" x14ac:dyDescent="0.25">
      <c r="A1854" s="274"/>
      <c r="B1854" s="498"/>
      <c r="C1854" s="287"/>
      <c r="D1854" s="288"/>
      <c r="E1854" s="288"/>
      <c r="F1854" s="438"/>
      <c r="G1854" s="438"/>
      <c r="H1854" s="438"/>
      <c r="I1854" s="438"/>
      <c r="J1854" s="438"/>
    </row>
    <row r="1855" spans="1:10" x14ac:dyDescent="0.25">
      <c r="A1855" s="274"/>
      <c r="B1855" s="498"/>
      <c r="C1855" s="287"/>
      <c r="D1855" s="288"/>
      <c r="E1855" s="288"/>
      <c r="F1855" s="438"/>
      <c r="G1855" s="438"/>
      <c r="H1855" s="438"/>
      <c r="I1855" s="438"/>
      <c r="J1855" s="438"/>
    </row>
    <row r="1856" spans="1:10" x14ac:dyDescent="0.25">
      <c r="A1856" s="274"/>
      <c r="B1856" s="498"/>
      <c r="C1856" s="287"/>
      <c r="D1856" s="288"/>
      <c r="E1856" s="288"/>
      <c r="F1856" s="438"/>
      <c r="G1856" s="438"/>
      <c r="H1856" s="438"/>
      <c r="I1856" s="438"/>
      <c r="J1856" s="438"/>
    </row>
    <row r="1857" spans="1:10" x14ac:dyDescent="0.25">
      <c r="A1857" s="274"/>
      <c r="B1857" s="498"/>
      <c r="C1857" s="287"/>
      <c r="D1857" s="288"/>
      <c r="E1857" s="288"/>
      <c r="F1857" s="438"/>
      <c r="G1857" s="438"/>
      <c r="H1857" s="438"/>
      <c r="I1857" s="438"/>
      <c r="J1857" s="438"/>
    </row>
    <row r="1858" spans="1:10" x14ac:dyDescent="0.25">
      <c r="A1858" s="274"/>
      <c r="B1858" s="498"/>
      <c r="C1858" s="287"/>
      <c r="D1858" s="288"/>
      <c r="E1858" s="288"/>
      <c r="F1858" s="438"/>
      <c r="G1858" s="438"/>
      <c r="H1858" s="438"/>
      <c r="I1858" s="438"/>
      <c r="J1858" s="438"/>
    </row>
    <row r="1859" spans="1:10" x14ac:dyDescent="0.25">
      <c r="A1859" s="274"/>
      <c r="B1859" s="498"/>
      <c r="C1859" s="287"/>
      <c r="D1859" s="288"/>
      <c r="E1859" s="288"/>
      <c r="F1859" s="438"/>
      <c r="G1859" s="438"/>
      <c r="H1859" s="438"/>
      <c r="I1859" s="438"/>
      <c r="J1859" s="438"/>
    </row>
    <row r="1860" spans="1:10" x14ac:dyDescent="0.25">
      <c r="A1860" s="274"/>
      <c r="B1860" s="498"/>
      <c r="C1860" s="287"/>
      <c r="D1860" s="288"/>
      <c r="E1860" s="288"/>
      <c r="F1860" s="438"/>
      <c r="G1860" s="438"/>
      <c r="H1860" s="438"/>
      <c r="I1860" s="438"/>
      <c r="J1860" s="438"/>
    </row>
    <row r="1861" spans="1:10" x14ac:dyDescent="0.25">
      <c r="A1861" s="274"/>
      <c r="B1861" s="498"/>
      <c r="C1861" s="287"/>
      <c r="D1861" s="288"/>
      <c r="E1861" s="288"/>
      <c r="F1861" s="438"/>
      <c r="G1861" s="438"/>
      <c r="H1861" s="438"/>
      <c r="I1861" s="438"/>
      <c r="J1861" s="438"/>
    </row>
    <row r="1862" spans="1:10" x14ac:dyDescent="0.25">
      <c r="A1862" s="274"/>
      <c r="B1862" s="498"/>
      <c r="C1862" s="287"/>
      <c r="D1862" s="288"/>
      <c r="E1862" s="288"/>
      <c r="F1862" s="438"/>
      <c r="G1862" s="438"/>
      <c r="H1862" s="438"/>
      <c r="I1862" s="438"/>
      <c r="J1862" s="438"/>
    </row>
    <row r="1863" spans="1:10" x14ac:dyDescent="0.25">
      <c r="A1863" s="274"/>
      <c r="B1863" s="498"/>
      <c r="C1863" s="287"/>
      <c r="D1863" s="288"/>
      <c r="E1863" s="288"/>
      <c r="F1863" s="438"/>
      <c r="G1863" s="438"/>
      <c r="H1863" s="438"/>
      <c r="I1863" s="438"/>
      <c r="J1863" s="438"/>
    </row>
    <row r="1864" spans="1:10" x14ac:dyDescent="0.25">
      <c r="A1864" s="274"/>
      <c r="B1864" s="498"/>
      <c r="C1864" s="287"/>
      <c r="D1864" s="288"/>
      <c r="E1864" s="288"/>
      <c r="F1864" s="438"/>
      <c r="G1864" s="438"/>
      <c r="H1864" s="438"/>
      <c r="I1864" s="438"/>
      <c r="J1864" s="438"/>
    </row>
    <row r="1865" spans="1:10" x14ac:dyDescent="0.25">
      <c r="A1865" s="274"/>
      <c r="B1865" s="498"/>
      <c r="C1865" s="287"/>
      <c r="D1865" s="288"/>
      <c r="E1865" s="288"/>
      <c r="F1865" s="438"/>
      <c r="G1865" s="438"/>
      <c r="H1865" s="438"/>
      <c r="I1865" s="438"/>
      <c r="J1865" s="438"/>
    </row>
    <row r="1866" spans="1:10" x14ac:dyDescent="0.25">
      <c r="A1866" s="274"/>
      <c r="B1866" s="498"/>
      <c r="C1866" s="287"/>
      <c r="D1866" s="288"/>
      <c r="E1866" s="288"/>
      <c r="F1866" s="438"/>
      <c r="G1866" s="438"/>
      <c r="H1866" s="438"/>
      <c r="I1866" s="438"/>
      <c r="J1866" s="438"/>
    </row>
    <row r="1867" spans="1:10" x14ac:dyDescent="0.25">
      <c r="A1867" s="274"/>
      <c r="B1867" s="498"/>
      <c r="C1867" s="287"/>
      <c r="D1867" s="288"/>
      <c r="E1867" s="288"/>
      <c r="F1867" s="438"/>
      <c r="G1867" s="438"/>
      <c r="H1867" s="438"/>
      <c r="I1867" s="438"/>
      <c r="J1867" s="438"/>
    </row>
    <row r="1868" spans="1:10" x14ac:dyDescent="0.25">
      <c r="A1868" s="274"/>
      <c r="B1868" s="498"/>
      <c r="C1868" s="287"/>
      <c r="D1868" s="288"/>
      <c r="E1868" s="288"/>
      <c r="F1868" s="438"/>
      <c r="G1868" s="438"/>
      <c r="H1868" s="438"/>
      <c r="I1868" s="438"/>
      <c r="J1868" s="438"/>
    </row>
    <row r="1869" spans="1:10" x14ac:dyDescent="0.25">
      <c r="A1869" s="274"/>
      <c r="B1869" s="498"/>
      <c r="C1869" s="287"/>
      <c r="D1869" s="288"/>
      <c r="E1869" s="288"/>
      <c r="F1869" s="438"/>
      <c r="G1869" s="438"/>
      <c r="H1869" s="438"/>
      <c r="I1869" s="438"/>
      <c r="J1869" s="438"/>
    </row>
    <row r="1870" spans="1:10" x14ac:dyDescent="0.25">
      <c r="A1870" s="274"/>
      <c r="B1870" s="498"/>
      <c r="C1870" s="287"/>
      <c r="D1870" s="288"/>
      <c r="E1870" s="288"/>
      <c r="F1870" s="438"/>
      <c r="G1870" s="438"/>
      <c r="H1870" s="438"/>
      <c r="I1870" s="438"/>
      <c r="J1870" s="438"/>
    </row>
    <row r="1871" spans="1:10" x14ac:dyDescent="0.25">
      <c r="A1871" s="274"/>
      <c r="B1871" s="498"/>
      <c r="C1871" s="287"/>
      <c r="D1871" s="288"/>
      <c r="E1871" s="288"/>
      <c r="F1871" s="438"/>
      <c r="G1871" s="438"/>
      <c r="H1871" s="438"/>
      <c r="I1871" s="438"/>
      <c r="J1871" s="438"/>
    </row>
    <row r="1872" spans="1:10" x14ac:dyDescent="0.25">
      <c r="A1872" s="274"/>
      <c r="B1872" s="498"/>
      <c r="C1872" s="287"/>
      <c r="D1872" s="288"/>
      <c r="E1872" s="288"/>
      <c r="F1872" s="438"/>
      <c r="G1872" s="438"/>
      <c r="H1872" s="438"/>
      <c r="I1872" s="438"/>
      <c r="J1872" s="438"/>
    </row>
    <row r="1873" spans="1:10" x14ac:dyDescent="0.25">
      <c r="A1873" s="274"/>
      <c r="B1873" s="498"/>
      <c r="C1873" s="287"/>
      <c r="D1873" s="288"/>
      <c r="E1873" s="288"/>
      <c r="F1873" s="438"/>
      <c r="G1873" s="438"/>
      <c r="H1873" s="438"/>
      <c r="I1873" s="438"/>
      <c r="J1873" s="438"/>
    </row>
    <row r="1874" spans="1:10" x14ac:dyDescent="0.25">
      <c r="A1874" s="274"/>
      <c r="B1874" s="498"/>
      <c r="C1874" s="287"/>
      <c r="D1874" s="288"/>
      <c r="E1874" s="288"/>
      <c r="F1874" s="438"/>
      <c r="G1874" s="438"/>
      <c r="H1874" s="438"/>
      <c r="I1874" s="438"/>
      <c r="J1874" s="438"/>
    </row>
    <row r="1875" spans="1:10" x14ac:dyDescent="0.25">
      <c r="A1875" s="274"/>
      <c r="B1875" s="498"/>
      <c r="C1875" s="287"/>
      <c r="D1875" s="288"/>
      <c r="E1875" s="288"/>
      <c r="F1875" s="438"/>
      <c r="G1875" s="438"/>
      <c r="H1875" s="438"/>
      <c r="I1875" s="438"/>
      <c r="J1875" s="438"/>
    </row>
    <row r="1876" spans="1:10" x14ac:dyDescent="0.25">
      <c r="A1876" s="274"/>
      <c r="B1876" s="498"/>
      <c r="C1876" s="287"/>
      <c r="D1876" s="288"/>
      <c r="E1876" s="288"/>
      <c r="F1876" s="438"/>
      <c r="G1876" s="438"/>
      <c r="H1876" s="438"/>
      <c r="I1876" s="438"/>
      <c r="J1876" s="438"/>
    </row>
    <row r="1877" spans="1:10" x14ac:dyDescent="0.25">
      <c r="A1877" s="274"/>
      <c r="B1877" s="498"/>
      <c r="C1877" s="287"/>
      <c r="D1877" s="288"/>
      <c r="E1877" s="288"/>
      <c r="F1877" s="438"/>
      <c r="G1877" s="438"/>
      <c r="H1877" s="438"/>
      <c r="I1877" s="438"/>
      <c r="J1877" s="438"/>
    </row>
    <row r="1878" spans="1:10" x14ac:dyDescent="0.25">
      <c r="A1878" s="274"/>
      <c r="B1878" s="498"/>
      <c r="C1878" s="287"/>
      <c r="D1878" s="288"/>
      <c r="E1878" s="288"/>
      <c r="F1878" s="438"/>
      <c r="G1878" s="438"/>
      <c r="H1878" s="438"/>
      <c r="I1878" s="438"/>
      <c r="J1878" s="438"/>
    </row>
    <row r="1879" spans="1:10" x14ac:dyDescent="0.25">
      <c r="A1879" s="274"/>
      <c r="B1879" s="498"/>
      <c r="C1879" s="287"/>
      <c r="D1879" s="288"/>
      <c r="E1879" s="288"/>
      <c r="F1879" s="438"/>
      <c r="G1879" s="438"/>
      <c r="H1879" s="438"/>
      <c r="I1879" s="438"/>
      <c r="J1879" s="438"/>
    </row>
    <row r="1880" spans="1:10" x14ac:dyDescent="0.25">
      <c r="A1880" s="274"/>
      <c r="B1880" s="498"/>
      <c r="C1880" s="287"/>
      <c r="D1880" s="288"/>
      <c r="E1880" s="288"/>
      <c r="F1880" s="438"/>
      <c r="G1880" s="438"/>
      <c r="H1880" s="438"/>
      <c r="I1880" s="438"/>
      <c r="J1880" s="438"/>
    </row>
    <row r="1881" spans="1:10" x14ac:dyDescent="0.25">
      <c r="A1881" s="274"/>
      <c r="B1881" s="498"/>
      <c r="C1881" s="287"/>
      <c r="D1881" s="288"/>
      <c r="E1881" s="288"/>
      <c r="F1881" s="438"/>
      <c r="G1881" s="438"/>
      <c r="H1881" s="438"/>
      <c r="I1881" s="438"/>
      <c r="J1881" s="438"/>
    </row>
    <row r="1882" spans="1:10" x14ac:dyDescent="0.25">
      <c r="A1882" s="274"/>
      <c r="B1882" s="498"/>
      <c r="C1882" s="287"/>
      <c r="D1882" s="288"/>
      <c r="E1882" s="288"/>
      <c r="F1882" s="438"/>
      <c r="G1882" s="438"/>
      <c r="H1882" s="438"/>
      <c r="I1882" s="438"/>
      <c r="J1882" s="438"/>
    </row>
    <row r="1883" spans="1:10" x14ac:dyDescent="0.25">
      <c r="A1883" s="274"/>
      <c r="B1883" s="498"/>
      <c r="C1883" s="287"/>
      <c r="D1883" s="288"/>
      <c r="E1883" s="288"/>
      <c r="F1883" s="438"/>
      <c r="G1883" s="438"/>
      <c r="H1883" s="438"/>
      <c r="I1883" s="438"/>
      <c r="J1883" s="438"/>
    </row>
    <row r="1884" spans="1:10" x14ac:dyDescent="0.25">
      <c r="A1884" s="274"/>
      <c r="B1884" s="498"/>
      <c r="C1884" s="287"/>
      <c r="D1884" s="288"/>
      <c r="E1884" s="288"/>
      <c r="F1884" s="438"/>
      <c r="G1884" s="438"/>
      <c r="H1884" s="438"/>
      <c r="I1884" s="438"/>
      <c r="J1884" s="438"/>
    </row>
    <row r="1885" spans="1:10" x14ac:dyDescent="0.25">
      <c r="A1885" s="274"/>
      <c r="B1885" s="498"/>
      <c r="C1885" s="287"/>
      <c r="D1885" s="288"/>
      <c r="E1885" s="288"/>
      <c r="F1885" s="438"/>
      <c r="G1885" s="438"/>
      <c r="H1885" s="438"/>
      <c r="I1885" s="438"/>
      <c r="J1885" s="438"/>
    </row>
    <row r="1886" spans="1:10" x14ac:dyDescent="0.25">
      <c r="A1886" s="274"/>
      <c r="B1886" s="498"/>
      <c r="C1886" s="287"/>
      <c r="D1886" s="288"/>
      <c r="E1886" s="288"/>
      <c r="F1886" s="438"/>
      <c r="G1886" s="438"/>
      <c r="H1886" s="438"/>
      <c r="I1886" s="438"/>
      <c r="J1886" s="438"/>
    </row>
    <row r="1887" spans="1:10" x14ac:dyDescent="0.25">
      <c r="A1887" s="274"/>
      <c r="B1887" s="498"/>
      <c r="C1887" s="287"/>
      <c r="D1887" s="288"/>
      <c r="E1887" s="288"/>
      <c r="F1887" s="438"/>
      <c r="G1887" s="438"/>
      <c r="H1887" s="438"/>
      <c r="I1887" s="438"/>
      <c r="J1887" s="438"/>
    </row>
    <row r="1888" spans="1:10" x14ac:dyDescent="0.25">
      <c r="A1888" s="274"/>
      <c r="B1888" s="498"/>
      <c r="C1888" s="287"/>
      <c r="D1888" s="288"/>
      <c r="E1888" s="288"/>
      <c r="F1888" s="438"/>
      <c r="G1888" s="438"/>
      <c r="H1888" s="438"/>
      <c r="I1888" s="438"/>
      <c r="J1888" s="438"/>
    </row>
    <row r="1889" spans="1:10" x14ac:dyDescent="0.25">
      <c r="A1889" s="274"/>
      <c r="B1889" s="498"/>
      <c r="C1889" s="287"/>
      <c r="D1889" s="288"/>
      <c r="E1889" s="288"/>
      <c r="F1889" s="438"/>
      <c r="G1889" s="438"/>
      <c r="H1889" s="438"/>
      <c r="I1889" s="438"/>
      <c r="J1889" s="438"/>
    </row>
    <row r="1890" spans="1:10" x14ac:dyDescent="0.25">
      <c r="A1890" s="274"/>
      <c r="B1890" s="498"/>
      <c r="C1890" s="287"/>
      <c r="D1890" s="288"/>
      <c r="E1890" s="288"/>
      <c r="F1890" s="438"/>
      <c r="G1890" s="438"/>
      <c r="H1890" s="438"/>
      <c r="I1890" s="438"/>
      <c r="J1890" s="438"/>
    </row>
    <row r="1891" spans="1:10" x14ac:dyDescent="0.25">
      <c r="A1891" s="274"/>
      <c r="B1891" s="498"/>
      <c r="C1891" s="287"/>
      <c r="D1891" s="288"/>
      <c r="E1891" s="288"/>
      <c r="F1891" s="438"/>
      <c r="G1891" s="438"/>
      <c r="H1891" s="438"/>
      <c r="I1891" s="438"/>
      <c r="J1891" s="438"/>
    </row>
    <row r="1892" spans="1:10" x14ac:dyDescent="0.25">
      <c r="A1892" s="274"/>
      <c r="B1892" s="498"/>
      <c r="C1892" s="287"/>
      <c r="D1892" s="288"/>
      <c r="E1892" s="288"/>
      <c r="F1892" s="438"/>
      <c r="G1892" s="438"/>
      <c r="H1892" s="438"/>
      <c r="I1892" s="438"/>
      <c r="J1892" s="438"/>
    </row>
    <row r="1893" spans="1:10" x14ac:dyDescent="0.25">
      <c r="A1893" s="274"/>
      <c r="B1893" s="498"/>
      <c r="C1893" s="287"/>
      <c r="D1893" s="288"/>
      <c r="E1893" s="288"/>
      <c r="F1893" s="438"/>
      <c r="G1893" s="438"/>
      <c r="H1893" s="438"/>
      <c r="I1893" s="438"/>
      <c r="J1893" s="438"/>
    </row>
    <row r="1894" spans="1:10" x14ac:dyDescent="0.25">
      <c r="A1894" s="274"/>
      <c r="B1894" s="498"/>
      <c r="C1894" s="287"/>
      <c r="D1894" s="288"/>
      <c r="E1894" s="288"/>
      <c r="F1894" s="438"/>
      <c r="G1894" s="438"/>
      <c r="H1894" s="438"/>
      <c r="I1894" s="438"/>
      <c r="J1894" s="438"/>
    </row>
    <row r="1895" spans="1:10" x14ac:dyDescent="0.25">
      <c r="A1895" s="274"/>
      <c r="B1895" s="498"/>
      <c r="C1895" s="287"/>
      <c r="D1895" s="288"/>
      <c r="E1895" s="288"/>
      <c r="F1895" s="438"/>
      <c r="G1895" s="438"/>
      <c r="H1895" s="438"/>
      <c r="I1895" s="438"/>
      <c r="J1895" s="438"/>
    </row>
    <row r="1896" spans="1:10" x14ac:dyDescent="0.25">
      <c r="A1896" s="274"/>
      <c r="B1896" s="498"/>
      <c r="C1896" s="287"/>
      <c r="D1896" s="288"/>
      <c r="E1896" s="288"/>
      <c r="F1896" s="438"/>
      <c r="G1896" s="438"/>
      <c r="H1896" s="438"/>
      <c r="I1896" s="438"/>
      <c r="J1896" s="438"/>
    </row>
    <row r="1897" spans="1:10" x14ac:dyDescent="0.25">
      <c r="A1897" s="274"/>
      <c r="B1897" s="498"/>
      <c r="C1897" s="287"/>
      <c r="D1897" s="288"/>
      <c r="E1897" s="288"/>
      <c r="F1897" s="438"/>
      <c r="G1897" s="438"/>
      <c r="H1897" s="438"/>
      <c r="I1897" s="438"/>
      <c r="J1897" s="438"/>
    </row>
    <row r="1898" spans="1:10" x14ac:dyDescent="0.25">
      <c r="A1898" s="274"/>
      <c r="B1898" s="498"/>
      <c r="C1898" s="287"/>
      <c r="D1898" s="288"/>
      <c r="E1898" s="288"/>
      <c r="F1898" s="438"/>
      <c r="G1898" s="438"/>
      <c r="H1898" s="438"/>
      <c r="I1898" s="438"/>
      <c r="J1898" s="438"/>
    </row>
    <row r="1899" spans="1:10" x14ac:dyDescent="0.25">
      <c r="A1899" s="274"/>
      <c r="B1899" s="498"/>
      <c r="C1899" s="287"/>
      <c r="D1899" s="288"/>
      <c r="E1899" s="288"/>
      <c r="F1899" s="438"/>
      <c r="G1899" s="438"/>
      <c r="H1899" s="438"/>
      <c r="I1899" s="438"/>
      <c r="J1899" s="438"/>
    </row>
    <row r="1900" spans="1:10" x14ac:dyDescent="0.25">
      <c r="A1900" s="274"/>
      <c r="B1900" s="498"/>
      <c r="C1900" s="287"/>
      <c r="D1900" s="288"/>
      <c r="E1900" s="288"/>
      <c r="F1900" s="438"/>
      <c r="G1900" s="438"/>
      <c r="H1900" s="438"/>
      <c r="I1900" s="438"/>
      <c r="J1900" s="438"/>
    </row>
    <row r="1901" spans="1:10" x14ac:dyDescent="0.25">
      <c r="A1901" s="274"/>
      <c r="B1901" s="498"/>
      <c r="C1901" s="287"/>
      <c r="D1901" s="288"/>
      <c r="E1901" s="288"/>
      <c r="F1901" s="438"/>
      <c r="G1901" s="438"/>
      <c r="H1901" s="438"/>
      <c r="I1901" s="438"/>
      <c r="J1901" s="438"/>
    </row>
    <row r="1902" spans="1:10" x14ac:dyDescent="0.25">
      <c r="A1902" s="274"/>
      <c r="B1902" s="498"/>
      <c r="C1902" s="287"/>
      <c r="D1902" s="288"/>
      <c r="E1902" s="288"/>
      <c r="F1902" s="438"/>
      <c r="G1902" s="438"/>
      <c r="H1902" s="438"/>
      <c r="I1902" s="438"/>
      <c r="J1902" s="438"/>
    </row>
    <row r="1903" spans="1:10" x14ac:dyDescent="0.25">
      <c r="A1903" s="274"/>
      <c r="B1903" s="498"/>
      <c r="C1903" s="287"/>
      <c r="D1903" s="288"/>
      <c r="E1903" s="288"/>
      <c r="F1903" s="438"/>
      <c r="G1903" s="438"/>
      <c r="H1903" s="438"/>
      <c r="I1903" s="438"/>
      <c r="J1903" s="438"/>
    </row>
    <row r="1904" spans="1:10" x14ac:dyDescent="0.25">
      <c r="A1904" s="274"/>
      <c r="B1904" s="498"/>
      <c r="C1904" s="287"/>
      <c r="D1904" s="288"/>
      <c r="E1904" s="288"/>
      <c r="F1904" s="438"/>
      <c r="G1904" s="438"/>
      <c r="H1904" s="438"/>
      <c r="I1904" s="438"/>
      <c r="J1904" s="438"/>
    </row>
    <row r="1905" spans="1:10" x14ac:dyDescent="0.25">
      <c r="A1905" s="274"/>
      <c r="B1905" s="498"/>
      <c r="C1905" s="287"/>
      <c r="D1905" s="288"/>
      <c r="E1905" s="288"/>
      <c r="F1905" s="438"/>
      <c r="G1905" s="438"/>
      <c r="H1905" s="438"/>
      <c r="I1905" s="438"/>
      <c r="J1905" s="438"/>
    </row>
    <row r="1906" spans="1:10" x14ac:dyDescent="0.25">
      <c r="A1906" s="274"/>
      <c r="B1906" s="498"/>
      <c r="C1906" s="287"/>
      <c r="D1906" s="288"/>
      <c r="E1906" s="288"/>
      <c r="F1906" s="438"/>
      <c r="G1906" s="438"/>
      <c r="H1906" s="438"/>
      <c r="I1906" s="438"/>
      <c r="J1906" s="438"/>
    </row>
    <row r="1907" spans="1:10" x14ac:dyDescent="0.25">
      <c r="A1907" s="274"/>
      <c r="B1907" s="498"/>
      <c r="C1907" s="287"/>
      <c r="D1907" s="288"/>
      <c r="E1907" s="288"/>
      <c r="F1907" s="438"/>
      <c r="G1907" s="438"/>
      <c r="H1907" s="438"/>
      <c r="I1907" s="438"/>
      <c r="J1907" s="438"/>
    </row>
    <row r="1908" spans="1:10" x14ac:dyDescent="0.25">
      <c r="A1908" s="274"/>
      <c r="B1908" s="498"/>
      <c r="C1908" s="287"/>
      <c r="D1908" s="288"/>
      <c r="E1908" s="288"/>
      <c r="F1908" s="438"/>
      <c r="G1908" s="438"/>
      <c r="H1908" s="438"/>
      <c r="I1908" s="438"/>
      <c r="J1908" s="438"/>
    </row>
    <row r="1909" spans="1:10" x14ac:dyDescent="0.25">
      <c r="A1909" s="274"/>
      <c r="B1909" s="498"/>
      <c r="C1909" s="287"/>
      <c r="D1909" s="288"/>
      <c r="E1909" s="288"/>
      <c r="F1909" s="438"/>
      <c r="G1909" s="438"/>
      <c r="H1909" s="438"/>
      <c r="I1909" s="438"/>
      <c r="J1909" s="438"/>
    </row>
    <row r="1910" spans="1:10" x14ac:dyDescent="0.25">
      <c r="A1910" s="274"/>
      <c r="B1910" s="498"/>
      <c r="C1910" s="287"/>
      <c r="D1910" s="288"/>
      <c r="E1910" s="288"/>
      <c r="F1910" s="438"/>
      <c r="G1910" s="438"/>
      <c r="H1910" s="438"/>
      <c r="I1910" s="438"/>
      <c r="J1910" s="438"/>
    </row>
    <row r="1911" spans="1:10" x14ac:dyDescent="0.25">
      <c r="A1911" s="274"/>
      <c r="B1911" s="498"/>
      <c r="C1911" s="287"/>
      <c r="D1911" s="288"/>
      <c r="E1911" s="288"/>
      <c r="F1911" s="438"/>
      <c r="G1911" s="438"/>
      <c r="H1911" s="438"/>
      <c r="I1911" s="438"/>
      <c r="J1911" s="438"/>
    </row>
    <row r="1912" spans="1:10" x14ac:dyDescent="0.25">
      <c r="A1912" s="274"/>
      <c r="B1912" s="498"/>
      <c r="C1912" s="287"/>
      <c r="D1912" s="288"/>
      <c r="E1912" s="288"/>
      <c r="F1912" s="438"/>
      <c r="G1912" s="438"/>
      <c r="H1912" s="438"/>
      <c r="I1912" s="438"/>
      <c r="J1912" s="438"/>
    </row>
    <row r="1913" spans="1:10" x14ac:dyDescent="0.25">
      <c r="A1913" s="274"/>
      <c r="B1913" s="498"/>
      <c r="C1913" s="287"/>
      <c r="D1913" s="288"/>
      <c r="E1913" s="288"/>
      <c r="F1913" s="438"/>
      <c r="G1913" s="438"/>
      <c r="H1913" s="438"/>
      <c r="I1913" s="438"/>
      <c r="J1913" s="438"/>
    </row>
    <row r="1914" spans="1:10" x14ac:dyDescent="0.25">
      <c r="A1914" s="274"/>
      <c r="B1914" s="498"/>
      <c r="C1914" s="287"/>
      <c r="D1914" s="288"/>
      <c r="E1914" s="288"/>
      <c r="F1914" s="438"/>
      <c r="G1914" s="438"/>
      <c r="H1914" s="438"/>
      <c r="I1914" s="438"/>
      <c r="J1914" s="438"/>
    </row>
    <row r="1915" spans="1:10" x14ac:dyDescent="0.25">
      <c r="A1915" s="274"/>
      <c r="B1915" s="498"/>
      <c r="C1915" s="287"/>
      <c r="D1915" s="288"/>
      <c r="E1915" s="288"/>
      <c r="F1915" s="438"/>
      <c r="G1915" s="438"/>
      <c r="H1915" s="438"/>
      <c r="I1915" s="438"/>
      <c r="J1915" s="438"/>
    </row>
    <row r="1916" spans="1:10" x14ac:dyDescent="0.25">
      <c r="A1916" s="274"/>
      <c r="B1916" s="498"/>
      <c r="C1916" s="287"/>
      <c r="D1916" s="288"/>
      <c r="E1916" s="288"/>
      <c r="F1916" s="438"/>
      <c r="G1916" s="438"/>
      <c r="H1916" s="438"/>
      <c r="I1916" s="438"/>
      <c r="J1916" s="438"/>
    </row>
    <row r="1917" spans="1:10" x14ac:dyDescent="0.25">
      <c r="A1917" s="274"/>
      <c r="B1917" s="498"/>
      <c r="C1917" s="287"/>
      <c r="D1917" s="288"/>
      <c r="E1917" s="288"/>
      <c r="F1917" s="438"/>
      <c r="G1917" s="438"/>
      <c r="H1917" s="438"/>
      <c r="I1917" s="438"/>
      <c r="J1917" s="438"/>
    </row>
    <row r="1918" spans="1:10" x14ac:dyDescent="0.25">
      <c r="A1918" s="274"/>
      <c r="B1918" s="498"/>
      <c r="C1918" s="287"/>
      <c r="D1918" s="288"/>
      <c r="E1918" s="288"/>
      <c r="F1918" s="438"/>
      <c r="G1918" s="438"/>
      <c r="H1918" s="438"/>
      <c r="I1918" s="438"/>
      <c r="J1918" s="438"/>
    </row>
    <row r="1919" spans="1:10" x14ac:dyDescent="0.25">
      <c r="A1919" s="274"/>
      <c r="B1919" s="498"/>
      <c r="C1919" s="287"/>
      <c r="D1919" s="288"/>
      <c r="E1919" s="288"/>
      <c r="F1919" s="438"/>
      <c r="G1919" s="438"/>
      <c r="H1919" s="438"/>
      <c r="I1919" s="438"/>
      <c r="J1919" s="438"/>
    </row>
    <row r="1920" spans="1:10" x14ac:dyDescent="0.25">
      <c r="A1920" s="274"/>
      <c r="B1920" s="498"/>
      <c r="C1920" s="287"/>
      <c r="D1920" s="288"/>
      <c r="E1920" s="288"/>
      <c r="F1920" s="438"/>
      <c r="G1920" s="438"/>
      <c r="H1920" s="438"/>
      <c r="I1920" s="438"/>
      <c r="J1920" s="438"/>
    </row>
    <row r="1921" spans="1:10" x14ac:dyDescent="0.25">
      <c r="A1921" s="274"/>
      <c r="B1921" s="498"/>
      <c r="C1921" s="287"/>
      <c r="D1921" s="288"/>
      <c r="E1921" s="288"/>
      <c r="F1921" s="438"/>
      <c r="G1921" s="438"/>
      <c r="H1921" s="438"/>
      <c r="I1921" s="438"/>
      <c r="J1921" s="438"/>
    </row>
    <row r="1922" spans="1:10" x14ac:dyDescent="0.25">
      <c r="A1922" s="274"/>
      <c r="B1922" s="498"/>
      <c r="C1922" s="287"/>
      <c r="D1922" s="288"/>
      <c r="E1922" s="288"/>
      <c r="F1922" s="438"/>
      <c r="G1922" s="438"/>
      <c r="H1922" s="438"/>
      <c r="I1922" s="438"/>
      <c r="J1922" s="438"/>
    </row>
    <row r="1923" spans="1:10" x14ac:dyDescent="0.25">
      <c r="A1923" s="274"/>
      <c r="B1923" s="498"/>
      <c r="C1923" s="287"/>
      <c r="D1923" s="288"/>
      <c r="E1923" s="288"/>
      <c r="F1923" s="438"/>
      <c r="G1923" s="438"/>
      <c r="H1923" s="438"/>
      <c r="I1923" s="438"/>
      <c r="J1923" s="438"/>
    </row>
    <row r="1924" spans="1:10" x14ac:dyDescent="0.25">
      <c r="A1924" s="274"/>
      <c r="B1924" s="498"/>
      <c r="C1924" s="287"/>
      <c r="D1924" s="288"/>
      <c r="E1924" s="288"/>
      <c r="F1924" s="438"/>
      <c r="G1924" s="438"/>
      <c r="H1924" s="438"/>
      <c r="I1924" s="438"/>
      <c r="J1924" s="438"/>
    </row>
    <row r="1925" spans="1:10" x14ac:dyDescent="0.25">
      <c r="A1925" s="274"/>
      <c r="B1925" s="498"/>
      <c r="C1925" s="287"/>
      <c r="D1925" s="288"/>
      <c r="E1925" s="288"/>
      <c r="F1925" s="438"/>
      <c r="G1925" s="438"/>
      <c r="H1925" s="438"/>
      <c r="I1925" s="438"/>
      <c r="J1925" s="438"/>
    </row>
    <row r="1926" spans="1:10" x14ac:dyDescent="0.25">
      <c r="A1926" s="274"/>
      <c r="B1926" s="498"/>
      <c r="C1926" s="287"/>
      <c r="D1926" s="288"/>
      <c r="E1926" s="288"/>
      <c r="F1926" s="438"/>
      <c r="G1926" s="438"/>
      <c r="H1926" s="438"/>
      <c r="I1926" s="438"/>
      <c r="J1926" s="438"/>
    </row>
    <row r="1927" spans="1:10" x14ac:dyDescent="0.25">
      <c r="A1927" s="274"/>
      <c r="B1927" s="498"/>
      <c r="C1927" s="287"/>
      <c r="D1927" s="288"/>
      <c r="E1927" s="288"/>
      <c r="F1927" s="438"/>
      <c r="G1927" s="438"/>
      <c r="H1927" s="438"/>
      <c r="I1927" s="438"/>
      <c r="J1927" s="438"/>
    </row>
    <row r="1928" spans="1:10" x14ac:dyDescent="0.25">
      <c r="A1928" s="274"/>
      <c r="B1928" s="498"/>
      <c r="C1928" s="287"/>
      <c r="D1928" s="288"/>
      <c r="E1928" s="288"/>
      <c r="F1928" s="438"/>
      <c r="G1928" s="438"/>
      <c r="H1928" s="438"/>
      <c r="I1928" s="438"/>
      <c r="J1928" s="438"/>
    </row>
    <row r="1929" spans="1:10" x14ac:dyDescent="0.25">
      <c r="A1929" s="274"/>
      <c r="B1929" s="498"/>
      <c r="C1929" s="287"/>
      <c r="D1929" s="288"/>
      <c r="E1929" s="288"/>
      <c r="F1929" s="438"/>
      <c r="G1929" s="438"/>
      <c r="H1929" s="438"/>
      <c r="I1929" s="438"/>
      <c r="J1929" s="438"/>
    </row>
    <row r="1930" spans="1:10" x14ac:dyDescent="0.25">
      <c r="A1930" s="274"/>
      <c r="B1930" s="498"/>
      <c r="C1930" s="287"/>
      <c r="D1930" s="288"/>
      <c r="E1930" s="288"/>
      <c r="F1930" s="438"/>
      <c r="G1930" s="438"/>
      <c r="H1930" s="438"/>
      <c r="I1930" s="438"/>
      <c r="J1930" s="438"/>
    </row>
    <row r="1931" spans="1:10" x14ac:dyDescent="0.25">
      <c r="A1931" s="274"/>
      <c r="B1931" s="498"/>
      <c r="C1931" s="287"/>
      <c r="D1931" s="288"/>
      <c r="E1931" s="288"/>
      <c r="F1931" s="438"/>
      <c r="G1931" s="438"/>
      <c r="H1931" s="438"/>
      <c r="I1931" s="438"/>
      <c r="J1931" s="438"/>
    </row>
    <row r="1932" spans="1:10" x14ac:dyDescent="0.25">
      <c r="A1932" s="274"/>
      <c r="B1932" s="498"/>
      <c r="C1932" s="287"/>
      <c r="D1932" s="288"/>
      <c r="E1932" s="288"/>
      <c r="F1932" s="438"/>
      <c r="G1932" s="438"/>
      <c r="H1932" s="438"/>
      <c r="I1932" s="438"/>
      <c r="J1932" s="438"/>
    </row>
    <row r="1933" spans="1:10" x14ac:dyDescent="0.25">
      <c r="A1933" s="274"/>
      <c r="B1933" s="498"/>
      <c r="C1933" s="287"/>
      <c r="D1933" s="288"/>
      <c r="E1933" s="288"/>
      <c r="F1933" s="438"/>
      <c r="G1933" s="438"/>
      <c r="H1933" s="438"/>
      <c r="I1933" s="438"/>
      <c r="J1933" s="438"/>
    </row>
    <row r="1934" spans="1:10" x14ac:dyDescent="0.25">
      <c r="A1934" s="274"/>
      <c r="B1934" s="498"/>
      <c r="C1934" s="287"/>
      <c r="D1934" s="288"/>
      <c r="E1934" s="288"/>
      <c r="F1934" s="438"/>
      <c r="G1934" s="438"/>
      <c r="H1934" s="438"/>
      <c r="I1934" s="438"/>
      <c r="J1934" s="438"/>
    </row>
    <row r="1935" spans="1:10" x14ac:dyDescent="0.25">
      <c r="A1935" s="274"/>
      <c r="B1935" s="498"/>
      <c r="C1935" s="287"/>
      <c r="D1935" s="288"/>
      <c r="E1935" s="288"/>
      <c r="F1935" s="438"/>
      <c r="G1935" s="438"/>
      <c r="H1935" s="438"/>
      <c r="I1935" s="438"/>
      <c r="J1935" s="438"/>
    </row>
    <row r="1936" spans="1:10" x14ac:dyDescent="0.25">
      <c r="A1936" s="274"/>
      <c r="B1936" s="498"/>
      <c r="C1936" s="287"/>
      <c r="D1936" s="288"/>
      <c r="E1936" s="288"/>
      <c r="F1936" s="438"/>
      <c r="G1936" s="438"/>
      <c r="H1936" s="438"/>
      <c r="I1936" s="438"/>
      <c r="J1936" s="438"/>
    </row>
    <row r="1937" spans="1:10" x14ac:dyDescent="0.25">
      <c r="A1937" s="274"/>
      <c r="B1937" s="498"/>
      <c r="C1937" s="287"/>
      <c r="D1937" s="288"/>
      <c r="E1937" s="288"/>
      <c r="F1937" s="438"/>
      <c r="G1937" s="438"/>
      <c r="H1937" s="438"/>
      <c r="I1937" s="438"/>
      <c r="J1937" s="438"/>
    </row>
    <row r="1938" spans="1:10" x14ac:dyDescent="0.25">
      <c r="A1938" s="274"/>
      <c r="B1938" s="498"/>
      <c r="C1938" s="287"/>
      <c r="D1938" s="288"/>
      <c r="E1938" s="288"/>
      <c r="F1938" s="438"/>
      <c r="G1938" s="438"/>
      <c r="H1938" s="438"/>
      <c r="I1938" s="438"/>
      <c r="J1938" s="438"/>
    </row>
    <row r="1939" spans="1:10" x14ac:dyDescent="0.25">
      <c r="A1939" s="274"/>
      <c r="B1939" s="498"/>
      <c r="C1939" s="287"/>
      <c r="D1939" s="288"/>
      <c r="E1939" s="288"/>
      <c r="F1939" s="438"/>
      <c r="G1939" s="438"/>
      <c r="H1939" s="438"/>
      <c r="I1939" s="438"/>
      <c r="J1939" s="438"/>
    </row>
    <row r="1940" spans="1:10" x14ac:dyDescent="0.25">
      <c r="A1940" s="274"/>
      <c r="B1940" s="498"/>
      <c r="C1940" s="287"/>
      <c r="D1940" s="288"/>
      <c r="E1940" s="288"/>
      <c r="F1940" s="438"/>
      <c r="G1940" s="438"/>
      <c r="H1940" s="438"/>
      <c r="I1940" s="438"/>
      <c r="J1940" s="438"/>
    </row>
    <row r="1941" spans="1:10" x14ac:dyDescent="0.25">
      <c r="A1941" s="274"/>
      <c r="B1941" s="498"/>
      <c r="C1941" s="287"/>
      <c r="D1941" s="288"/>
      <c r="E1941" s="288"/>
      <c r="F1941" s="438"/>
      <c r="G1941" s="438"/>
      <c r="H1941" s="438"/>
      <c r="I1941" s="438"/>
      <c r="J1941" s="438"/>
    </row>
    <row r="1942" spans="1:10" x14ac:dyDescent="0.25">
      <c r="A1942" s="274"/>
      <c r="B1942" s="498"/>
      <c r="C1942" s="287"/>
      <c r="D1942" s="288"/>
      <c r="E1942" s="288"/>
      <c r="F1942" s="438"/>
      <c r="G1942" s="438"/>
      <c r="H1942" s="438"/>
      <c r="I1942" s="438"/>
      <c r="J1942" s="438"/>
    </row>
    <row r="1943" spans="1:10" x14ac:dyDescent="0.25">
      <c r="A1943" s="274"/>
      <c r="B1943" s="498"/>
      <c r="C1943" s="287"/>
      <c r="D1943" s="288"/>
      <c r="E1943" s="288"/>
      <c r="F1943" s="438"/>
      <c r="G1943" s="438"/>
      <c r="H1943" s="438"/>
      <c r="I1943" s="438"/>
      <c r="J1943" s="438"/>
    </row>
    <row r="1944" spans="1:10" x14ac:dyDescent="0.25">
      <c r="A1944" s="274"/>
      <c r="B1944" s="498"/>
      <c r="C1944" s="287"/>
      <c r="D1944" s="288"/>
      <c r="E1944" s="288"/>
      <c r="F1944" s="438"/>
      <c r="G1944" s="438"/>
      <c r="H1944" s="438"/>
      <c r="I1944" s="438"/>
      <c r="J1944" s="438"/>
    </row>
    <row r="1945" spans="1:10" x14ac:dyDescent="0.25">
      <c r="A1945" s="274"/>
      <c r="B1945" s="498"/>
      <c r="C1945" s="287"/>
      <c r="D1945" s="288"/>
      <c r="E1945" s="288"/>
      <c r="F1945" s="438"/>
      <c r="G1945" s="438"/>
      <c r="H1945" s="438"/>
      <c r="I1945" s="438"/>
      <c r="J1945" s="438"/>
    </row>
    <row r="1946" spans="1:10" x14ac:dyDescent="0.25">
      <c r="A1946" s="274"/>
      <c r="B1946" s="498"/>
      <c r="C1946" s="287"/>
      <c r="D1946" s="288"/>
      <c r="E1946" s="288"/>
      <c r="F1946" s="438"/>
      <c r="G1946" s="438"/>
      <c r="H1946" s="438"/>
      <c r="I1946" s="438"/>
      <c r="J1946" s="438"/>
    </row>
    <row r="1947" spans="1:10" x14ac:dyDescent="0.25">
      <c r="A1947" s="274"/>
      <c r="B1947" s="498"/>
      <c r="C1947" s="287"/>
      <c r="D1947" s="288"/>
      <c r="E1947" s="288"/>
      <c r="F1947" s="438"/>
      <c r="G1947" s="438"/>
      <c r="H1947" s="438"/>
      <c r="I1947" s="438"/>
      <c r="J1947" s="438"/>
    </row>
    <row r="1948" spans="1:10" x14ac:dyDescent="0.25">
      <c r="A1948" s="274"/>
      <c r="B1948" s="498"/>
      <c r="C1948" s="287"/>
      <c r="D1948" s="288"/>
      <c r="E1948" s="288"/>
      <c r="F1948" s="438"/>
      <c r="G1948" s="438"/>
      <c r="H1948" s="438"/>
      <c r="I1948" s="438"/>
      <c r="J1948" s="438"/>
    </row>
    <row r="1949" spans="1:10" x14ac:dyDescent="0.25">
      <c r="A1949" s="274"/>
      <c r="B1949" s="498"/>
      <c r="C1949" s="287"/>
      <c r="D1949" s="288"/>
      <c r="E1949" s="288"/>
      <c r="F1949" s="438"/>
      <c r="G1949" s="438"/>
      <c r="H1949" s="438"/>
      <c r="I1949" s="438"/>
      <c r="J1949" s="438"/>
    </row>
    <row r="1950" spans="1:10" x14ac:dyDescent="0.25">
      <c r="A1950" s="274"/>
      <c r="B1950" s="498"/>
      <c r="C1950" s="287"/>
      <c r="D1950" s="288"/>
      <c r="E1950" s="288"/>
      <c r="F1950" s="438"/>
      <c r="G1950" s="438"/>
      <c r="H1950" s="438"/>
      <c r="I1950" s="438"/>
      <c r="J1950" s="438"/>
    </row>
    <row r="1951" spans="1:10" x14ac:dyDescent="0.25">
      <c r="A1951" s="274"/>
      <c r="B1951" s="498"/>
      <c r="C1951" s="287"/>
      <c r="D1951" s="288"/>
      <c r="E1951" s="288"/>
      <c r="F1951" s="438"/>
      <c r="G1951" s="438"/>
      <c r="H1951" s="438"/>
      <c r="I1951" s="438"/>
      <c r="J1951" s="438"/>
    </row>
    <row r="1952" spans="1:10" x14ac:dyDescent="0.25">
      <c r="A1952" s="274"/>
      <c r="B1952" s="498"/>
      <c r="C1952" s="287"/>
      <c r="D1952" s="288"/>
      <c r="E1952" s="288"/>
      <c r="F1952" s="438"/>
      <c r="G1952" s="438"/>
      <c r="H1952" s="438"/>
      <c r="I1952" s="438"/>
      <c r="J1952" s="438"/>
    </row>
    <row r="1953" spans="1:10" x14ac:dyDescent="0.25">
      <c r="A1953" s="274"/>
      <c r="B1953" s="498"/>
      <c r="C1953" s="287"/>
      <c r="D1953" s="288"/>
      <c r="E1953" s="288"/>
      <c r="F1953" s="438"/>
      <c r="G1953" s="438"/>
      <c r="H1953" s="438"/>
      <c r="I1953" s="438"/>
      <c r="J1953" s="438"/>
    </row>
    <row r="1954" spans="1:10" x14ac:dyDescent="0.25">
      <c r="A1954" s="274"/>
      <c r="B1954" s="498"/>
      <c r="C1954" s="287"/>
      <c r="D1954" s="288"/>
      <c r="E1954" s="288"/>
      <c r="F1954" s="438"/>
      <c r="G1954" s="438"/>
      <c r="H1954" s="438"/>
      <c r="I1954" s="438"/>
      <c r="J1954" s="438"/>
    </row>
    <row r="1955" spans="1:10" x14ac:dyDescent="0.25">
      <c r="A1955" s="274"/>
      <c r="B1955" s="498"/>
      <c r="C1955" s="287"/>
      <c r="D1955" s="288"/>
      <c r="E1955" s="288"/>
      <c r="F1955" s="438"/>
      <c r="G1955" s="438"/>
      <c r="H1955" s="438"/>
      <c r="I1955" s="438"/>
      <c r="J1955" s="438"/>
    </row>
    <row r="1956" spans="1:10" x14ac:dyDescent="0.25">
      <c r="A1956" s="274"/>
      <c r="B1956" s="498"/>
      <c r="C1956" s="287"/>
      <c r="D1956" s="288"/>
      <c r="E1956" s="288"/>
      <c r="F1956" s="438"/>
      <c r="G1956" s="438"/>
      <c r="H1956" s="438"/>
      <c r="I1956" s="438"/>
      <c r="J1956" s="438"/>
    </row>
    <row r="1957" spans="1:10" x14ac:dyDescent="0.25">
      <c r="A1957" s="274"/>
      <c r="B1957" s="498"/>
      <c r="C1957" s="287"/>
      <c r="D1957" s="288"/>
      <c r="E1957" s="288"/>
      <c r="F1957" s="438"/>
      <c r="G1957" s="438"/>
      <c r="H1957" s="438"/>
      <c r="I1957" s="438"/>
      <c r="J1957" s="438"/>
    </row>
    <row r="1958" spans="1:10" x14ac:dyDescent="0.25">
      <c r="A1958" s="274"/>
      <c r="B1958" s="498"/>
      <c r="C1958" s="287"/>
      <c r="D1958" s="288"/>
      <c r="E1958" s="288"/>
      <c r="F1958" s="438"/>
      <c r="G1958" s="438"/>
      <c r="H1958" s="438"/>
      <c r="I1958" s="438"/>
      <c r="J1958" s="438"/>
    </row>
    <row r="1959" spans="1:10" x14ac:dyDescent="0.25">
      <c r="A1959" s="274"/>
      <c r="B1959" s="498"/>
      <c r="C1959" s="287"/>
      <c r="D1959" s="288"/>
      <c r="E1959" s="288"/>
      <c r="F1959" s="438"/>
      <c r="G1959" s="438"/>
      <c r="H1959" s="438"/>
      <c r="I1959" s="438"/>
      <c r="J1959" s="438"/>
    </row>
    <row r="1960" spans="1:10" x14ac:dyDescent="0.25">
      <c r="A1960" s="274"/>
      <c r="B1960" s="498"/>
      <c r="C1960" s="287"/>
      <c r="D1960" s="288"/>
      <c r="E1960" s="288"/>
      <c r="F1960" s="438"/>
      <c r="G1960" s="438"/>
      <c r="H1960" s="438"/>
      <c r="I1960" s="438"/>
      <c r="J1960" s="438"/>
    </row>
    <row r="1961" spans="1:10" x14ac:dyDescent="0.25">
      <c r="A1961" s="274"/>
      <c r="B1961" s="498"/>
      <c r="C1961" s="287"/>
      <c r="D1961" s="288"/>
      <c r="E1961" s="288"/>
      <c r="F1961" s="438"/>
      <c r="G1961" s="438"/>
      <c r="H1961" s="438"/>
      <c r="I1961" s="438"/>
      <c r="J1961" s="438"/>
    </row>
    <row r="1962" spans="1:10" x14ac:dyDescent="0.25">
      <c r="A1962" s="274"/>
      <c r="B1962" s="498"/>
      <c r="C1962" s="287"/>
      <c r="D1962" s="288"/>
      <c r="E1962" s="288"/>
      <c r="F1962" s="438"/>
      <c r="G1962" s="438"/>
      <c r="H1962" s="438"/>
      <c r="I1962" s="438"/>
      <c r="J1962" s="438"/>
    </row>
    <row r="1963" spans="1:10" x14ac:dyDescent="0.25">
      <c r="A1963" s="274"/>
      <c r="B1963" s="498"/>
      <c r="C1963" s="287"/>
      <c r="D1963" s="288"/>
      <c r="E1963" s="288"/>
      <c r="F1963" s="438"/>
      <c r="G1963" s="438"/>
      <c r="H1963" s="438"/>
      <c r="I1963" s="438"/>
      <c r="J1963" s="438"/>
    </row>
    <row r="1964" spans="1:10" x14ac:dyDescent="0.25">
      <c r="A1964" s="274"/>
      <c r="B1964" s="498"/>
      <c r="C1964" s="287"/>
      <c r="D1964" s="288"/>
      <c r="E1964" s="288"/>
      <c r="F1964" s="438"/>
      <c r="G1964" s="438"/>
      <c r="H1964" s="438"/>
      <c r="I1964" s="438"/>
      <c r="J1964" s="438"/>
    </row>
    <row r="1965" spans="1:10" x14ac:dyDescent="0.25">
      <c r="A1965" s="274"/>
      <c r="B1965" s="498"/>
      <c r="C1965" s="287"/>
      <c r="D1965" s="288"/>
      <c r="E1965" s="288"/>
      <c r="F1965" s="438"/>
      <c r="G1965" s="438"/>
      <c r="H1965" s="438"/>
      <c r="I1965" s="438"/>
      <c r="J1965" s="438"/>
    </row>
    <row r="1966" spans="1:10" x14ac:dyDescent="0.25">
      <c r="A1966" s="274"/>
      <c r="B1966" s="498"/>
      <c r="C1966" s="287"/>
      <c r="D1966" s="288"/>
      <c r="E1966" s="288"/>
      <c r="F1966" s="438"/>
      <c r="G1966" s="438"/>
      <c r="H1966" s="438"/>
      <c r="I1966" s="438"/>
      <c r="J1966" s="438"/>
    </row>
    <row r="1967" spans="1:10" x14ac:dyDescent="0.25">
      <c r="A1967" s="274"/>
      <c r="B1967" s="498"/>
      <c r="C1967" s="287"/>
      <c r="D1967" s="288"/>
      <c r="E1967" s="288"/>
      <c r="F1967" s="438"/>
      <c r="G1967" s="438"/>
      <c r="H1967" s="438"/>
      <c r="I1967" s="438"/>
      <c r="J1967" s="438"/>
    </row>
    <row r="1968" spans="1:10" x14ac:dyDescent="0.25">
      <c r="A1968" s="274"/>
      <c r="B1968" s="498"/>
      <c r="C1968" s="287"/>
      <c r="D1968" s="288"/>
      <c r="E1968" s="288"/>
      <c r="F1968" s="438"/>
      <c r="G1968" s="438"/>
      <c r="H1968" s="438"/>
      <c r="I1968" s="438"/>
      <c r="J1968" s="438"/>
    </row>
    <row r="1969" spans="1:10" x14ac:dyDescent="0.25">
      <c r="A1969" s="274"/>
      <c r="B1969" s="498"/>
      <c r="C1969" s="287"/>
      <c r="D1969" s="288"/>
      <c r="E1969" s="288"/>
      <c r="F1969" s="438"/>
      <c r="G1969" s="438"/>
      <c r="H1969" s="438"/>
      <c r="I1969" s="438"/>
      <c r="J1969" s="438"/>
    </row>
    <row r="1970" spans="1:10" x14ac:dyDescent="0.25">
      <c r="A1970" s="274"/>
      <c r="B1970" s="498"/>
      <c r="C1970" s="287"/>
      <c r="D1970" s="288"/>
      <c r="E1970" s="288"/>
      <c r="F1970" s="438"/>
      <c r="G1970" s="438"/>
      <c r="H1970" s="438"/>
      <c r="I1970" s="438"/>
      <c r="J1970" s="438"/>
    </row>
    <row r="1971" spans="1:10" x14ac:dyDescent="0.25">
      <c r="A1971" s="274"/>
      <c r="B1971" s="498"/>
      <c r="C1971" s="287"/>
      <c r="D1971" s="288"/>
      <c r="E1971" s="288"/>
      <c r="F1971" s="438"/>
      <c r="G1971" s="438"/>
      <c r="H1971" s="438"/>
      <c r="I1971" s="438"/>
      <c r="J1971" s="438"/>
    </row>
    <row r="1972" spans="1:10" x14ac:dyDescent="0.25">
      <c r="A1972" s="274"/>
      <c r="B1972" s="498"/>
      <c r="C1972" s="287"/>
      <c r="D1972" s="288"/>
      <c r="E1972" s="288"/>
      <c r="F1972" s="438"/>
      <c r="G1972" s="438"/>
      <c r="H1972" s="438"/>
      <c r="I1972" s="438"/>
      <c r="J1972" s="438"/>
    </row>
    <row r="1973" spans="1:10" x14ac:dyDescent="0.25">
      <c r="A1973" s="274"/>
      <c r="B1973" s="498"/>
      <c r="C1973" s="287"/>
      <c r="D1973" s="288"/>
      <c r="E1973" s="288"/>
      <c r="F1973" s="438"/>
      <c r="G1973" s="438"/>
      <c r="H1973" s="438"/>
      <c r="I1973" s="438"/>
      <c r="J1973" s="438"/>
    </row>
    <row r="1974" spans="1:10" x14ac:dyDescent="0.25">
      <c r="A1974" s="274"/>
      <c r="B1974" s="498"/>
      <c r="C1974" s="287"/>
      <c r="D1974" s="288"/>
      <c r="E1974" s="288"/>
      <c r="F1974" s="438"/>
      <c r="G1974" s="438"/>
      <c r="H1974" s="438"/>
      <c r="I1974" s="438"/>
      <c r="J1974" s="438"/>
    </row>
    <row r="1975" spans="1:10" x14ac:dyDescent="0.25">
      <c r="A1975" s="274"/>
      <c r="B1975" s="498"/>
      <c r="C1975" s="287"/>
      <c r="D1975" s="288"/>
      <c r="E1975" s="288"/>
      <c r="F1975" s="438"/>
      <c r="G1975" s="438"/>
      <c r="H1975" s="438"/>
      <c r="I1975" s="438"/>
      <c r="J1975" s="438"/>
    </row>
    <row r="1976" spans="1:10" x14ac:dyDescent="0.25">
      <c r="A1976" s="274"/>
      <c r="B1976" s="498"/>
      <c r="C1976" s="287"/>
      <c r="D1976" s="288"/>
      <c r="E1976" s="288"/>
      <c r="F1976" s="438"/>
      <c r="G1976" s="438"/>
      <c r="H1976" s="438"/>
      <c r="I1976" s="438"/>
      <c r="J1976" s="438"/>
    </row>
    <row r="1977" spans="1:10" x14ac:dyDescent="0.25">
      <c r="A1977" s="274"/>
      <c r="B1977" s="498"/>
      <c r="C1977" s="287"/>
      <c r="D1977" s="288"/>
      <c r="E1977" s="288"/>
      <c r="F1977" s="438"/>
      <c r="G1977" s="438"/>
      <c r="H1977" s="438"/>
      <c r="I1977" s="438"/>
      <c r="J1977" s="438"/>
    </row>
    <row r="1978" spans="1:10" x14ac:dyDescent="0.25">
      <c r="A1978" s="274"/>
      <c r="B1978" s="498"/>
      <c r="C1978" s="287"/>
      <c r="D1978" s="288"/>
      <c r="E1978" s="288"/>
      <c r="F1978" s="438"/>
      <c r="G1978" s="438"/>
      <c r="H1978" s="438"/>
      <c r="I1978" s="438"/>
      <c r="J1978" s="438"/>
    </row>
    <row r="1979" spans="1:10" x14ac:dyDescent="0.25">
      <c r="A1979" s="274"/>
      <c r="B1979" s="498"/>
      <c r="C1979" s="287"/>
      <c r="D1979" s="288"/>
      <c r="E1979" s="288"/>
      <c r="F1979" s="438"/>
      <c r="G1979" s="438"/>
      <c r="H1979" s="438"/>
      <c r="I1979" s="438"/>
      <c r="J1979" s="438"/>
    </row>
    <row r="1980" spans="1:10" x14ac:dyDescent="0.25">
      <c r="A1980" s="274"/>
      <c r="B1980" s="498"/>
      <c r="C1980" s="287"/>
      <c r="D1980" s="288"/>
      <c r="E1980" s="288"/>
      <c r="F1980" s="438"/>
      <c r="G1980" s="438"/>
      <c r="H1980" s="438"/>
      <c r="I1980" s="438"/>
      <c r="J1980" s="438"/>
    </row>
    <row r="1981" spans="1:10" x14ac:dyDescent="0.25">
      <c r="A1981" s="274"/>
      <c r="B1981" s="498"/>
      <c r="C1981" s="287"/>
      <c r="D1981" s="288"/>
      <c r="E1981" s="288"/>
      <c r="F1981" s="438"/>
      <c r="G1981" s="438"/>
      <c r="H1981" s="438"/>
      <c r="I1981" s="438"/>
      <c r="J1981" s="438"/>
    </row>
    <row r="1982" spans="1:10" x14ac:dyDescent="0.25">
      <c r="A1982" s="274"/>
      <c r="B1982" s="498"/>
      <c r="C1982" s="287"/>
      <c r="D1982" s="288"/>
      <c r="E1982" s="288"/>
      <c r="F1982" s="438"/>
      <c r="G1982" s="438"/>
      <c r="H1982" s="438"/>
      <c r="I1982" s="438"/>
      <c r="J1982" s="438"/>
    </row>
    <row r="1983" spans="1:10" x14ac:dyDescent="0.25">
      <c r="A1983" s="274"/>
      <c r="B1983" s="498"/>
      <c r="C1983" s="287"/>
      <c r="D1983" s="288"/>
      <c r="E1983" s="288"/>
      <c r="F1983" s="438"/>
      <c r="G1983" s="438"/>
      <c r="H1983" s="438"/>
      <c r="I1983" s="438"/>
      <c r="J1983" s="438"/>
    </row>
    <row r="1984" spans="1:10" x14ac:dyDescent="0.25">
      <c r="A1984" s="274"/>
      <c r="B1984" s="498"/>
      <c r="C1984" s="287"/>
      <c r="D1984" s="288"/>
      <c r="E1984" s="288"/>
      <c r="F1984" s="438"/>
      <c r="G1984" s="438"/>
      <c r="H1984" s="438"/>
      <c r="I1984" s="438"/>
      <c r="J1984" s="438"/>
    </row>
    <row r="1985" spans="1:10" x14ac:dyDescent="0.25">
      <c r="A1985" s="274"/>
      <c r="B1985" s="498"/>
      <c r="C1985" s="287"/>
      <c r="D1985" s="288"/>
      <c r="E1985" s="288"/>
      <c r="F1985" s="438"/>
      <c r="G1985" s="438"/>
      <c r="H1985" s="438"/>
      <c r="I1985" s="438"/>
      <c r="J1985" s="438"/>
    </row>
    <row r="1986" spans="1:10" x14ac:dyDescent="0.25">
      <c r="A1986" s="274"/>
      <c r="B1986" s="498"/>
      <c r="C1986" s="287"/>
      <c r="D1986" s="288"/>
      <c r="E1986" s="288"/>
      <c r="F1986" s="438"/>
      <c r="G1986" s="438"/>
      <c r="H1986" s="438"/>
      <c r="I1986" s="438"/>
      <c r="J1986" s="438"/>
    </row>
    <row r="1987" spans="1:10" x14ac:dyDescent="0.25">
      <c r="A1987" s="274"/>
      <c r="B1987" s="498"/>
      <c r="C1987" s="287"/>
      <c r="D1987" s="288"/>
      <c r="E1987" s="288"/>
      <c r="F1987" s="438"/>
      <c r="G1987" s="438"/>
      <c r="H1987" s="438"/>
      <c r="I1987" s="438"/>
      <c r="J1987" s="438"/>
    </row>
    <row r="1988" spans="1:10" x14ac:dyDescent="0.25">
      <c r="A1988" s="274"/>
      <c r="B1988" s="498"/>
      <c r="C1988" s="287"/>
      <c r="D1988" s="288"/>
      <c r="E1988" s="288"/>
      <c r="F1988" s="438"/>
      <c r="G1988" s="438"/>
      <c r="H1988" s="438"/>
      <c r="I1988" s="438"/>
      <c r="J1988" s="438"/>
    </row>
    <row r="1989" spans="1:10" x14ac:dyDescent="0.25">
      <c r="A1989" s="274"/>
      <c r="B1989" s="498"/>
      <c r="C1989" s="287"/>
      <c r="D1989" s="288"/>
      <c r="E1989" s="288"/>
      <c r="F1989" s="438"/>
      <c r="G1989" s="438"/>
      <c r="H1989" s="438"/>
      <c r="I1989" s="438"/>
      <c r="J1989" s="438"/>
    </row>
    <row r="1990" spans="1:10" x14ac:dyDescent="0.25">
      <c r="A1990" s="274"/>
      <c r="B1990" s="498"/>
      <c r="C1990" s="287"/>
      <c r="D1990" s="288"/>
      <c r="E1990" s="288"/>
      <c r="F1990" s="438"/>
      <c r="G1990" s="438"/>
      <c r="H1990" s="438"/>
      <c r="I1990" s="438"/>
      <c r="J1990" s="438"/>
    </row>
    <row r="1991" spans="1:10" x14ac:dyDescent="0.25">
      <c r="A1991" s="274"/>
      <c r="B1991" s="498"/>
      <c r="C1991" s="287"/>
      <c r="D1991" s="288"/>
      <c r="E1991" s="288"/>
      <c r="F1991" s="438"/>
      <c r="G1991" s="438"/>
      <c r="H1991" s="438"/>
      <c r="I1991" s="438"/>
      <c r="J1991" s="438"/>
    </row>
    <row r="1992" spans="1:10" x14ac:dyDescent="0.25">
      <c r="A1992" s="274"/>
      <c r="B1992" s="498"/>
      <c r="C1992" s="287"/>
      <c r="D1992" s="288"/>
      <c r="E1992" s="288"/>
      <c r="F1992" s="438"/>
      <c r="G1992" s="438"/>
      <c r="H1992" s="438"/>
      <c r="I1992" s="438"/>
      <c r="J1992" s="438"/>
    </row>
    <row r="1993" spans="1:10" x14ac:dyDescent="0.25">
      <c r="A1993" s="274"/>
      <c r="B1993" s="498"/>
      <c r="C1993" s="287"/>
      <c r="D1993" s="288"/>
      <c r="E1993" s="288"/>
      <c r="F1993" s="438"/>
      <c r="G1993" s="438"/>
      <c r="H1993" s="438"/>
      <c r="I1993" s="438"/>
      <c r="J1993" s="438"/>
    </row>
    <row r="1994" spans="1:10" x14ac:dyDescent="0.25">
      <c r="A1994" s="274"/>
      <c r="B1994" s="498"/>
      <c r="C1994" s="287"/>
      <c r="D1994" s="288"/>
      <c r="E1994" s="288"/>
      <c r="F1994" s="438"/>
      <c r="G1994" s="438"/>
      <c r="H1994" s="438"/>
      <c r="I1994" s="438"/>
      <c r="J1994" s="438"/>
    </row>
    <row r="1995" spans="1:10" x14ac:dyDescent="0.25">
      <c r="A1995" s="274"/>
      <c r="B1995" s="498"/>
      <c r="C1995" s="287"/>
      <c r="D1995" s="288"/>
      <c r="E1995" s="288"/>
      <c r="F1995" s="438"/>
      <c r="G1995" s="438"/>
      <c r="H1995" s="438"/>
      <c r="I1995" s="438"/>
      <c r="J1995" s="438"/>
    </row>
    <row r="1996" spans="1:10" x14ac:dyDescent="0.25">
      <c r="A1996" s="274"/>
      <c r="B1996" s="498"/>
      <c r="C1996" s="287"/>
      <c r="D1996" s="288"/>
      <c r="E1996" s="288"/>
      <c r="F1996" s="438"/>
      <c r="G1996" s="438"/>
      <c r="H1996" s="438"/>
      <c r="I1996" s="438"/>
      <c r="J1996" s="438"/>
    </row>
    <row r="1997" spans="1:10" x14ac:dyDescent="0.25">
      <c r="A1997" s="274"/>
      <c r="B1997" s="498"/>
      <c r="C1997" s="287"/>
      <c r="D1997" s="288"/>
      <c r="E1997" s="288"/>
      <c r="F1997" s="438"/>
      <c r="G1997" s="438"/>
      <c r="H1997" s="438"/>
      <c r="I1997" s="438"/>
      <c r="J1997" s="438"/>
    </row>
    <row r="1998" spans="1:10" x14ac:dyDescent="0.25">
      <c r="A1998" s="274"/>
      <c r="B1998" s="498"/>
      <c r="C1998" s="287"/>
      <c r="D1998" s="288"/>
      <c r="E1998" s="288"/>
      <c r="F1998" s="438"/>
      <c r="G1998" s="438"/>
      <c r="H1998" s="438"/>
      <c r="I1998" s="438"/>
      <c r="J1998" s="438"/>
    </row>
    <row r="1999" spans="1:10" x14ac:dyDescent="0.25">
      <c r="A1999" s="274"/>
      <c r="B1999" s="498"/>
      <c r="C1999" s="287"/>
      <c r="D1999" s="288"/>
      <c r="E1999" s="288"/>
      <c r="F1999" s="438"/>
      <c r="G1999" s="438"/>
      <c r="H1999" s="438"/>
      <c r="I1999" s="438"/>
      <c r="J1999" s="438"/>
    </row>
    <row r="2000" spans="1:10" x14ac:dyDescent="0.25">
      <c r="A2000" s="274"/>
      <c r="B2000" s="498"/>
      <c r="C2000" s="287"/>
      <c r="D2000" s="288"/>
      <c r="E2000" s="288"/>
      <c r="F2000" s="438"/>
      <c r="G2000" s="438"/>
      <c r="H2000" s="438"/>
      <c r="I2000" s="438"/>
      <c r="J2000" s="438"/>
    </row>
    <row r="2001" spans="1:10" x14ac:dyDescent="0.25">
      <c r="A2001" s="274"/>
      <c r="B2001" s="498"/>
      <c r="C2001" s="287"/>
      <c r="D2001" s="288"/>
      <c r="E2001" s="288"/>
      <c r="F2001" s="438"/>
      <c r="G2001" s="438"/>
      <c r="H2001" s="438"/>
      <c r="I2001" s="438"/>
      <c r="J2001" s="438"/>
    </row>
    <row r="2002" spans="1:10" x14ac:dyDescent="0.25">
      <c r="A2002" s="274"/>
      <c r="B2002" s="498"/>
      <c r="C2002" s="287"/>
      <c r="D2002" s="288"/>
      <c r="E2002" s="288"/>
      <c r="F2002" s="438"/>
      <c r="G2002" s="438"/>
      <c r="H2002" s="438"/>
      <c r="I2002" s="438"/>
      <c r="J2002" s="438"/>
    </row>
    <row r="2003" spans="1:10" x14ac:dyDescent="0.25">
      <c r="A2003" s="274"/>
      <c r="B2003" s="498"/>
      <c r="C2003" s="287"/>
      <c r="D2003" s="288"/>
      <c r="E2003" s="288"/>
      <c r="F2003" s="438"/>
      <c r="G2003" s="438"/>
      <c r="H2003" s="438"/>
      <c r="I2003" s="438"/>
      <c r="J2003" s="438"/>
    </row>
    <row r="2004" spans="1:10" x14ac:dyDescent="0.25">
      <c r="A2004" s="274"/>
      <c r="B2004" s="498"/>
      <c r="C2004" s="287"/>
      <c r="D2004" s="288"/>
      <c r="E2004" s="288"/>
      <c r="F2004" s="438"/>
      <c r="G2004" s="438"/>
      <c r="H2004" s="438"/>
      <c r="I2004" s="438"/>
      <c r="J2004" s="438"/>
    </row>
    <row r="2005" spans="1:10" x14ac:dyDescent="0.25">
      <c r="A2005" s="274"/>
      <c r="B2005" s="498"/>
      <c r="C2005" s="287"/>
      <c r="D2005" s="288"/>
      <c r="E2005" s="288"/>
      <c r="F2005" s="438"/>
      <c r="G2005" s="438"/>
      <c r="H2005" s="438"/>
      <c r="I2005" s="438"/>
      <c r="J2005" s="438"/>
    </row>
    <row r="2006" spans="1:10" x14ac:dyDescent="0.25">
      <c r="A2006" s="274"/>
      <c r="B2006" s="498"/>
      <c r="C2006" s="287"/>
      <c r="D2006" s="288"/>
      <c r="E2006" s="288"/>
      <c r="F2006" s="438"/>
      <c r="G2006" s="438"/>
      <c r="H2006" s="438"/>
      <c r="I2006" s="438"/>
      <c r="J2006" s="438"/>
    </row>
    <row r="2007" spans="1:10" x14ac:dyDescent="0.25">
      <c r="A2007" s="274"/>
      <c r="B2007" s="498"/>
      <c r="C2007" s="287"/>
      <c r="D2007" s="288"/>
      <c r="E2007" s="288"/>
      <c r="F2007" s="438"/>
      <c r="G2007" s="438"/>
      <c r="H2007" s="438"/>
      <c r="I2007" s="438"/>
      <c r="J2007" s="438"/>
    </row>
    <row r="2008" spans="1:10" x14ac:dyDescent="0.25">
      <c r="A2008" s="274"/>
      <c r="B2008" s="498"/>
      <c r="C2008" s="287"/>
      <c r="D2008" s="288"/>
      <c r="E2008" s="288"/>
      <c r="F2008" s="438"/>
      <c r="G2008" s="438"/>
      <c r="H2008" s="438"/>
      <c r="I2008" s="438"/>
      <c r="J2008" s="438"/>
    </row>
    <row r="2009" spans="1:10" x14ac:dyDescent="0.25">
      <c r="A2009" s="274"/>
      <c r="B2009" s="498"/>
      <c r="C2009" s="287"/>
      <c r="D2009" s="288"/>
      <c r="E2009" s="288"/>
      <c r="F2009" s="438"/>
      <c r="G2009" s="438"/>
      <c r="H2009" s="438"/>
      <c r="I2009" s="438"/>
      <c r="J2009" s="438"/>
    </row>
    <row r="2010" spans="1:10" x14ac:dyDescent="0.25">
      <c r="A2010" s="274"/>
      <c r="B2010" s="498"/>
      <c r="C2010" s="287"/>
      <c r="D2010" s="288"/>
      <c r="E2010" s="288"/>
      <c r="F2010" s="438"/>
      <c r="G2010" s="438"/>
      <c r="H2010" s="438"/>
      <c r="I2010" s="438"/>
      <c r="J2010" s="438"/>
    </row>
    <row r="2011" spans="1:10" x14ac:dyDescent="0.25">
      <c r="A2011" s="274"/>
      <c r="B2011" s="498"/>
      <c r="C2011" s="287"/>
      <c r="D2011" s="288"/>
      <c r="E2011" s="288"/>
      <c r="F2011" s="438"/>
      <c r="G2011" s="438"/>
      <c r="H2011" s="438"/>
      <c r="I2011" s="438"/>
      <c r="J2011" s="438"/>
    </row>
    <row r="2012" spans="1:10" x14ac:dyDescent="0.25">
      <c r="A2012" s="274"/>
      <c r="B2012" s="498"/>
      <c r="C2012" s="287"/>
      <c r="D2012" s="288"/>
      <c r="E2012" s="288"/>
      <c r="F2012" s="438"/>
      <c r="G2012" s="438"/>
      <c r="H2012" s="438"/>
      <c r="I2012" s="438"/>
      <c r="J2012" s="438"/>
    </row>
    <row r="2013" spans="1:10" x14ac:dyDescent="0.25">
      <c r="A2013" s="274"/>
      <c r="B2013" s="498"/>
      <c r="C2013" s="287"/>
      <c r="D2013" s="288"/>
      <c r="E2013" s="288"/>
      <c r="F2013" s="438"/>
      <c r="G2013" s="438"/>
      <c r="H2013" s="438"/>
      <c r="I2013" s="438"/>
      <c r="J2013" s="438"/>
    </row>
    <row r="2014" spans="1:10" x14ac:dyDescent="0.25">
      <c r="A2014" s="274"/>
      <c r="B2014" s="498"/>
      <c r="C2014" s="287"/>
      <c r="D2014" s="288"/>
      <c r="E2014" s="288"/>
      <c r="F2014" s="438"/>
      <c r="G2014" s="438"/>
      <c r="H2014" s="438"/>
      <c r="I2014" s="438"/>
      <c r="J2014" s="438"/>
    </row>
    <row r="2015" spans="1:10" x14ac:dyDescent="0.25">
      <c r="A2015" s="274"/>
      <c r="B2015" s="498"/>
      <c r="C2015" s="287"/>
      <c r="D2015" s="288"/>
      <c r="E2015" s="288"/>
      <c r="F2015" s="438"/>
      <c r="G2015" s="438"/>
      <c r="H2015" s="438"/>
      <c r="I2015" s="438"/>
      <c r="J2015" s="438"/>
    </row>
    <row r="2016" spans="1:10" x14ac:dyDescent="0.25">
      <c r="A2016" s="274"/>
      <c r="B2016" s="498"/>
      <c r="C2016" s="287"/>
      <c r="D2016" s="288"/>
      <c r="E2016" s="288"/>
      <c r="F2016" s="438"/>
      <c r="G2016" s="438"/>
      <c r="H2016" s="438"/>
      <c r="I2016" s="438"/>
      <c r="J2016" s="438"/>
    </row>
    <row r="2017" spans="1:10" x14ac:dyDescent="0.25">
      <c r="A2017" s="274"/>
      <c r="B2017" s="498"/>
      <c r="C2017" s="287"/>
      <c r="D2017" s="288"/>
      <c r="E2017" s="288"/>
      <c r="F2017" s="438"/>
      <c r="G2017" s="438"/>
      <c r="H2017" s="438"/>
      <c r="I2017" s="438"/>
      <c r="J2017" s="438"/>
    </row>
    <row r="2018" spans="1:10" x14ac:dyDescent="0.25">
      <c r="A2018" s="274"/>
      <c r="B2018" s="498"/>
      <c r="C2018" s="287"/>
      <c r="D2018" s="288"/>
      <c r="E2018" s="288"/>
      <c r="F2018" s="438"/>
      <c r="G2018" s="438"/>
      <c r="H2018" s="438"/>
      <c r="I2018" s="438"/>
      <c r="J2018" s="438"/>
    </row>
    <row r="2019" spans="1:10" x14ac:dyDescent="0.25">
      <c r="A2019" s="274"/>
      <c r="B2019" s="498"/>
      <c r="C2019" s="287"/>
      <c r="D2019" s="288"/>
      <c r="E2019" s="288"/>
      <c r="F2019" s="438"/>
      <c r="G2019" s="438"/>
      <c r="H2019" s="438"/>
      <c r="I2019" s="438"/>
      <c r="J2019" s="438"/>
    </row>
    <row r="2020" spans="1:10" x14ac:dyDescent="0.25">
      <c r="A2020" s="274"/>
      <c r="B2020" s="498"/>
      <c r="C2020" s="287"/>
      <c r="D2020" s="288"/>
      <c r="E2020" s="288"/>
      <c r="F2020" s="438"/>
      <c r="G2020" s="438"/>
      <c r="H2020" s="438"/>
      <c r="I2020" s="438"/>
      <c r="J2020" s="438"/>
    </row>
    <row r="2021" spans="1:10" x14ac:dyDescent="0.25">
      <c r="A2021" s="274"/>
      <c r="B2021" s="498"/>
      <c r="C2021" s="287"/>
      <c r="D2021" s="288"/>
      <c r="E2021" s="288"/>
      <c r="F2021" s="438"/>
      <c r="G2021" s="438"/>
      <c r="H2021" s="438"/>
      <c r="I2021" s="438"/>
      <c r="J2021" s="438"/>
    </row>
    <row r="2022" spans="1:10" x14ac:dyDescent="0.25">
      <c r="A2022" s="274"/>
      <c r="B2022" s="498"/>
      <c r="C2022" s="287"/>
      <c r="D2022" s="288"/>
      <c r="E2022" s="288"/>
      <c r="F2022" s="438"/>
      <c r="G2022" s="438"/>
      <c r="H2022" s="438"/>
      <c r="I2022" s="438"/>
      <c r="J2022" s="438"/>
    </row>
    <row r="2023" spans="1:10" x14ac:dyDescent="0.25">
      <c r="A2023" s="274"/>
      <c r="B2023" s="498"/>
      <c r="C2023" s="287"/>
      <c r="D2023" s="288"/>
      <c r="E2023" s="288"/>
      <c r="F2023" s="438"/>
      <c r="G2023" s="438"/>
      <c r="H2023" s="438"/>
      <c r="I2023" s="438"/>
      <c r="J2023" s="438"/>
    </row>
    <row r="2024" spans="1:10" x14ac:dyDescent="0.25">
      <c r="A2024" s="274"/>
      <c r="B2024" s="498"/>
      <c r="C2024" s="287"/>
      <c r="D2024" s="288"/>
      <c r="E2024" s="288"/>
      <c r="F2024" s="438"/>
      <c r="G2024" s="438"/>
      <c r="H2024" s="438"/>
      <c r="I2024" s="438"/>
      <c r="J2024" s="438"/>
    </row>
    <row r="2025" spans="1:10" x14ac:dyDescent="0.25">
      <c r="A2025" s="274"/>
      <c r="B2025" s="498"/>
      <c r="C2025" s="287"/>
      <c r="D2025" s="288"/>
      <c r="E2025" s="288"/>
      <c r="F2025" s="438"/>
      <c r="G2025" s="438"/>
      <c r="H2025" s="438"/>
      <c r="I2025" s="438"/>
      <c r="J2025" s="438"/>
    </row>
    <row r="2026" spans="1:10" x14ac:dyDescent="0.25">
      <c r="A2026" s="274"/>
      <c r="B2026" s="498"/>
      <c r="C2026" s="287"/>
      <c r="D2026" s="288"/>
      <c r="E2026" s="288"/>
      <c r="F2026" s="438"/>
      <c r="G2026" s="438"/>
      <c r="H2026" s="438"/>
      <c r="I2026" s="438"/>
      <c r="J2026" s="438"/>
    </row>
    <row r="2027" spans="1:10" x14ac:dyDescent="0.25">
      <c r="A2027" s="274"/>
      <c r="B2027" s="498"/>
      <c r="C2027" s="287"/>
      <c r="D2027" s="288"/>
      <c r="E2027" s="288"/>
      <c r="F2027" s="438"/>
      <c r="G2027" s="438"/>
      <c r="H2027" s="438"/>
      <c r="I2027" s="438"/>
      <c r="J2027" s="438"/>
    </row>
    <row r="2028" spans="1:10" x14ac:dyDescent="0.25">
      <c r="A2028" s="274"/>
      <c r="B2028" s="498"/>
      <c r="C2028" s="287"/>
      <c r="D2028" s="288"/>
      <c r="E2028" s="288"/>
      <c r="F2028" s="438"/>
      <c r="G2028" s="438"/>
      <c r="H2028" s="438"/>
      <c r="I2028" s="438"/>
      <c r="J2028" s="438"/>
    </row>
    <row r="2029" spans="1:10" x14ac:dyDescent="0.25">
      <c r="A2029" s="274"/>
      <c r="B2029" s="498"/>
      <c r="C2029" s="287"/>
      <c r="D2029" s="288"/>
      <c r="E2029" s="288"/>
      <c r="F2029" s="438"/>
      <c r="G2029" s="438"/>
      <c r="H2029" s="438"/>
      <c r="I2029" s="438"/>
      <c r="J2029" s="438"/>
    </row>
    <row r="2030" spans="1:10" x14ac:dyDescent="0.25">
      <c r="A2030" s="274"/>
      <c r="B2030" s="498"/>
      <c r="C2030" s="287"/>
      <c r="D2030" s="288"/>
      <c r="E2030" s="288"/>
      <c r="F2030" s="438"/>
      <c r="G2030" s="438"/>
      <c r="H2030" s="438"/>
      <c r="I2030" s="438"/>
      <c r="J2030" s="438"/>
    </row>
    <row r="2031" spans="1:10" x14ac:dyDescent="0.25">
      <c r="A2031" s="274"/>
      <c r="B2031" s="498"/>
      <c r="C2031" s="287"/>
      <c r="D2031" s="288"/>
      <c r="E2031" s="288"/>
      <c r="F2031" s="438"/>
      <c r="G2031" s="438"/>
      <c r="H2031" s="438"/>
      <c r="I2031" s="438"/>
      <c r="J2031" s="438"/>
    </row>
    <row r="2032" spans="1:10" x14ac:dyDescent="0.25">
      <c r="A2032" s="274"/>
      <c r="B2032" s="498"/>
      <c r="C2032" s="287"/>
      <c r="D2032" s="288"/>
      <c r="E2032" s="288"/>
      <c r="F2032" s="438"/>
      <c r="G2032" s="438"/>
      <c r="H2032" s="438"/>
      <c r="I2032" s="438"/>
      <c r="J2032" s="438"/>
    </row>
    <row r="2033" spans="1:10" x14ac:dyDescent="0.25">
      <c r="A2033" s="274"/>
      <c r="B2033" s="498"/>
      <c r="C2033" s="287"/>
      <c r="D2033" s="288"/>
      <c r="E2033" s="288"/>
      <c r="F2033" s="438"/>
      <c r="G2033" s="438"/>
      <c r="H2033" s="438"/>
      <c r="I2033" s="438"/>
      <c r="J2033" s="438"/>
    </row>
    <row r="2034" spans="1:10" x14ac:dyDescent="0.25">
      <c r="A2034" s="274"/>
      <c r="B2034" s="498"/>
      <c r="C2034" s="287"/>
      <c r="D2034" s="288"/>
      <c r="E2034" s="288"/>
      <c r="F2034" s="438"/>
      <c r="G2034" s="438"/>
      <c r="H2034" s="438"/>
      <c r="I2034" s="438"/>
      <c r="J2034" s="438"/>
    </row>
    <row r="2035" spans="1:10" x14ac:dyDescent="0.25">
      <c r="A2035" s="274"/>
      <c r="B2035" s="498"/>
      <c r="C2035" s="287"/>
      <c r="D2035" s="288"/>
      <c r="E2035" s="288"/>
      <c r="F2035" s="438"/>
      <c r="G2035" s="438"/>
      <c r="H2035" s="438"/>
      <c r="I2035" s="438"/>
      <c r="J2035" s="438"/>
    </row>
    <row r="2036" spans="1:10" x14ac:dyDescent="0.25">
      <c r="A2036" s="274"/>
      <c r="B2036" s="498"/>
      <c r="C2036" s="287"/>
      <c r="D2036" s="288"/>
      <c r="E2036" s="288"/>
      <c r="F2036" s="438"/>
      <c r="G2036" s="438"/>
      <c r="H2036" s="438"/>
      <c r="I2036" s="438"/>
      <c r="J2036" s="438"/>
    </row>
    <row r="2037" spans="1:10" x14ac:dyDescent="0.25">
      <c r="A2037" s="274"/>
      <c r="B2037" s="498"/>
      <c r="C2037" s="287"/>
      <c r="D2037" s="288"/>
      <c r="E2037" s="288"/>
      <c r="F2037" s="438"/>
      <c r="G2037" s="438"/>
      <c r="H2037" s="438"/>
      <c r="I2037" s="438"/>
      <c r="J2037" s="438"/>
    </row>
    <row r="2038" spans="1:10" x14ac:dyDescent="0.25">
      <c r="A2038" s="274"/>
      <c r="B2038" s="498"/>
      <c r="C2038" s="287"/>
      <c r="D2038" s="288"/>
      <c r="E2038" s="288"/>
      <c r="F2038" s="438"/>
      <c r="G2038" s="438"/>
      <c r="H2038" s="438"/>
      <c r="I2038" s="438"/>
      <c r="J2038" s="438"/>
    </row>
    <row r="2039" spans="1:10" x14ac:dyDescent="0.25">
      <c r="A2039" s="274"/>
      <c r="B2039" s="498"/>
      <c r="C2039" s="287"/>
      <c r="D2039" s="288"/>
      <c r="E2039" s="288"/>
      <c r="F2039" s="438"/>
      <c r="G2039" s="438"/>
      <c r="H2039" s="438"/>
      <c r="I2039" s="438"/>
      <c r="J2039" s="438"/>
    </row>
    <row r="2040" spans="1:10" x14ac:dyDescent="0.25">
      <c r="A2040" s="274"/>
      <c r="B2040" s="498"/>
      <c r="C2040" s="287"/>
      <c r="D2040" s="288"/>
      <c r="E2040" s="288"/>
      <c r="F2040" s="438"/>
      <c r="G2040" s="438"/>
      <c r="H2040" s="438"/>
      <c r="I2040" s="438"/>
      <c r="J2040" s="438"/>
    </row>
    <row r="2041" spans="1:10" x14ac:dyDescent="0.25">
      <c r="A2041" s="274"/>
      <c r="B2041" s="498"/>
      <c r="C2041" s="287"/>
      <c r="D2041" s="288"/>
      <c r="E2041" s="288"/>
      <c r="F2041" s="438"/>
      <c r="G2041" s="438"/>
      <c r="H2041" s="438"/>
      <c r="I2041" s="438"/>
      <c r="J2041" s="438"/>
    </row>
    <row r="2042" spans="1:10" x14ac:dyDescent="0.25">
      <c r="A2042" s="274"/>
      <c r="B2042" s="498"/>
      <c r="C2042" s="287"/>
      <c r="D2042" s="288"/>
      <c r="E2042" s="288"/>
      <c r="F2042" s="438"/>
      <c r="G2042" s="438"/>
      <c r="H2042" s="438"/>
      <c r="I2042" s="438"/>
      <c r="J2042" s="438"/>
    </row>
    <row r="2043" spans="1:10" x14ac:dyDescent="0.25">
      <c r="A2043" s="274"/>
      <c r="B2043" s="498"/>
      <c r="C2043" s="287"/>
      <c r="D2043" s="288"/>
      <c r="E2043" s="288"/>
      <c r="F2043" s="438"/>
      <c r="G2043" s="438"/>
      <c r="H2043" s="438"/>
      <c r="I2043" s="438"/>
      <c r="J2043" s="438"/>
    </row>
    <row r="2044" spans="1:10" x14ac:dyDescent="0.25">
      <c r="A2044" s="274"/>
      <c r="B2044" s="498"/>
      <c r="C2044" s="287"/>
      <c r="D2044" s="288"/>
      <c r="E2044" s="288"/>
      <c r="F2044" s="438"/>
      <c r="G2044" s="438"/>
      <c r="H2044" s="438"/>
      <c r="I2044" s="438"/>
      <c r="J2044" s="438"/>
    </row>
    <row r="2045" spans="1:10" x14ac:dyDescent="0.25">
      <c r="A2045" s="274"/>
      <c r="B2045" s="498"/>
      <c r="C2045" s="287"/>
      <c r="D2045" s="288"/>
      <c r="E2045" s="288"/>
      <c r="F2045" s="438"/>
      <c r="G2045" s="438"/>
      <c r="H2045" s="438"/>
      <c r="I2045" s="438"/>
      <c r="J2045" s="438"/>
    </row>
    <row r="2046" spans="1:10" x14ac:dyDescent="0.25">
      <c r="A2046" s="274"/>
      <c r="B2046" s="498"/>
      <c r="C2046" s="287"/>
      <c r="D2046" s="288"/>
      <c r="E2046" s="288"/>
      <c r="F2046" s="438"/>
      <c r="G2046" s="438"/>
      <c r="H2046" s="438"/>
      <c r="I2046" s="438"/>
      <c r="J2046" s="438"/>
    </row>
    <row r="2047" spans="1:10" x14ac:dyDescent="0.25">
      <c r="A2047" s="274"/>
      <c r="B2047" s="498"/>
      <c r="C2047" s="287"/>
      <c r="D2047" s="288"/>
      <c r="E2047" s="288"/>
      <c r="F2047" s="438"/>
      <c r="G2047" s="438"/>
      <c r="H2047" s="438"/>
      <c r="I2047" s="438"/>
      <c r="J2047" s="438"/>
    </row>
    <row r="2048" spans="1:10" x14ac:dyDescent="0.25">
      <c r="A2048" s="274"/>
      <c r="B2048" s="498"/>
      <c r="C2048" s="287"/>
      <c r="D2048" s="288"/>
      <c r="E2048" s="288"/>
      <c r="F2048" s="438"/>
      <c r="G2048" s="438"/>
      <c r="H2048" s="438"/>
      <c r="I2048" s="438"/>
      <c r="J2048" s="438"/>
    </row>
    <row r="2049" spans="1:10" x14ac:dyDescent="0.25">
      <c r="A2049" s="274"/>
      <c r="B2049" s="498"/>
      <c r="C2049" s="287"/>
      <c r="D2049" s="288"/>
      <c r="E2049" s="288"/>
      <c r="F2049" s="438"/>
      <c r="G2049" s="438"/>
      <c r="H2049" s="438"/>
      <c r="I2049" s="438"/>
      <c r="J2049" s="438"/>
    </row>
    <row r="2050" spans="1:10" x14ac:dyDescent="0.25">
      <c r="A2050" s="274"/>
      <c r="B2050" s="498"/>
      <c r="C2050" s="287"/>
      <c r="D2050" s="288"/>
      <c r="E2050" s="288"/>
      <c r="F2050" s="438"/>
      <c r="G2050" s="438"/>
      <c r="H2050" s="438"/>
      <c r="I2050" s="438"/>
      <c r="J2050" s="438"/>
    </row>
    <row r="2051" spans="1:10" x14ac:dyDescent="0.25">
      <c r="A2051" s="274"/>
      <c r="B2051" s="498"/>
      <c r="C2051" s="287"/>
      <c r="D2051" s="288"/>
      <c r="E2051" s="288"/>
      <c r="F2051" s="438"/>
      <c r="G2051" s="438"/>
      <c r="H2051" s="438"/>
      <c r="I2051" s="438"/>
      <c r="J2051" s="438"/>
    </row>
    <row r="2052" spans="1:10" x14ac:dyDescent="0.25">
      <c r="A2052" s="274"/>
      <c r="B2052" s="498"/>
      <c r="C2052" s="287"/>
      <c r="D2052" s="288"/>
      <c r="E2052" s="288"/>
      <c r="F2052" s="438"/>
      <c r="G2052" s="438"/>
      <c r="H2052" s="438"/>
      <c r="I2052" s="438"/>
      <c r="J2052" s="438"/>
    </row>
    <row r="2053" spans="1:10" x14ac:dyDescent="0.25">
      <c r="A2053" s="274"/>
      <c r="B2053" s="498"/>
      <c r="C2053" s="287"/>
      <c r="D2053" s="288"/>
      <c r="E2053" s="288"/>
      <c r="F2053" s="438"/>
      <c r="G2053" s="438"/>
      <c r="H2053" s="438"/>
      <c r="I2053" s="438"/>
      <c r="J2053" s="438"/>
    </row>
    <row r="2054" spans="1:10" x14ac:dyDescent="0.25">
      <c r="A2054" s="274"/>
      <c r="B2054" s="498"/>
      <c r="C2054" s="287"/>
      <c r="D2054" s="288"/>
      <c r="E2054" s="288"/>
      <c r="F2054" s="438"/>
      <c r="G2054" s="438"/>
      <c r="H2054" s="438"/>
      <c r="I2054" s="438"/>
      <c r="J2054" s="438"/>
    </row>
    <row r="2055" spans="1:10" x14ac:dyDescent="0.25">
      <c r="A2055" s="274"/>
      <c r="B2055" s="498"/>
      <c r="C2055" s="287"/>
      <c r="D2055" s="288"/>
      <c r="E2055" s="288"/>
      <c r="F2055" s="438"/>
      <c r="G2055" s="438"/>
      <c r="H2055" s="438"/>
      <c r="I2055" s="438"/>
      <c r="J2055" s="438"/>
    </row>
    <row r="2056" spans="1:10" x14ac:dyDescent="0.25">
      <c r="A2056" s="274"/>
      <c r="B2056" s="498"/>
      <c r="C2056" s="287"/>
      <c r="D2056" s="288"/>
      <c r="E2056" s="288"/>
      <c r="F2056" s="438"/>
      <c r="G2056" s="438"/>
      <c r="H2056" s="438"/>
      <c r="I2056" s="438"/>
      <c r="J2056" s="438"/>
    </row>
    <row r="2057" spans="1:10" x14ac:dyDescent="0.25">
      <c r="A2057" s="274"/>
      <c r="B2057" s="498"/>
      <c r="C2057" s="287"/>
      <c r="D2057" s="288"/>
      <c r="E2057" s="288"/>
      <c r="F2057" s="438"/>
      <c r="G2057" s="438"/>
      <c r="H2057" s="438"/>
      <c r="I2057" s="438"/>
      <c r="J2057" s="438"/>
    </row>
    <row r="2058" spans="1:10" x14ac:dyDescent="0.25">
      <c r="A2058" s="274"/>
      <c r="B2058" s="498"/>
      <c r="C2058" s="287"/>
      <c r="D2058" s="288"/>
      <c r="E2058" s="288"/>
      <c r="F2058" s="438"/>
      <c r="G2058" s="438"/>
      <c r="H2058" s="438"/>
      <c r="I2058" s="438"/>
      <c r="J2058" s="438"/>
    </row>
    <row r="2059" spans="1:10" x14ac:dyDescent="0.25">
      <c r="A2059" s="274"/>
      <c r="B2059" s="498"/>
      <c r="C2059" s="287"/>
      <c r="D2059" s="288"/>
      <c r="E2059" s="288"/>
      <c r="F2059" s="438"/>
      <c r="G2059" s="438"/>
      <c r="H2059" s="438"/>
      <c r="I2059" s="438"/>
      <c r="J2059" s="438"/>
    </row>
    <row r="2060" spans="1:10" x14ac:dyDescent="0.25">
      <c r="A2060" s="274"/>
      <c r="B2060" s="498"/>
      <c r="C2060" s="287"/>
      <c r="D2060" s="288"/>
      <c r="E2060" s="288"/>
      <c r="F2060" s="438"/>
      <c r="G2060" s="438"/>
      <c r="H2060" s="438"/>
      <c r="I2060" s="438"/>
      <c r="J2060" s="438"/>
    </row>
    <row r="2061" spans="1:10" x14ac:dyDescent="0.25">
      <c r="A2061" s="274"/>
      <c r="B2061" s="498"/>
      <c r="C2061" s="287"/>
      <c r="D2061" s="288"/>
      <c r="E2061" s="288"/>
      <c r="F2061" s="438"/>
      <c r="G2061" s="438"/>
      <c r="H2061" s="438"/>
      <c r="I2061" s="438"/>
      <c r="J2061" s="438"/>
    </row>
    <row r="2062" spans="1:10" x14ac:dyDescent="0.25">
      <c r="A2062" s="274"/>
      <c r="B2062" s="498"/>
      <c r="C2062" s="287"/>
      <c r="D2062" s="288"/>
      <c r="E2062" s="288"/>
      <c r="F2062" s="438"/>
      <c r="G2062" s="438"/>
      <c r="H2062" s="438"/>
      <c r="I2062" s="438"/>
      <c r="J2062" s="438"/>
    </row>
    <row r="2063" spans="1:10" x14ac:dyDescent="0.25">
      <c r="A2063" s="274"/>
      <c r="B2063" s="498"/>
      <c r="C2063" s="287"/>
      <c r="D2063" s="288"/>
      <c r="E2063" s="288"/>
      <c r="F2063" s="438"/>
      <c r="G2063" s="438"/>
      <c r="H2063" s="438"/>
      <c r="I2063" s="438"/>
      <c r="J2063" s="438"/>
    </row>
    <row r="2064" spans="1:10" x14ac:dyDescent="0.25">
      <c r="A2064" s="274"/>
      <c r="B2064" s="498"/>
      <c r="C2064" s="287"/>
      <c r="D2064" s="288"/>
      <c r="E2064" s="288"/>
      <c r="F2064" s="438"/>
      <c r="G2064" s="438"/>
      <c r="H2064" s="438"/>
      <c r="I2064" s="438"/>
      <c r="J2064" s="438"/>
    </row>
    <row r="2065" spans="1:10" x14ac:dyDescent="0.25">
      <c r="A2065" s="274"/>
      <c r="B2065" s="498"/>
      <c r="C2065" s="287"/>
      <c r="D2065" s="288"/>
      <c r="E2065" s="288"/>
      <c r="F2065" s="438"/>
      <c r="G2065" s="438"/>
      <c r="H2065" s="438"/>
      <c r="I2065" s="438"/>
      <c r="J2065" s="438"/>
    </row>
    <row r="2066" spans="1:10" x14ac:dyDescent="0.25">
      <c r="A2066" s="274"/>
      <c r="B2066" s="498"/>
      <c r="C2066" s="287"/>
      <c r="D2066" s="288"/>
      <c r="E2066" s="288"/>
      <c r="F2066" s="438"/>
      <c r="G2066" s="438"/>
      <c r="H2066" s="438"/>
      <c r="I2066" s="438"/>
      <c r="J2066" s="438"/>
    </row>
    <row r="2067" spans="1:10" x14ac:dyDescent="0.25">
      <c r="A2067" s="274"/>
      <c r="B2067" s="498"/>
      <c r="C2067" s="287"/>
      <c r="D2067" s="288"/>
      <c r="E2067" s="288"/>
      <c r="F2067" s="438"/>
      <c r="G2067" s="438"/>
      <c r="H2067" s="438"/>
      <c r="I2067" s="438"/>
      <c r="J2067" s="438"/>
    </row>
    <row r="2068" spans="1:10" x14ac:dyDescent="0.25">
      <c r="A2068" s="274"/>
      <c r="B2068" s="498"/>
      <c r="C2068" s="287"/>
      <c r="D2068" s="288"/>
      <c r="E2068" s="288"/>
      <c r="F2068" s="438"/>
      <c r="G2068" s="438"/>
      <c r="H2068" s="438"/>
      <c r="I2068" s="438"/>
      <c r="J2068" s="438"/>
    </row>
    <row r="2069" spans="1:10" x14ac:dyDescent="0.25">
      <c r="A2069" s="274"/>
      <c r="B2069" s="498"/>
      <c r="C2069" s="287"/>
      <c r="D2069" s="288"/>
      <c r="E2069" s="288"/>
      <c r="F2069" s="438"/>
      <c r="G2069" s="438"/>
      <c r="H2069" s="438"/>
      <c r="I2069" s="438"/>
      <c r="J2069" s="438"/>
    </row>
    <row r="2070" spans="1:10" x14ac:dyDescent="0.25">
      <c r="A2070" s="274"/>
      <c r="B2070" s="498"/>
      <c r="C2070" s="287"/>
      <c r="D2070" s="288"/>
      <c r="E2070" s="288"/>
      <c r="F2070" s="438"/>
      <c r="G2070" s="438"/>
      <c r="H2070" s="438"/>
      <c r="I2070" s="438"/>
      <c r="J2070" s="438"/>
    </row>
    <row r="2071" spans="1:10" x14ac:dyDescent="0.25">
      <c r="A2071" s="274"/>
      <c r="B2071" s="498"/>
      <c r="C2071" s="287"/>
      <c r="D2071" s="288"/>
      <c r="E2071" s="288"/>
      <c r="F2071" s="438"/>
      <c r="G2071" s="438"/>
      <c r="H2071" s="438"/>
      <c r="I2071" s="438"/>
      <c r="J2071" s="438"/>
    </row>
    <row r="2072" spans="1:10" x14ac:dyDescent="0.25">
      <c r="A2072" s="274"/>
      <c r="B2072" s="498"/>
      <c r="C2072" s="287"/>
      <c r="D2072" s="288"/>
      <c r="E2072" s="288"/>
      <c r="F2072" s="438"/>
      <c r="G2072" s="438"/>
      <c r="H2072" s="438"/>
      <c r="I2072" s="438"/>
      <c r="J2072" s="438"/>
    </row>
    <row r="2073" spans="1:10" x14ac:dyDescent="0.25">
      <c r="A2073" s="274"/>
      <c r="B2073" s="498"/>
      <c r="C2073" s="287"/>
      <c r="D2073" s="288"/>
      <c r="E2073" s="288"/>
      <c r="F2073" s="438"/>
      <c r="G2073" s="438"/>
      <c r="H2073" s="438"/>
      <c r="I2073" s="438"/>
      <c r="J2073" s="438"/>
    </row>
    <row r="2074" spans="1:10" x14ac:dyDescent="0.25">
      <c r="A2074" s="274"/>
      <c r="B2074" s="498"/>
      <c r="C2074" s="287"/>
      <c r="D2074" s="288"/>
      <c r="E2074" s="288"/>
      <c r="F2074" s="438"/>
      <c r="G2074" s="438"/>
      <c r="H2074" s="438"/>
      <c r="I2074" s="438"/>
      <c r="J2074" s="438"/>
    </row>
    <row r="2075" spans="1:10" x14ac:dyDescent="0.25">
      <c r="A2075" s="274"/>
      <c r="B2075" s="498"/>
      <c r="C2075" s="287"/>
      <c r="D2075" s="288"/>
      <c r="E2075" s="288"/>
      <c r="F2075" s="438"/>
      <c r="G2075" s="438"/>
      <c r="H2075" s="438"/>
      <c r="I2075" s="438"/>
      <c r="J2075" s="438"/>
    </row>
    <row r="2076" spans="1:10" x14ac:dyDescent="0.25">
      <c r="A2076" s="274"/>
      <c r="B2076" s="498"/>
      <c r="C2076" s="287"/>
      <c r="D2076" s="288"/>
      <c r="E2076" s="288"/>
      <c r="F2076" s="438"/>
      <c r="G2076" s="438"/>
      <c r="H2076" s="438"/>
      <c r="I2076" s="438"/>
      <c r="J2076" s="438"/>
    </row>
    <row r="2077" spans="1:10" x14ac:dyDescent="0.25">
      <c r="A2077" s="274"/>
      <c r="B2077" s="498"/>
      <c r="C2077" s="287"/>
      <c r="D2077" s="288"/>
      <c r="E2077" s="288"/>
      <c r="F2077" s="438"/>
      <c r="G2077" s="438"/>
      <c r="H2077" s="438"/>
      <c r="I2077" s="438"/>
      <c r="J2077" s="438"/>
    </row>
    <row r="2078" spans="1:10" x14ac:dyDescent="0.25">
      <c r="A2078" s="274"/>
      <c r="B2078" s="498"/>
      <c r="C2078" s="287"/>
      <c r="D2078" s="288"/>
      <c r="E2078" s="288"/>
      <c r="F2078" s="438"/>
      <c r="G2078" s="438"/>
      <c r="H2078" s="438"/>
      <c r="I2078" s="438"/>
      <c r="J2078" s="438"/>
    </row>
    <row r="2079" spans="1:10" x14ac:dyDescent="0.25">
      <c r="A2079" s="274"/>
      <c r="B2079" s="498"/>
      <c r="C2079" s="287"/>
      <c r="D2079" s="288"/>
      <c r="E2079" s="288"/>
      <c r="F2079" s="438"/>
      <c r="G2079" s="438"/>
      <c r="H2079" s="438"/>
      <c r="I2079" s="438"/>
      <c r="J2079" s="438"/>
    </row>
    <row r="2080" spans="1:10" x14ac:dyDescent="0.25">
      <c r="A2080" s="274"/>
      <c r="B2080" s="498"/>
      <c r="C2080" s="287"/>
      <c r="D2080" s="288"/>
      <c r="E2080" s="288"/>
      <c r="F2080" s="438"/>
      <c r="G2080" s="438"/>
      <c r="H2080" s="438"/>
      <c r="I2080" s="438"/>
      <c r="J2080" s="438"/>
    </row>
    <row r="2081" spans="1:10" x14ac:dyDescent="0.25">
      <c r="A2081" s="274"/>
      <c r="B2081" s="498"/>
      <c r="C2081" s="287"/>
      <c r="D2081" s="288"/>
      <c r="E2081" s="288"/>
      <c r="F2081" s="438"/>
      <c r="G2081" s="438"/>
      <c r="H2081" s="438"/>
      <c r="I2081" s="438"/>
      <c r="J2081" s="438"/>
    </row>
    <row r="2082" spans="1:10" x14ac:dyDescent="0.25">
      <c r="A2082" s="274"/>
      <c r="B2082" s="498"/>
      <c r="C2082" s="287"/>
      <c r="D2082" s="288"/>
      <c r="E2082" s="288"/>
      <c r="F2082" s="438"/>
      <c r="G2082" s="438"/>
      <c r="H2082" s="438"/>
      <c r="I2082" s="438"/>
      <c r="J2082" s="438"/>
    </row>
    <row r="2083" spans="1:10" x14ac:dyDescent="0.25">
      <c r="A2083" s="274"/>
      <c r="B2083" s="498"/>
      <c r="C2083" s="287"/>
      <c r="D2083" s="288"/>
      <c r="E2083" s="288"/>
      <c r="F2083" s="438"/>
      <c r="G2083" s="438"/>
      <c r="H2083" s="438"/>
      <c r="I2083" s="438"/>
      <c r="J2083" s="438"/>
    </row>
    <row r="2084" spans="1:10" x14ac:dyDescent="0.25">
      <c r="A2084" s="274"/>
      <c r="B2084" s="498"/>
      <c r="C2084" s="287"/>
      <c r="D2084" s="288"/>
      <c r="E2084" s="288"/>
      <c r="F2084" s="438"/>
      <c r="G2084" s="438"/>
      <c r="H2084" s="438"/>
      <c r="I2084" s="438"/>
      <c r="J2084" s="438"/>
    </row>
    <row r="2085" spans="1:10" x14ac:dyDescent="0.25">
      <c r="A2085" s="274"/>
      <c r="B2085" s="498"/>
      <c r="C2085" s="287"/>
      <c r="D2085" s="288"/>
      <c r="E2085" s="288"/>
      <c r="F2085" s="438"/>
      <c r="G2085" s="438"/>
      <c r="H2085" s="438"/>
      <c r="I2085" s="438"/>
      <c r="J2085" s="438"/>
    </row>
    <row r="2086" spans="1:10" x14ac:dyDescent="0.25">
      <c r="A2086" s="274"/>
      <c r="B2086" s="498"/>
      <c r="C2086" s="287"/>
      <c r="D2086" s="288"/>
      <c r="E2086" s="288"/>
      <c r="F2086" s="438"/>
      <c r="G2086" s="438"/>
      <c r="H2086" s="438"/>
      <c r="I2086" s="438"/>
      <c r="J2086" s="438"/>
    </row>
    <row r="2087" spans="1:10" x14ac:dyDescent="0.25">
      <c r="A2087" s="274"/>
      <c r="B2087" s="498"/>
      <c r="C2087" s="287"/>
      <c r="D2087" s="288"/>
      <c r="E2087" s="288"/>
      <c r="F2087" s="438"/>
      <c r="G2087" s="438"/>
      <c r="H2087" s="438"/>
      <c r="I2087" s="438"/>
      <c r="J2087" s="438"/>
    </row>
    <row r="2088" spans="1:10" x14ac:dyDescent="0.25">
      <c r="A2088" s="274"/>
      <c r="B2088" s="498"/>
      <c r="C2088" s="287"/>
      <c r="D2088" s="288"/>
      <c r="E2088" s="288"/>
      <c r="F2088" s="438"/>
      <c r="G2088" s="438"/>
      <c r="H2088" s="438"/>
      <c r="I2088" s="438"/>
      <c r="J2088" s="438"/>
    </row>
    <row r="2089" spans="1:10" x14ac:dyDescent="0.25">
      <c r="A2089" s="274"/>
      <c r="B2089" s="498"/>
      <c r="C2089" s="287"/>
      <c r="D2089" s="288"/>
      <c r="E2089" s="288"/>
      <c r="F2089" s="438"/>
      <c r="G2089" s="438"/>
      <c r="H2089" s="438"/>
      <c r="I2089" s="438"/>
      <c r="J2089" s="438"/>
    </row>
    <row r="2090" spans="1:10" x14ac:dyDescent="0.25">
      <c r="A2090" s="274"/>
      <c r="B2090" s="498"/>
      <c r="C2090" s="287"/>
      <c r="D2090" s="288"/>
      <c r="E2090" s="288"/>
      <c r="F2090" s="438"/>
      <c r="G2090" s="438"/>
      <c r="H2090" s="438"/>
      <c r="I2090" s="438"/>
      <c r="J2090" s="438"/>
    </row>
    <row r="2091" spans="1:10" x14ac:dyDescent="0.25">
      <c r="A2091" s="274"/>
      <c r="B2091" s="498"/>
      <c r="C2091" s="287"/>
      <c r="D2091" s="288"/>
      <c r="E2091" s="288"/>
      <c r="F2091" s="438"/>
      <c r="G2091" s="438"/>
      <c r="H2091" s="438"/>
      <c r="I2091" s="438"/>
      <c r="J2091" s="438"/>
    </row>
    <row r="2092" spans="1:10" x14ac:dyDescent="0.25">
      <c r="A2092" s="274"/>
      <c r="B2092" s="498"/>
      <c r="C2092" s="287"/>
      <c r="D2092" s="288"/>
      <c r="E2092" s="288"/>
      <c r="F2092" s="438"/>
      <c r="G2092" s="438"/>
      <c r="H2092" s="438"/>
      <c r="I2092" s="438"/>
      <c r="J2092" s="438"/>
    </row>
    <row r="2093" spans="1:10" x14ac:dyDescent="0.25">
      <c r="A2093" s="274"/>
      <c r="B2093" s="498"/>
      <c r="C2093" s="287"/>
      <c r="D2093" s="288"/>
      <c r="E2093" s="288"/>
      <c r="F2093" s="438"/>
      <c r="G2093" s="438"/>
      <c r="H2093" s="438"/>
      <c r="I2093" s="438"/>
      <c r="J2093" s="438"/>
    </row>
    <row r="2094" spans="1:10" x14ac:dyDescent="0.25">
      <c r="A2094" s="274"/>
      <c r="B2094" s="498"/>
      <c r="C2094" s="287"/>
      <c r="D2094" s="288"/>
      <c r="E2094" s="288"/>
      <c r="F2094" s="438"/>
      <c r="G2094" s="438"/>
      <c r="H2094" s="438"/>
      <c r="I2094" s="438"/>
      <c r="J2094" s="438"/>
    </row>
    <row r="2095" spans="1:10" x14ac:dyDescent="0.25">
      <c r="A2095" s="274"/>
      <c r="B2095" s="498"/>
      <c r="C2095" s="287"/>
      <c r="D2095" s="288"/>
      <c r="E2095" s="288"/>
      <c r="F2095" s="438"/>
      <c r="G2095" s="438"/>
      <c r="H2095" s="438"/>
      <c r="I2095" s="438"/>
      <c r="J2095" s="438"/>
    </row>
    <row r="2096" spans="1:10" x14ac:dyDescent="0.25">
      <c r="A2096" s="274"/>
      <c r="B2096" s="498"/>
      <c r="C2096" s="287"/>
      <c r="D2096" s="288"/>
      <c r="E2096" s="288"/>
      <c r="F2096" s="438"/>
      <c r="G2096" s="438"/>
      <c r="H2096" s="438"/>
      <c r="I2096" s="438"/>
      <c r="J2096" s="438"/>
    </row>
    <row r="2097" spans="1:10" x14ac:dyDescent="0.25">
      <c r="A2097" s="274"/>
      <c r="B2097" s="498"/>
      <c r="C2097" s="287"/>
      <c r="D2097" s="288"/>
      <c r="E2097" s="288"/>
      <c r="F2097" s="438"/>
      <c r="G2097" s="438"/>
      <c r="H2097" s="438"/>
      <c r="I2097" s="438"/>
      <c r="J2097" s="438"/>
    </row>
    <row r="2098" spans="1:10" x14ac:dyDescent="0.25">
      <c r="A2098" s="274"/>
      <c r="B2098" s="498"/>
      <c r="C2098" s="287"/>
      <c r="D2098" s="288"/>
      <c r="E2098" s="288"/>
      <c r="F2098" s="438"/>
      <c r="G2098" s="438"/>
      <c r="H2098" s="438"/>
      <c r="I2098" s="438"/>
      <c r="J2098" s="438"/>
    </row>
    <row r="2099" spans="1:10" x14ac:dyDescent="0.25">
      <c r="A2099" s="274"/>
      <c r="B2099" s="498"/>
      <c r="C2099" s="287"/>
      <c r="D2099" s="288"/>
      <c r="E2099" s="288"/>
      <c r="F2099" s="438"/>
      <c r="G2099" s="438"/>
      <c r="H2099" s="438"/>
      <c r="I2099" s="438"/>
      <c r="J2099" s="438"/>
    </row>
    <row r="2100" spans="1:10" x14ac:dyDescent="0.25">
      <c r="A2100" s="274"/>
      <c r="B2100" s="498"/>
      <c r="C2100" s="287"/>
      <c r="D2100" s="288"/>
      <c r="E2100" s="288"/>
      <c r="F2100" s="438"/>
      <c r="G2100" s="438"/>
      <c r="H2100" s="438"/>
      <c r="I2100" s="438"/>
      <c r="J2100" s="438"/>
    </row>
    <row r="2101" spans="1:10" x14ac:dyDescent="0.25">
      <c r="A2101" s="274"/>
      <c r="B2101" s="498"/>
      <c r="C2101" s="287"/>
      <c r="D2101" s="288"/>
      <c r="E2101" s="288"/>
      <c r="F2101" s="438"/>
      <c r="G2101" s="438"/>
      <c r="H2101" s="438"/>
      <c r="I2101" s="438"/>
      <c r="J2101" s="438"/>
    </row>
    <row r="2102" spans="1:10" x14ac:dyDescent="0.25">
      <c r="A2102" s="274"/>
      <c r="B2102" s="498"/>
      <c r="C2102" s="287"/>
      <c r="D2102" s="288"/>
      <c r="E2102" s="288"/>
      <c r="F2102" s="438"/>
      <c r="G2102" s="438"/>
      <c r="H2102" s="438"/>
      <c r="I2102" s="438"/>
      <c r="J2102" s="438"/>
    </row>
    <row r="2103" spans="1:10" x14ac:dyDescent="0.25">
      <c r="A2103" s="274"/>
      <c r="B2103" s="498"/>
      <c r="C2103" s="287"/>
      <c r="D2103" s="288"/>
      <c r="E2103" s="288"/>
      <c r="F2103" s="438"/>
      <c r="G2103" s="438"/>
      <c r="H2103" s="438"/>
      <c r="I2103" s="438"/>
      <c r="J2103" s="438"/>
    </row>
    <row r="2104" spans="1:10" x14ac:dyDescent="0.25">
      <c r="A2104" s="274"/>
      <c r="B2104" s="498"/>
      <c r="C2104" s="287"/>
      <c r="D2104" s="288"/>
      <c r="E2104" s="288"/>
      <c r="F2104" s="438"/>
      <c r="G2104" s="438"/>
      <c r="H2104" s="438"/>
      <c r="I2104" s="438"/>
      <c r="J2104" s="438"/>
    </row>
    <row r="2105" spans="1:10" x14ac:dyDescent="0.25">
      <c r="A2105" s="274"/>
      <c r="B2105" s="498"/>
      <c r="C2105" s="287"/>
      <c r="D2105" s="288"/>
      <c r="E2105" s="288"/>
      <c r="F2105" s="438"/>
      <c r="G2105" s="438"/>
      <c r="H2105" s="438"/>
      <c r="I2105" s="438"/>
      <c r="J2105" s="438"/>
    </row>
    <row r="2106" spans="1:10" x14ac:dyDescent="0.25">
      <c r="A2106" s="274"/>
      <c r="B2106" s="498"/>
      <c r="C2106" s="287"/>
      <c r="D2106" s="288"/>
      <c r="E2106" s="288"/>
      <c r="F2106" s="438"/>
      <c r="G2106" s="438"/>
      <c r="H2106" s="438"/>
      <c r="I2106" s="438"/>
      <c r="J2106" s="438"/>
    </row>
    <row r="2107" spans="1:10" x14ac:dyDescent="0.25">
      <c r="A2107" s="274"/>
      <c r="B2107" s="498"/>
      <c r="C2107" s="287"/>
      <c r="D2107" s="288"/>
      <c r="E2107" s="288"/>
      <c r="F2107" s="438"/>
      <c r="G2107" s="438"/>
      <c r="H2107" s="438"/>
      <c r="I2107" s="438"/>
      <c r="J2107" s="438"/>
    </row>
    <row r="2108" spans="1:10" x14ac:dyDescent="0.25">
      <c r="A2108" s="274"/>
      <c r="B2108" s="498"/>
      <c r="C2108" s="287"/>
      <c r="D2108" s="288"/>
      <c r="E2108" s="288"/>
      <c r="F2108" s="438"/>
      <c r="G2108" s="438"/>
      <c r="H2108" s="438"/>
      <c r="I2108" s="438"/>
      <c r="J2108" s="438"/>
    </row>
    <row r="2109" spans="1:10" x14ac:dyDescent="0.25">
      <c r="A2109" s="274"/>
      <c r="B2109" s="498"/>
      <c r="C2109" s="287"/>
      <c r="D2109" s="288"/>
      <c r="E2109" s="288"/>
      <c r="F2109" s="438"/>
      <c r="G2109" s="438"/>
      <c r="H2109" s="438"/>
      <c r="I2109" s="438"/>
      <c r="J2109" s="438"/>
    </row>
    <row r="2110" spans="1:10" x14ac:dyDescent="0.25">
      <c r="A2110" s="274"/>
      <c r="B2110" s="498"/>
      <c r="C2110" s="287"/>
      <c r="D2110" s="288"/>
      <c r="E2110" s="288"/>
      <c r="F2110" s="438"/>
      <c r="G2110" s="438"/>
      <c r="H2110" s="438"/>
      <c r="I2110" s="438"/>
      <c r="J2110" s="438"/>
    </row>
    <row r="2111" spans="1:10" x14ac:dyDescent="0.25">
      <c r="A2111" s="274"/>
      <c r="B2111" s="498"/>
      <c r="C2111" s="287"/>
      <c r="D2111" s="288"/>
      <c r="E2111" s="288"/>
      <c r="F2111" s="438"/>
      <c r="G2111" s="438"/>
      <c r="H2111" s="438"/>
      <c r="I2111" s="438"/>
      <c r="J2111" s="438"/>
    </row>
    <row r="2112" spans="1:10" x14ac:dyDescent="0.25">
      <c r="A2112" s="274"/>
      <c r="B2112" s="498"/>
      <c r="C2112" s="287"/>
      <c r="D2112" s="288"/>
      <c r="E2112" s="288"/>
      <c r="F2112" s="438"/>
      <c r="G2112" s="438"/>
      <c r="H2112" s="438"/>
      <c r="I2112" s="438"/>
      <c r="J2112" s="438"/>
    </row>
    <row r="2113" spans="1:10" x14ac:dyDescent="0.25">
      <c r="A2113" s="274"/>
      <c r="B2113" s="498"/>
      <c r="C2113" s="287"/>
      <c r="D2113" s="288"/>
      <c r="E2113" s="288"/>
      <c r="F2113" s="438"/>
      <c r="G2113" s="438"/>
      <c r="H2113" s="438"/>
      <c r="I2113" s="438"/>
      <c r="J2113" s="438"/>
    </row>
    <row r="2114" spans="1:10" x14ac:dyDescent="0.25">
      <c r="A2114" s="274"/>
      <c r="B2114" s="498"/>
      <c r="C2114" s="287"/>
      <c r="D2114" s="288"/>
      <c r="E2114" s="288"/>
      <c r="F2114" s="438"/>
      <c r="G2114" s="438"/>
      <c r="H2114" s="438"/>
      <c r="I2114" s="438"/>
      <c r="J2114" s="438"/>
    </row>
    <row r="2115" spans="1:10" x14ac:dyDescent="0.25">
      <c r="A2115" s="274"/>
      <c r="B2115" s="498"/>
      <c r="C2115" s="287"/>
      <c r="D2115" s="288"/>
      <c r="E2115" s="288"/>
      <c r="F2115" s="438"/>
      <c r="G2115" s="438"/>
      <c r="H2115" s="438"/>
      <c r="I2115" s="438"/>
      <c r="J2115" s="438"/>
    </row>
    <row r="2116" spans="1:10" x14ac:dyDescent="0.25">
      <c r="A2116" s="274"/>
      <c r="B2116" s="498"/>
      <c r="C2116" s="287"/>
      <c r="D2116" s="288"/>
      <c r="E2116" s="288"/>
      <c r="F2116" s="438"/>
      <c r="G2116" s="438"/>
      <c r="H2116" s="438"/>
      <c r="I2116" s="438"/>
      <c r="J2116" s="438"/>
    </row>
    <row r="2117" spans="1:10" x14ac:dyDescent="0.25">
      <c r="A2117" s="274"/>
      <c r="B2117" s="498"/>
      <c r="C2117" s="287"/>
      <c r="D2117" s="288"/>
      <c r="E2117" s="288"/>
      <c r="F2117" s="438"/>
      <c r="G2117" s="438"/>
      <c r="H2117" s="438"/>
      <c r="I2117" s="438"/>
      <c r="J2117" s="438"/>
    </row>
    <row r="2118" spans="1:10" x14ac:dyDescent="0.25">
      <c r="A2118" s="274"/>
      <c r="B2118" s="498"/>
      <c r="C2118" s="287"/>
      <c r="D2118" s="288"/>
      <c r="E2118" s="288"/>
      <c r="F2118" s="438"/>
      <c r="G2118" s="438"/>
      <c r="H2118" s="438"/>
      <c r="I2118" s="438"/>
      <c r="J2118" s="438"/>
    </row>
    <row r="2119" spans="1:10" x14ac:dyDescent="0.25">
      <c r="A2119" s="274"/>
      <c r="B2119" s="498"/>
      <c r="C2119" s="287"/>
      <c r="D2119" s="288"/>
      <c r="E2119" s="288"/>
      <c r="F2119" s="438"/>
      <c r="G2119" s="438"/>
      <c r="H2119" s="438"/>
      <c r="I2119" s="438"/>
      <c r="J2119" s="438"/>
    </row>
    <row r="2120" spans="1:10" x14ac:dyDescent="0.25">
      <c r="A2120" s="274"/>
      <c r="B2120" s="498"/>
      <c r="C2120" s="287"/>
      <c r="D2120" s="288"/>
      <c r="E2120" s="288"/>
      <c r="F2120" s="438"/>
      <c r="G2120" s="438"/>
      <c r="H2120" s="438"/>
      <c r="I2120" s="438"/>
      <c r="J2120" s="438"/>
    </row>
    <row r="2121" spans="1:10" x14ac:dyDescent="0.25">
      <c r="A2121" s="274"/>
      <c r="B2121" s="498"/>
      <c r="C2121" s="287"/>
      <c r="D2121" s="288"/>
      <c r="E2121" s="288"/>
      <c r="F2121" s="438"/>
      <c r="G2121" s="438"/>
      <c r="H2121" s="438"/>
      <c r="I2121" s="438"/>
      <c r="J2121" s="438"/>
    </row>
    <row r="2122" spans="1:10" x14ac:dyDescent="0.25">
      <c r="A2122" s="274"/>
      <c r="B2122" s="498"/>
      <c r="C2122" s="287"/>
      <c r="D2122" s="288"/>
      <c r="E2122" s="288"/>
      <c r="F2122" s="438"/>
      <c r="G2122" s="438"/>
      <c r="H2122" s="438"/>
      <c r="I2122" s="438"/>
      <c r="J2122" s="438"/>
    </row>
    <row r="2123" spans="1:10" x14ac:dyDescent="0.25">
      <c r="A2123" s="274"/>
      <c r="B2123" s="498"/>
      <c r="C2123" s="287"/>
      <c r="D2123" s="288"/>
      <c r="E2123" s="288"/>
      <c r="F2123" s="438"/>
      <c r="G2123" s="438"/>
      <c r="H2123" s="438"/>
      <c r="I2123" s="438"/>
      <c r="J2123" s="438"/>
    </row>
    <row r="2124" spans="1:10" x14ac:dyDescent="0.25">
      <c r="A2124" s="274"/>
      <c r="B2124" s="498"/>
      <c r="C2124" s="287"/>
      <c r="D2124" s="288"/>
      <c r="E2124" s="288"/>
      <c r="F2124" s="438"/>
      <c r="G2124" s="438"/>
      <c r="H2124" s="438"/>
      <c r="I2124" s="438"/>
      <c r="J2124" s="438"/>
    </row>
    <row r="2125" spans="1:10" x14ac:dyDescent="0.25">
      <c r="A2125" s="274"/>
      <c r="B2125" s="498"/>
      <c r="C2125" s="287"/>
      <c r="D2125" s="288"/>
      <c r="E2125" s="288"/>
      <c r="F2125" s="438"/>
      <c r="G2125" s="438"/>
      <c r="H2125" s="438"/>
      <c r="I2125" s="438"/>
      <c r="J2125" s="438"/>
    </row>
    <row r="2126" spans="1:10" x14ac:dyDescent="0.25">
      <c r="A2126" s="274"/>
      <c r="B2126" s="498"/>
      <c r="C2126" s="287"/>
      <c r="D2126" s="288"/>
      <c r="E2126" s="288"/>
      <c r="F2126" s="438"/>
      <c r="G2126" s="438"/>
      <c r="H2126" s="438"/>
      <c r="I2126" s="438"/>
      <c r="J2126" s="438"/>
    </row>
    <row r="2127" spans="1:10" x14ac:dyDescent="0.25">
      <c r="A2127" s="274"/>
      <c r="B2127" s="498"/>
      <c r="C2127" s="287"/>
      <c r="D2127" s="288"/>
      <c r="E2127" s="288"/>
      <c r="F2127" s="438"/>
      <c r="G2127" s="438"/>
      <c r="H2127" s="438"/>
      <c r="I2127" s="438"/>
      <c r="J2127" s="438"/>
    </row>
    <row r="2128" spans="1:10" x14ac:dyDescent="0.25">
      <c r="A2128" s="274"/>
      <c r="B2128" s="498"/>
      <c r="C2128" s="287"/>
      <c r="D2128" s="288"/>
      <c r="E2128" s="288"/>
      <c r="F2128" s="438"/>
      <c r="G2128" s="438"/>
      <c r="H2128" s="438"/>
      <c r="I2128" s="438"/>
      <c r="J2128" s="438"/>
    </row>
    <row r="2129" spans="1:10" x14ac:dyDescent="0.25">
      <c r="A2129" s="274"/>
      <c r="B2129" s="498"/>
      <c r="C2129" s="287"/>
      <c r="D2129" s="288"/>
      <c r="E2129" s="288"/>
      <c r="F2129" s="438"/>
      <c r="G2129" s="438"/>
      <c r="H2129" s="438"/>
      <c r="I2129" s="438"/>
      <c r="J2129" s="438"/>
    </row>
    <row r="2130" spans="1:10" x14ac:dyDescent="0.25">
      <c r="A2130" s="274"/>
      <c r="B2130" s="498"/>
      <c r="C2130" s="287"/>
      <c r="D2130" s="288"/>
      <c r="E2130" s="288"/>
      <c r="F2130" s="438"/>
      <c r="G2130" s="438"/>
      <c r="H2130" s="438"/>
      <c r="I2130" s="438"/>
      <c r="J2130" s="438"/>
    </row>
    <row r="2131" spans="1:10" x14ac:dyDescent="0.25">
      <c r="A2131" s="274"/>
      <c r="B2131" s="498"/>
      <c r="C2131" s="287"/>
      <c r="D2131" s="288"/>
      <c r="E2131" s="288"/>
      <c r="F2131" s="438"/>
      <c r="G2131" s="438"/>
      <c r="H2131" s="438"/>
      <c r="I2131" s="438"/>
      <c r="J2131" s="438"/>
    </row>
    <row r="2132" spans="1:10" x14ac:dyDescent="0.25">
      <c r="A2132" s="274"/>
      <c r="B2132" s="498"/>
      <c r="C2132" s="287"/>
      <c r="D2132" s="288"/>
      <c r="E2132" s="288"/>
      <c r="F2132" s="438"/>
      <c r="G2132" s="438"/>
      <c r="H2132" s="438"/>
      <c r="I2132" s="438"/>
      <c r="J2132" s="438"/>
    </row>
    <row r="2133" spans="1:10" x14ac:dyDescent="0.25">
      <c r="A2133" s="274"/>
      <c r="B2133" s="498"/>
      <c r="C2133" s="287"/>
      <c r="D2133" s="288"/>
      <c r="E2133" s="288"/>
      <c r="F2133" s="438"/>
      <c r="G2133" s="438"/>
      <c r="H2133" s="438"/>
      <c r="I2133" s="438"/>
      <c r="J2133" s="438"/>
    </row>
    <row r="2134" spans="1:10" x14ac:dyDescent="0.25">
      <c r="A2134" s="274"/>
      <c r="B2134" s="498"/>
      <c r="C2134" s="287"/>
      <c r="D2134" s="288"/>
      <c r="E2134" s="288"/>
      <c r="F2134" s="438"/>
      <c r="G2134" s="438"/>
      <c r="H2134" s="438"/>
      <c r="I2134" s="438"/>
      <c r="J2134" s="438"/>
    </row>
    <row r="2135" spans="1:10" x14ac:dyDescent="0.25">
      <c r="A2135" s="274"/>
      <c r="B2135" s="498"/>
      <c r="C2135" s="287"/>
      <c r="D2135" s="288"/>
      <c r="E2135" s="288"/>
      <c r="F2135" s="438"/>
      <c r="G2135" s="438"/>
      <c r="H2135" s="438"/>
      <c r="I2135" s="438"/>
      <c r="J2135" s="438"/>
    </row>
    <row r="2136" spans="1:10" x14ac:dyDescent="0.25">
      <c r="A2136" s="274"/>
      <c r="B2136" s="498"/>
      <c r="C2136" s="287"/>
      <c r="D2136" s="288"/>
      <c r="E2136" s="288"/>
      <c r="F2136" s="438"/>
      <c r="G2136" s="438"/>
      <c r="H2136" s="438"/>
      <c r="I2136" s="438"/>
      <c r="J2136" s="438"/>
    </row>
    <row r="2137" spans="1:10" x14ac:dyDescent="0.25">
      <c r="A2137" s="274"/>
      <c r="B2137" s="498"/>
      <c r="C2137" s="287"/>
      <c r="D2137" s="288"/>
      <c r="E2137" s="288"/>
      <c r="F2137" s="438"/>
      <c r="G2137" s="438"/>
      <c r="H2137" s="438"/>
      <c r="I2137" s="438"/>
      <c r="J2137" s="438"/>
    </row>
    <row r="2138" spans="1:10" x14ac:dyDescent="0.25">
      <c r="A2138" s="274"/>
      <c r="B2138" s="498"/>
      <c r="C2138" s="287"/>
      <c r="D2138" s="288"/>
      <c r="E2138" s="288"/>
      <c r="F2138" s="438"/>
      <c r="G2138" s="438"/>
      <c r="H2138" s="438"/>
      <c r="I2138" s="438"/>
      <c r="J2138" s="438"/>
    </row>
    <row r="2139" spans="1:10" x14ac:dyDescent="0.25">
      <c r="A2139" s="274"/>
      <c r="B2139" s="498"/>
      <c r="C2139" s="287"/>
      <c r="D2139" s="288"/>
      <c r="E2139" s="288"/>
      <c r="F2139" s="438"/>
      <c r="G2139" s="438"/>
      <c r="H2139" s="438"/>
      <c r="I2139" s="438"/>
      <c r="J2139" s="438"/>
    </row>
    <row r="2140" spans="1:10" x14ac:dyDescent="0.25">
      <c r="A2140" s="274"/>
      <c r="B2140" s="498"/>
      <c r="C2140" s="287"/>
      <c r="D2140" s="288"/>
      <c r="E2140" s="288"/>
      <c r="F2140" s="438"/>
      <c r="G2140" s="438"/>
      <c r="H2140" s="438"/>
      <c r="I2140" s="438"/>
      <c r="J2140" s="438"/>
    </row>
    <row r="2141" spans="1:10" x14ac:dyDescent="0.25">
      <c r="A2141" s="274"/>
      <c r="B2141" s="498"/>
      <c r="C2141" s="287"/>
      <c r="D2141" s="288"/>
      <c r="E2141" s="288"/>
      <c r="F2141" s="438"/>
      <c r="G2141" s="438"/>
      <c r="H2141" s="438"/>
      <c r="I2141" s="438"/>
      <c r="J2141" s="438"/>
    </row>
    <row r="2142" spans="1:10" x14ac:dyDescent="0.25">
      <c r="A2142" s="274"/>
      <c r="B2142" s="498"/>
      <c r="C2142" s="287"/>
      <c r="D2142" s="288"/>
      <c r="E2142" s="288"/>
      <c r="F2142" s="438"/>
      <c r="G2142" s="438"/>
      <c r="H2142" s="438"/>
      <c r="I2142" s="438"/>
      <c r="J2142" s="438"/>
    </row>
    <row r="2143" spans="1:10" x14ac:dyDescent="0.25">
      <c r="A2143" s="274"/>
      <c r="B2143" s="498"/>
      <c r="C2143" s="287"/>
      <c r="D2143" s="288"/>
      <c r="E2143" s="288"/>
      <c r="F2143" s="438"/>
      <c r="G2143" s="438"/>
      <c r="H2143" s="438"/>
      <c r="I2143" s="438"/>
      <c r="J2143" s="438"/>
    </row>
    <row r="2144" spans="1:10" x14ac:dyDescent="0.25">
      <c r="A2144" s="274"/>
      <c r="B2144" s="498"/>
      <c r="C2144" s="287"/>
      <c r="D2144" s="288"/>
      <c r="E2144" s="288"/>
      <c r="F2144" s="438"/>
      <c r="G2144" s="438"/>
      <c r="H2144" s="438"/>
      <c r="I2144" s="438"/>
      <c r="J2144" s="438"/>
    </row>
    <row r="2145" spans="1:10" x14ac:dyDescent="0.25">
      <c r="A2145" s="274"/>
      <c r="B2145" s="498"/>
      <c r="C2145" s="287"/>
      <c r="D2145" s="288"/>
      <c r="E2145" s="288"/>
      <c r="F2145" s="438"/>
      <c r="G2145" s="438"/>
      <c r="H2145" s="438"/>
      <c r="I2145" s="438"/>
      <c r="J2145" s="438"/>
    </row>
    <row r="2146" spans="1:10" x14ac:dyDescent="0.25">
      <c r="A2146" s="274"/>
      <c r="B2146" s="498"/>
      <c r="C2146" s="287"/>
      <c r="D2146" s="288"/>
      <c r="E2146" s="288"/>
      <c r="F2146" s="438"/>
      <c r="G2146" s="438"/>
      <c r="H2146" s="438"/>
      <c r="I2146" s="438"/>
      <c r="J2146" s="438"/>
    </row>
    <row r="2147" spans="1:10" x14ac:dyDescent="0.25">
      <c r="A2147" s="274"/>
      <c r="B2147" s="498"/>
      <c r="C2147" s="287"/>
      <c r="D2147" s="288"/>
      <c r="E2147" s="288"/>
      <c r="F2147" s="438"/>
      <c r="G2147" s="438"/>
      <c r="H2147" s="438"/>
      <c r="I2147" s="438"/>
      <c r="J2147" s="438"/>
    </row>
    <row r="2148" spans="1:10" x14ac:dyDescent="0.25">
      <c r="A2148" s="274"/>
      <c r="B2148" s="498"/>
      <c r="C2148" s="287"/>
      <c r="D2148" s="288"/>
      <c r="E2148" s="288"/>
      <c r="F2148" s="438"/>
      <c r="G2148" s="438"/>
      <c r="H2148" s="438"/>
      <c r="I2148" s="438"/>
      <c r="J2148" s="438"/>
    </row>
    <row r="2149" spans="1:10" x14ac:dyDescent="0.25">
      <c r="A2149" s="274"/>
      <c r="B2149" s="498"/>
      <c r="C2149" s="287"/>
      <c r="D2149" s="288"/>
      <c r="E2149" s="288"/>
      <c r="F2149" s="438"/>
      <c r="G2149" s="438"/>
      <c r="H2149" s="438"/>
      <c r="I2149" s="438"/>
      <c r="J2149" s="438"/>
    </row>
    <row r="2150" spans="1:10" x14ac:dyDescent="0.25">
      <c r="A2150" s="274"/>
      <c r="B2150" s="498"/>
      <c r="C2150" s="287"/>
      <c r="D2150" s="288"/>
      <c r="E2150" s="288"/>
      <c r="F2150" s="438"/>
      <c r="G2150" s="438"/>
      <c r="H2150" s="438"/>
      <c r="I2150" s="438"/>
      <c r="J2150" s="438"/>
    </row>
    <row r="2151" spans="1:10" x14ac:dyDescent="0.25">
      <c r="A2151" s="274"/>
      <c r="B2151" s="498"/>
      <c r="C2151" s="287"/>
      <c r="D2151" s="288"/>
      <c r="E2151" s="288"/>
      <c r="F2151" s="438"/>
      <c r="G2151" s="438"/>
      <c r="H2151" s="438"/>
      <c r="I2151" s="438"/>
      <c r="J2151" s="438"/>
    </row>
    <row r="2152" spans="1:10" x14ac:dyDescent="0.25">
      <c r="A2152" s="274"/>
      <c r="B2152" s="498"/>
      <c r="C2152" s="287"/>
      <c r="D2152" s="288"/>
      <c r="E2152" s="288"/>
      <c r="F2152" s="438"/>
      <c r="G2152" s="438"/>
      <c r="H2152" s="438"/>
      <c r="I2152" s="438"/>
      <c r="J2152" s="438"/>
    </row>
    <row r="2153" spans="1:10" x14ac:dyDescent="0.25">
      <c r="A2153" s="274"/>
      <c r="B2153" s="498"/>
      <c r="C2153" s="287"/>
      <c r="D2153" s="288"/>
      <c r="E2153" s="288"/>
      <c r="F2153" s="438"/>
      <c r="G2153" s="438"/>
      <c r="H2153" s="438"/>
      <c r="I2153" s="438"/>
      <c r="J2153" s="438"/>
    </row>
    <row r="2154" spans="1:10" x14ac:dyDescent="0.25">
      <c r="A2154" s="274"/>
      <c r="B2154" s="498"/>
      <c r="C2154" s="287"/>
      <c r="D2154" s="288"/>
      <c r="E2154" s="288"/>
      <c r="F2154" s="438"/>
      <c r="G2154" s="438"/>
      <c r="H2154" s="438"/>
      <c r="I2154" s="438"/>
      <c r="J2154" s="438"/>
    </row>
    <row r="2155" spans="1:10" x14ac:dyDescent="0.25">
      <c r="A2155" s="274"/>
      <c r="B2155" s="498"/>
      <c r="C2155" s="287"/>
      <c r="D2155" s="288"/>
      <c r="E2155" s="288"/>
      <c r="F2155" s="438"/>
      <c r="G2155" s="438"/>
      <c r="H2155" s="438"/>
      <c r="I2155" s="438"/>
      <c r="J2155" s="438"/>
    </row>
    <row r="2156" spans="1:10" x14ac:dyDescent="0.25">
      <c r="A2156" s="274"/>
      <c r="B2156" s="498"/>
      <c r="C2156" s="287"/>
      <c r="D2156" s="288"/>
      <c r="E2156" s="288"/>
      <c r="F2156" s="438"/>
      <c r="G2156" s="438"/>
      <c r="H2156" s="438"/>
      <c r="I2156" s="438"/>
      <c r="J2156" s="438"/>
    </row>
    <row r="2157" spans="1:10" x14ac:dyDescent="0.25">
      <c r="A2157" s="274"/>
      <c r="B2157" s="498"/>
      <c r="C2157" s="287"/>
      <c r="D2157" s="288"/>
      <c r="E2157" s="288"/>
      <c r="F2157" s="438"/>
      <c r="G2157" s="438"/>
      <c r="H2157" s="438"/>
      <c r="I2157" s="438"/>
      <c r="J2157" s="438"/>
    </row>
    <row r="2158" spans="1:10" x14ac:dyDescent="0.25">
      <c r="A2158" s="274"/>
      <c r="B2158" s="498"/>
      <c r="C2158" s="287"/>
      <c r="D2158" s="288"/>
      <c r="E2158" s="288"/>
      <c r="F2158" s="438"/>
      <c r="G2158" s="438"/>
      <c r="H2158" s="438"/>
      <c r="I2158" s="438"/>
      <c r="J2158" s="438"/>
    </row>
    <row r="2159" spans="1:10" x14ac:dyDescent="0.25">
      <c r="A2159" s="274"/>
      <c r="B2159" s="498"/>
      <c r="C2159" s="287"/>
      <c r="D2159" s="288"/>
      <c r="E2159" s="288"/>
      <c r="F2159" s="438"/>
      <c r="G2159" s="438"/>
      <c r="H2159" s="438"/>
      <c r="I2159" s="438"/>
      <c r="J2159" s="438"/>
    </row>
    <row r="2160" spans="1:10" x14ac:dyDescent="0.25">
      <c r="A2160" s="274"/>
      <c r="B2160" s="498"/>
      <c r="C2160" s="287"/>
      <c r="D2160" s="288"/>
      <c r="E2160" s="288"/>
      <c r="F2160" s="438"/>
      <c r="G2160" s="438"/>
      <c r="H2160" s="438"/>
      <c r="I2160" s="438"/>
      <c r="J2160" s="438"/>
    </row>
    <row r="2161" spans="1:10" x14ac:dyDescent="0.25">
      <c r="A2161" s="274"/>
      <c r="B2161" s="498"/>
      <c r="C2161" s="287"/>
      <c r="D2161" s="288"/>
      <c r="E2161" s="288"/>
      <c r="F2161" s="438"/>
      <c r="G2161" s="438"/>
      <c r="H2161" s="438"/>
      <c r="I2161" s="438"/>
      <c r="J2161" s="438"/>
    </row>
    <row r="2162" spans="1:10" x14ac:dyDescent="0.25">
      <c r="A2162" s="274"/>
      <c r="B2162" s="498"/>
      <c r="C2162" s="287"/>
      <c r="D2162" s="288"/>
      <c r="E2162" s="288"/>
      <c r="F2162" s="438"/>
      <c r="G2162" s="438"/>
      <c r="H2162" s="438"/>
      <c r="I2162" s="438"/>
      <c r="J2162" s="438"/>
    </row>
    <row r="2163" spans="1:10" x14ac:dyDescent="0.25">
      <c r="A2163" s="274"/>
      <c r="B2163" s="498"/>
      <c r="C2163" s="287"/>
      <c r="D2163" s="288"/>
      <c r="E2163" s="288"/>
      <c r="F2163" s="438"/>
      <c r="G2163" s="438"/>
      <c r="H2163" s="438"/>
      <c r="I2163" s="438"/>
      <c r="J2163" s="438"/>
    </row>
    <row r="2164" spans="1:10" x14ac:dyDescent="0.25">
      <c r="A2164" s="274"/>
      <c r="B2164" s="498"/>
      <c r="C2164" s="287"/>
      <c r="D2164" s="288"/>
      <c r="E2164" s="288"/>
      <c r="F2164" s="438"/>
      <c r="G2164" s="438"/>
      <c r="H2164" s="438"/>
      <c r="I2164" s="438"/>
      <c r="J2164" s="438"/>
    </row>
    <row r="2165" spans="1:10" x14ac:dyDescent="0.25">
      <c r="A2165" s="274"/>
      <c r="B2165" s="498"/>
      <c r="C2165" s="287"/>
      <c r="D2165" s="288"/>
      <c r="E2165" s="288"/>
      <c r="F2165" s="438"/>
      <c r="G2165" s="438"/>
      <c r="H2165" s="438"/>
      <c r="I2165" s="438"/>
      <c r="J2165" s="438"/>
    </row>
    <row r="2166" spans="1:10" x14ac:dyDescent="0.25">
      <c r="A2166" s="274"/>
      <c r="B2166" s="498"/>
      <c r="C2166" s="287"/>
      <c r="D2166" s="288"/>
      <c r="E2166" s="288"/>
      <c r="F2166" s="438"/>
      <c r="G2166" s="438"/>
      <c r="H2166" s="438"/>
      <c r="I2166" s="438"/>
      <c r="J2166" s="438"/>
    </row>
    <row r="2167" spans="1:10" x14ac:dyDescent="0.25">
      <c r="A2167" s="274"/>
      <c r="B2167" s="498"/>
      <c r="C2167" s="287"/>
      <c r="D2167" s="288"/>
      <c r="E2167" s="288"/>
      <c r="F2167" s="438"/>
      <c r="G2167" s="438"/>
      <c r="H2167" s="438"/>
      <c r="I2167" s="438"/>
      <c r="J2167" s="438"/>
    </row>
    <row r="2168" spans="1:10" x14ac:dyDescent="0.25">
      <c r="A2168" s="274"/>
      <c r="B2168" s="498"/>
      <c r="C2168" s="287"/>
      <c r="D2168" s="288"/>
      <c r="E2168" s="288"/>
      <c r="F2168" s="438"/>
      <c r="G2168" s="438"/>
      <c r="H2168" s="438"/>
      <c r="I2168" s="438"/>
      <c r="J2168" s="438"/>
    </row>
    <row r="2169" spans="1:10" x14ac:dyDescent="0.25">
      <c r="A2169" s="274"/>
      <c r="B2169" s="498"/>
      <c r="C2169" s="287"/>
      <c r="D2169" s="288"/>
      <c r="E2169" s="288"/>
      <c r="F2169" s="438"/>
      <c r="G2169" s="438"/>
      <c r="H2169" s="438"/>
      <c r="I2169" s="438"/>
      <c r="J2169" s="438"/>
    </row>
    <row r="2170" spans="1:10" x14ac:dyDescent="0.25">
      <c r="A2170" s="274"/>
      <c r="B2170" s="498"/>
      <c r="C2170" s="287"/>
      <c r="D2170" s="288"/>
      <c r="E2170" s="288"/>
      <c r="F2170" s="438"/>
      <c r="G2170" s="438"/>
      <c r="H2170" s="438"/>
      <c r="I2170" s="438"/>
      <c r="J2170" s="438"/>
    </row>
    <row r="2171" spans="1:10" x14ac:dyDescent="0.25">
      <c r="A2171" s="274"/>
      <c r="B2171" s="498"/>
      <c r="C2171" s="287"/>
      <c r="D2171" s="288"/>
      <c r="E2171" s="288"/>
      <c r="F2171" s="438"/>
      <c r="G2171" s="438"/>
      <c r="H2171" s="438"/>
      <c r="I2171" s="438"/>
      <c r="J2171" s="438"/>
    </row>
    <row r="2172" spans="1:10" x14ac:dyDescent="0.25">
      <c r="A2172" s="274"/>
      <c r="B2172" s="498"/>
      <c r="C2172" s="287"/>
      <c r="D2172" s="288"/>
      <c r="E2172" s="288"/>
      <c r="F2172" s="438"/>
      <c r="G2172" s="438"/>
      <c r="H2172" s="438"/>
      <c r="I2172" s="438"/>
      <c r="J2172" s="438"/>
    </row>
    <row r="2173" spans="1:10" x14ac:dyDescent="0.25">
      <c r="A2173" s="274"/>
      <c r="B2173" s="498"/>
      <c r="C2173" s="287"/>
      <c r="D2173" s="288"/>
      <c r="E2173" s="288"/>
      <c r="F2173" s="438"/>
      <c r="G2173" s="438"/>
      <c r="H2173" s="438"/>
      <c r="I2173" s="438"/>
      <c r="J2173" s="438"/>
    </row>
    <row r="2174" spans="1:10" x14ac:dyDescent="0.25">
      <c r="A2174" s="274"/>
      <c r="B2174" s="498"/>
      <c r="C2174" s="287"/>
      <c r="D2174" s="288"/>
      <c r="E2174" s="288"/>
      <c r="F2174" s="438"/>
      <c r="G2174" s="438"/>
      <c r="H2174" s="438"/>
      <c r="I2174" s="438"/>
      <c r="J2174" s="438"/>
    </row>
    <row r="2175" spans="1:10" x14ac:dyDescent="0.25">
      <c r="A2175" s="274"/>
      <c r="B2175" s="498"/>
      <c r="C2175" s="287"/>
      <c r="D2175" s="288"/>
      <c r="E2175" s="288"/>
      <c r="F2175" s="438"/>
      <c r="G2175" s="438"/>
      <c r="H2175" s="438"/>
      <c r="I2175" s="438"/>
      <c r="J2175" s="438"/>
    </row>
    <row r="2176" spans="1:10" x14ac:dyDescent="0.25">
      <c r="A2176" s="274"/>
      <c r="B2176" s="498"/>
      <c r="C2176" s="287"/>
      <c r="D2176" s="288"/>
      <c r="E2176" s="288"/>
      <c r="F2176" s="438"/>
      <c r="G2176" s="438"/>
      <c r="H2176" s="438"/>
      <c r="I2176" s="438"/>
      <c r="J2176" s="438"/>
    </row>
    <row r="2177" spans="1:10" x14ac:dyDescent="0.25">
      <c r="A2177" s="274"/>
      <c r="B2177" s="498"/>
      <c r="C2177" s="287"/>
      <c r="D2177" s="288"/>
      <c r="E2177" s="288"/>
      <c r="F2177" s="438"/>
      <c r="G2177" s="438"/>
      <c r="H2177" s="438"/>
      <c r="I2177" s="438"/>
      <c r="J2177" s="438"/>
    </row>
    <row r="2178" spans="1:10" x14ac:dyDescent="0.25">
      <c r="A2178" s="274"/>
      <c r="B2178" s="498"/>
      <c r="C2178" s="287"/>
      <c r="D2178" s="288"/>
      <c r="E2178" s="288"/>
      <c r="F2178" s="438"/>
      <c r="G2178" s="438"/>
      <c r="H2178" s="438"/>
      <c r="I2178" s="438"/>
      <c r="J2178" s="438"/>
    </row>
    <row r="2179" spans="1:10" x14ac:dyDescent="0.25">
      <c r="A2179" s="274"/>
      <c r="B2179" s="498"/>
      <c r="C2179" s="287"/>
      <c r="D2179" s="288"/>
      <c r="E2179" s="288"/>
      <c r="F2179" s="438"/>
      <c r="G2179" s="438"/>
      <c r="H2179" s="438"/>
      <c r="I2179" s="438"/>
      <c r="J2179" s="438"/>
    </row>
    <row r="2180" spans="1:10" x14ac:dyDescent="0.25">
      <c r="A2180" s="274"/>
      <c r="B2180" s="498"/>
      <c r="C2180" s="287"/>
      <c r="D2180" s="288"/>
      <c r="E2180" s="288"/>
      <c r="F2180" s="438"/>
      <c r="G2180" s="438"/>
      <c r="H2180" s="438"/>
      <c r="I2180" s="438"/>
      <c r="J2180" s="438"/>
    </row>
    <row r="2181" spans="1:10" x14ac:dyDescent="0.25">
      <c r="A2181" s="274"/>
      <c r="B2181" s="498"/>
      <c r="C2181" s="287"/>
      <c r="D2181" s="288"/>
      <c r="E2181" s="288"/>
      <c r="F2181" s="438"/>
      <c r="G2181" s="438"/>
      <c r="H2181" s="438"/>
      <c r="I2181" s="438"/>
      <c r="J2181" s="438"/>
    </row>
    <row r="2182" spans="1:10" x14ac:dyDescent="0.25">
      <c r="A2182" s="274"/>
      <c r="B2182" s="498"/>
      <c r="C2182" s="287"/>
      <c r="D2182" s="288"/>
      <c r="E2182" s="288"/>
      <c r="F2182" s="438"/>
      <c r="G2182" s="438"/>
      <c r="H2182" s="438"/>
      <c r="I2182" s="438"/>
      <c r="J2182" s="438"/>
    </row>
    <row r="2183" spans="1:10" x14ac:dyDescent="0.25">
      <c r="A2183" s="274"/>
      <c r="B2183" s="498"/>
      <c r="C2183" s="287"/>
      <c r="D2183" s="288"/>
      <c r="E2183" s="288"/>
      <c r="F2183" s="438"/>
      <c r="G2183" s="438"/>
      <c r="H2183" s="438"/>
      <c r="I2183" s="438"/>
      <c r="J2183" s="438"/>
    </row>
    <row r="2184" spans="1:10" x14ac:dyDescent="0.25">
      <c r="A2184" s="274"/>
      <c r="B2184" s="498"/>
      <c r="C2184" s="287"/>
      <c r="D2184" s="288"/>
      <c r="E2184" s="288"/>
      <c r="F2184" s="438"/>
      <c r="G2184" s="438"/>
      <c r="H2184" s="438"/>
      <c r="I2184" s="438"/>
      <c r="J2184" s="438"/>
    </row>
    <row r="2185" spans="1:10" x14ac:dyDescent="0.25">
      <c r="A2185" s="274"/>
      <c r="B2185" s="498"/>
      <c r="C2185" s="287"/>
      <c r="D2185" s="288"/>
      <c r="E2185" s="288"/>
      <c r="F2185" s="438"/>
      <c r="G2185" s="438"/>
      <c r="H2185" s="438"/>
      <c r="I2185" s="438"/>
      <c r="J2185" s="438"/>
    </row>
    <row r="2186" spans="1:10" x14ac:dyDescent="0.25">
      <c r="A2186" s="274"/>
      <c r="B2186" s="498"/>
      <c r="C2186" s="287"/>
      <c r="D2186" s="288"/>
      <c r="E2186" s="288"/>
      <c r="F2186" s="438"/>
      <c r="G2186" s="438"/>
      <c r="H2186" s="438"/>
      <c r="I2186" s="438"/>
      <c r="J2186" s="438"/>
    </row>
    <row r="2187" spans="1:10" x14ac:dyDescent="0.25">
      <c r="A2187" s="274"/>
      <c r="B2187" s="498"/>
      <c r="C2187" s="287"/>
      <c r="D2187" s="288"/>
      <c r="E2187" s="288"/>
      <c r="F2187" s="438"/>
      <c r="G2187" s="438"/>
      <c r="H2187" s="438"/>
      <c r="I2187" s="438"/>
      <c r="J2187" s="438"/>
    </row>
    <row r="2188" spans="1:10" x14ac:dyDescent="0.25">
      <c r="A2188" s="274"/>
      <c r="B2188" s="498"/>
      <c r="C2188" s="287"/>
      <c r="D2188" s="288"/>
      <c r="E2188" s="288"/>
      <c r="F2188" s="438"/>
      <c r="G2188" s="438"/>
      <c r="H2188" s="438"/>
      <c r="I2188" s="438"/>
      <c r="J2188" s="438"/>
    </row>
    <row r="2189" spans="1:10" x14ac:dyDescent="0.25">
      <c r="A2189" s="274"/>
      <c r="B2189" s="498"/>
      <c r="C2189" s="287"/>
      <c r="D2189" s="288"/>
      <c r="E2189" s="288"/>
      <c r="F2189" s="438"/>
      <c r="G2189" s="438"/>
      <c r="H2189" s="438"/>
      <c r="I2189" s="438"/>
      <c r="J2189" s="438"/>
    </row>
    <row r="2190" spans="1:10" x14ac:dyDescent="0.25">
      <c r="A2190" s="274"/>
      <c r="B2190" s="498"/>
      <c r="C2190" s="287"/>
      <c r="D2190" s="288"/>
      <c r="E2190" s="288"/>
      <c r="F2190" s="438"/>
      <c r="G2190" s="438"/>
      <c r="H2190" s="438"/>
      <c r="I2190" s="438"/>
      <c r="J2190" s="438"/>
    </row>
    <row r="2191" spans="1:10" x14ac:dyDescent="0.25">
      <c r="A2191" s="274"/>
      <c r="B2191" s="498"/>
      <c r="C2191" s="287"/>
      <c r="D2191" s="288"/>
      <c r="E2191" s="288"/>
      <c r="F2191" s="438"/>
      <c r="G2191" s="438"/>
      <c r="H2191" s="438"/>
      <c r="I2191" s="438"/>
      <c r="J2191" s="438"/>
    </row>
    <row r="2192" spans="1:10" x14ac:dyDescent="0.25">
      <c r="A2192" s="274"/>
      <c r="B2192" s="498"/>
      <c r="C2192" s="287"/>
      <c r="D2192" s="288"/>
      <c r="E2192" s="288"/>
      <c r="F2192" s="438"/>
      <c r="G2192" s="438"/>
      <c r="H2192" s="438"/>
      <c r="I2192" s="438"/>
      <c r="J2192" s="438"/>
    </row>
    <row r="2193" spans="1:10" x14ac:dyDescent="0.25">
      <c r="A2193" s="274"/>
      <c r="B2193" s="498"/>
      <c r="C2193" s="287"/>
      <c r="D2193" s="288"/>
      <c r="E2193" s="288"/>
      <c r="F2193" s="438"/>
      <c r="G2193" s="438"/>
      <c r="H2193" s="438"/>
      <c r="I2193" s="438"/>
      <c r="J2193" s="438"/>
    </row>
    <row r="2194" spans="1:10" x14ac:dyDescent="0.25">
      <c r="A2194" s="274"/>
      <c r="B2194" s="498"/>
      <c r="C2194" s="287"/>
      <c r="D2194" s="288"/>
      <c r="E2194" s="288"/>
      <c r="F2194" s="438"/>
      <c r="G2194" s="438"/>
      <c r="H2194" s="438"/>
      <c r="I2194" s="438"/>
      <c r="J2194" s="438"/>
    </row>
    <row r="2195" spans="1:10" x14ac:dyDescent="0.25">
      <c r="A2195" s="274"/>
      <c r="B2195" s="498"/>
      <c r="C2195" s="287"/>
      <c r="D2195" s="288"/>
      <c r="E2195" s="288"/>
      <c r="F2195" s="438"/>
      <c r="G2195" s="438"/>
      <c r="H2195" s="438"/>
      <c r="I2195" s="438"/>
      <c r="J2195" s="438"/>
    </row>
    <row r="2196" spans="1:10" x14ac:dyDescent="0.25">
      <c r="A2196" s="274"/>
      <c r="B2196" s="498"/>
      <c r="C2196" s="287"/>
      <c r="D2196" s="288"/>
      <c r="E2196" s="288"/>
      <c r="F2196" s="438"/>
      <c r="G2196" s="438"/>
      <c r="H2196" s="438"/>
      <c r="I2196" s="438"/>
      <c r="J2196" s="438"/>
    </row>
    <row r="2197" spans="1:10" x14ac:dyDescent="0.25">
      <c r="A2197" s="274"/>
      <c r="B2197" s="498"/>
      <c r="C2197" s="287"/>
      <c r="D2197" s="288"/>
      <c r="E2197" s="288"/>
      <c r="F2197" s="438"/>
      <c r="G2197" s="438"/>
      <c r="H2197" s="438"/>
      <c r="I2197" s="438"/>
      <c r="J2197" s="438"/>
    </row>
    <row r="2198" spans="1:10" x14ac:dyDescent="0.25">
      <c r="A2198" s="274"/>
      <c r="B2198" s="498"/>
      <c r="C2198" s="287"/>
      <c r="D2198" s="288"/>
      <c r="E2198" s="288"/>
      <c r="F2198" s="438"/>
      <c r="G2198" s="438"/>
      <c r="H2198" s="438"/>
      <c r="I2198" s="438"/>
      <c r="J2198" s="438"/>
    </row>
    <row r="2199" spans="1:10" x14ac:dyDescent="0.25">
      <c r="A2199" s="274"/>
      <c r="B2199" s="498"/>
      <c r="C2199" s="287"/>
      <c r="D2199" s="288"/>
      <c r="E2199" s="288"/>
      <c r="F2199" s="438"/>
      <c r="G2199" s="438"/>
      <c r="H2199" s="438"/>
      <c r="I2199" s="438"/>
      <c r="J2199" s="438"/>
    </row>
    <row r="2200" spans="1:10" x14ac:dyDescent="0.25">
      <c r="A2200" s="274"/>
      <c r="B2200" s="498"/>
      <c r="C2200" s="287"/>
      <c r="D2200" s="288"/>
      <c r="E2200" s="288"/>
      <c r="F2200" s="438"/>
      <c r="G2200" s="438"/>
      <c r="H2200" s="438"/>
      <c r="I2200" s="438"/>
      <c r="J2200" s="438"/>
    </row>
    <row r="2201" spans="1:10" x14ac:dyDescent="0.25">
      <c r="A2201" s="274"/>
      <c r="B2201" s="498"/>
      <c r="C2201" s="287"/>
      <c r="D2201" s="288"/>
      <c r="E2201" s="288"/>
      <c r="F2201" s="438"/>
      <c r="G2201" s="438"/>
      <c r="H2201" s="438"/>
      <c r="I2201" s="438"/>
      <c r="J2201" s="438"/>
    </row>
    <row r="2202" spans="1:10" x14ac:dyDescent="0.25">
      <c r="A2202" s="274"/>
      <c r="B2202" s="498"/>
      <c r="C2202" s="287"/>
      <c r="D2202" s="288"/>
      <c r="E2202" s="288"/>
      <c r="F2202" s="438"/>
      <c r="G2202" s="438"/>
      <c r="H2202" s="438"/>
      <c r="I2202" s="438"/>
      <c r="J2202" s="438"/>
    </row>
    <row r="2203" spans="1:10" x14ac:dyDescent="0.25">
      <c r="A2203" s="274"/>
      <c r="B2203" s="498"/>
      <c r="C2203" s="287"/>
      <c r="D2203" s="288"/>
      <c r="E2203" s="288"/>
      <c r="F2203" s="438"/>
      <c r="G2203" s="438"/>
      <c r="H2203" s="438"/>
      <c r="I2203" s="438"/>
      <c r="J2203" s="438"/>
    </row>
    <row r="2204" spans="1:10" x14ac:dyDescent="0.25">
      <c r="A2204" s="274"/>
      <c r="B2204" s="498"/>
      <c r="C2204" s="287"/>
      <c r="D2204" s="288"/>
      <c r="E2204" s="288"/>
      <c r="F2204" s="438"/>
      <c r="G2204" s="438"/>
      <c r="H2204" s="438"/>
      <c r="I2204" s="438"/>
      <c r="J2204" s="438"/>
    </row>
    <row r="2205" spans="1:10" x14ac:dyDescent="0.25">
      <c r="A2205" s="274"/>
      <c r="B2205" s="498"/>
      <c r="C2205" s="287"/>
      <c r="D2205" s="288"/>
      <c r="E2205" s="288"/>
      <c r="F2205" s="438"/>
      <c r="G2205" s="438"/>
      <c r="H2205" s="438"/>
      <c r="I2205" s="438"/>
      <c r="J2205" s="438"/>
    </row>
    <row r="2206" spans="1:10" x14ac:dyDescent="0.25">
      <c r="A2206" s="274"/>
      <c r="B2206" s="498"/>
      <c r="C2206" s="287"/>
      <c r="D2206" s="288"/>
      <c r="E2206" s="288"/>
      <c r="F2206" s="438"/>
      <c r="G2206" s="438"/>
      <c r="H2206" s="438"/>
      <c r="I2206" s="438"/>
      <c r="J2206" s="438"/>
    </row>
    <row r="2207" spans="1:10" x14ac:dyDescent="0.25">
      <c r="A2207" s="274"/>
      <c r="B2207" s="498"/>
      <c r="C2207" s="287"/>
      <c r="D2207" s="288"/>
      <c r="E2207" s="288"/>
      <c r="F2207" s="438"/>
      <c r="G2207" s="438"/>
      <c r="H2207" s="438"/>
      <c r="I2207" s="438"/>
      <c r="J2207" s="438"/>
    </row>
    <row r="2208" spans="1:10" x14ac:dyDescent="0.25">
      <c r="A2208" s="274"/>
      <c r="B2208" s="498"/>
      <c r="C2208" s="287"/>
      <c r="D2208" s="288"/>
      <c r="E2208" s="288"/>
      <c r="F2208" s="438"/>
      <c r="G2208" s="438"/>
      <c r="H2208" s="438"/>
      <c r="I2208" s="438"/>
      <c r="J2208" s="438"/>
    </row>
    <row r="2209" spans="1:10" x14ac:dyDescent="0.25">
      <c r="A2209" s="274"/>
      <c r="B2209" s="498"/>
      <c r="C2209" s="287"/>
      <c r="D2209" s="288"/>
      <c r="E2209" s="288"/>
      <c r="F2209" s="438"/>
      <c r="G2209" s="438"/>
      <c r="H2209" s="438"/>
      <c r="I2209" s="438"/>
      <c r="J2209" s="438"/>
    </row>
    <row r="2210" spans="1:10" x14ac:dyDescent="0.25">
      <c r="A2210" s="274"/>
      <c r="B2210" s="498"/>
      <c r="C2210" s="287"/>
      <c r="D2210" s="288"/>
      <c r="E2210" s="288"/>
      <c r="F2210" s="438"/>
      <c r="G2210" s="438"/>
      <c r="H2210" s="438"/>
      <c r="I2210" s="438"/>
      <c r="J2210" s="438"/>
    </row>
    <row r="2211" spans="1:10" x14ac:dyDescent="0.25">
      <c r="A2211" s="274"/>
      <c r="B2211" s="498"/>
      <c r="C2211" s="287"/>
      <c r="D2211" s="288"/>
      <c r="E2211" s="288"/>
      <c r="F2211" s="438"/>
      <c r="G2211" s="438"/>
      <c r="H2211" s="438"/>
      <c r="I2211" s="438"/>
      <c r="J2211" s="438"/>
    </row>
    <row r="2212" spans="1:10" x14ac:dyDescent="0.25">
      <c r="A2212" s="274"/>
      <c r="B2212" s="498"/>
      <c r="C2212" s="287"/>
      <c r="D2212" s="288"/>
      <c r="E2212" s="288"/>
      <c r="F2212" s="438"/>
      <c r="G2212" s="438"/>
      <c r="H2212" s="438"/>
      <c r="I2212" s="438"/>
      <c r="J2212" s="438"/>
    </row>
    <row r="2213" spans="1:10" x14ac:dyDescent="0.25">
      <c r="A2213" s="274"/>
      <c r="B2213" s="498"/>
      <c r="C2213" s="287"/>
      <c r="D2213" s="288"/>
      <c r="E2213" s="288"/>
      <c r="F2213" s="438"/>
      <c r="G2213" s="438"/>
      <c r="H2213" s="438"/>
      <c r="I2213" s="438"/>
      <c r="J2213" s="438"/>
    </row>
    <row r="2214" spans="1:10" x14ac:dyDescent="0.25">
      <c r="A2214" s="274"/>
      <c r="B2214" s="498"/>
      <c r="C2214" s="287"/>
      <c r="D2214" s="288"/>
      <c r="E2214" s="288"/>
      <c r="F2214" s="438"/>
      <c r="G2214" s="438"/>
      <c r="H2214" s="438"/>
      <c r="I2214" s="438"/>
      <c r="J2214" s="438"/>
    </row>
    <row r="2215" spans="1:10" x14ac:dyDescent="0.25">
      <c r="A2215" s="274"/>
      <c r="B2215" s="498"/>
      <c r="C2215" s="287"/>
      <c r="D2215" s="288"/>
      <c r="E2215" s="288"/>
      <c r="F2215" s="438"/>
      <c r="G2215" s="438"/>
      <c r="H2215" s="438"/>
      <c r="I2215" s="438"/>
      <c r="J2215" s="438"/>
    </row>
    <row r="2216" spans="1:10" x14ac:dyDescent="0.25">
      <c r="A2216" s="274"/>
      <c r="B2216" s="498"/>
      <c r="C2216" s="287"/>
      <c r="D2216" s="288"/>
      <c r="E2216" s="288"/>
      <c r="F2216" s="438"/>
      <c r="G2216" s="438"/>
      <c r="H2216" s="438"/>
      <c r="I2216" s="438"/>
      <c r="J2216" s="438"/>
    </row>
    <row r="2217" spans="1:10" x14ac:dyDescent="0.25">
      <c r="A2217" s="274"/>
      <c r="B2217" s="498"/>
      <c r="C2217" s="287"/>
      <c r="D2217" s="288"/>
      <c r="E2217" s="288"/>
      <c r="F2217" s="438"/>
      <c r="G2217" s="438"/>
      <c r="H2217" s="438"/>
      <c r="I2217" s="438"/>
      <c r="J2217" s="438"/>
    </row>
    <row r="2218" spans="1:10" x14ac:dyDescent="0.25">
      <c r="A2218" s="274"/>
      <c r="B2218" s="498"/>
      <c r="C2218" s="287"/>
      <c r="D2218" s="288"/>
      <c r="E2218" s="288"/>
      <c r="F2218" s="438"/>
      <c r="G2218" s="438"/>
      <c r="H2218" s="438"/>
      <c r="I2218" s="438"/>
      <c r="J2218" s="438"/>
    </row>
    <row r="2219" spans="1:10" x14ac:dyDescent="0.25">
      <c r="A2219" s="274"/>
      <c r="B2219" s="498"/>
      <c r="C2219" s="287"/>
      <c r="D2219" s="288"/>
      <c r="E2219" s="288"/>
      <c r="F2219" s="438"/>
      <c r="G2219" s="438"/>
      <c r="H2219" s="438"/>
      <c r="I2219" s="438"/>
      <c r="J2219" s="438"/>
    </row>
    <row r="2220" spans="1:10" x14ac:dyDescent="0.25">
      <c r="A2220" s="274"/>
      <c r="B2220" s="498"/>
      <c r="C2220" s="287"/>
      <c r="D2220" s="288"/>
      <c r="E2220" s="288"/>
      <c r="F2220" s="438"/>
      <c r="G2220" s="438"/>
      <c r="H2220" s="438"/>
      <c r="I2220" s="438"/>
      <c r="J2220" s="438"/>
    </row>
    <row r="2221" spans="1:10" x14ac:dyDescent="0.25">
      <c r="A2221" s="274"/>
      <c r="B2221" s="498"/>
      <c r="C2221" s="287"/>
      <c r="D2221" s="288"/>
      <c r="E2221" s="288"/>
      <c r="F2221" s="438"/>
      <c r="G2221" s="438"/>
      <c r="H2221" s="438"/>
      <c r="I2221" s="438"/>
      <c r="J2221" s="438"/>
    </row>
    <row r="2222" spans="1:10" x14ac:dyDescent="0.25">
      <c r="A2222" s="274"/>
      <c r="B2222" s="498"/>
      <c r="C2222" s="287"/>
      <c r="D2222" s="288"/>
      <c r="E2222" s="288"/>
      <c r="F2222" s="438"/>
      <c r="G2222" s="438"/>
      <c r="H2222" s="438"/>
      <c r="I2222" s="438"/>
      <c r="J2222" s="438"/>
    </row>
    <row r="2223" spans="1:10" x14ac:dyDescent="0.25">
      <c r="A2223" s="274"/>
      <c r="B2223" s="498"/>
      <c r="C2223" s="287"/>
      <c r="D2223" s="288"/>
      <c r="E2223" s="288"/>
      <c r="F2223" s="438"/>
      <c r="G2223" s="438"/>
      <c r="H2223" s="438"/>
      <c r="I2223" s="438"/>
      <c r="J2223" s="438"/>
    </row>
    <row r="2224" spans="1:10" x14ac:dyDescent="0.25">
      <c r="A2224" s="274"/>
      <c r="B2224" s="498"/>
      <c r="C2224" s="287"/>
      <c r="D2224" s="288"/>
      <c r="E2224" s="288"/>
      <c r="F2224" s="438"/>
      <c r="G2224" s="438"/>
      <c r="H2224" s="438"/>
      <c r="I2224" s="438"/>
      <c r="J2224" s="438"/>
    </row>
    <row r="2225" spans="1:10" x14ac:dyDescent="0.25">
      <c r="A2225" s="274"/>
      <c r="B2225" s="498"/>
      <c r="C2225" s="287"/>
      <c r="D2225" s="288"/>
      <c r="E2225" s="288"/>
      <c r="F2225" s="438"/>
      <c r="G2225" s="438"/>
      <c r="H2225" s="438"/>
      <c r="I2225" s="438"/>
      <c r="J2225" s="438"/>
    </row>
    <row r="2226" spans="1:10" x14ac:dyDescent="0.25">
      <c r="A2226" s="274"/>
      <c r="B2226" s="498"/>
      <c r="C2226" s="287"/>
      <c r="D2226" s="288"/>
      <c r="E2226" s="288"/>
      <c r="F2226" s="438"/>
      <c r="G2226" s="438"/>
      <c r="H2226" s="438"/>
      <c r="I2226" s="438"/>
      <c r="J2226" s="438"/>
    </row>
    <row r="2227" spans="1:10" x14ac:dyDescent="0.25">
      <c r="A2227" s="274"/>
      <c r="B2227" s="498"/>
      <c r="C2227" s="287"/>
      <c r="D2227" s="288"/>
      <c r="E2227" s="288"/>
      <c r="F2227" s="438"/>
      <c r="G2227" s="438"/>
      <c r="H2227" s="438"/>
      <c r="I2227" s="438"/>
      <c r="J2227" s="438"/>
    </row>
    <row r="2228" spans="1:10" x14ac:dyDescent="0.25">
      <c r="A2228" s="274"/>
      <c r="B2228" s="498"/>
      <c r="C2228" s="287"/>
      <c r="D2228" s="288"/>
      <c r="E2228" s="288"/>
      <c r="F2228" s="438"/>
      <c r="G2228" s="438"/>
      <c r="H2228" s="438"/>
      <c r="I2228" s="438"/>
      <c r="J2228" s="438"/>
    </row>
    <row r="2229" spans="1:10" x14ac:dyDescent="0.25">
      <c r="A2229" s="274"/>
      <c r="B2229" s="498"/>
      <c r="C2229" s="287"/>
      <c r="D2229" s="288"/>
      <c r="E2229" s="288"/>
      <c r="F2229" s="438"/>
      <c r="G2229" s="438"/>
      <c r="H2229" s="438"/>
      <c r="I2229" s="438"/>
      <c r="J2229" s="438"/>
    </row>
    <row r="2230" spans="1:10" x14ac:dyDescent="0.25">
      <c r="A2230" s="274"/>
      <c r="B2230" s="498"/>
      <c r="C2230" s="287"/>
      <c r="D2230" s="288"/>
      <c r="E2230" s="288"/>
      <c r="F2230" s="438"/>
      <c r="G2230" s="438"/>
      <c r="H2230" s="438"/>
      <c r="I2230" s="438"/>
      <c r="J2230" s="438"/>
    </row>
    <row r="2231" spans="1:10" x14ac:dyDescent="0.25">
      <c r="A2231" s="274"/>
      <c r="B2231" s="498"/>
      <c r="C2231" s="287"/>
      <c r="D2231" s="288"/>
      <c r="E2231" s="288"/>
      <c r="F2231" s="438"/>
      <c r="G2231" s="438"/>
      <c r="H2231" s="438"/>
      <c r="I2231" s="438"/>
      <c r="J2231" s="438"/>
    </row>
    <row r="2232" spans="1:10" x14ac:dyDescent="0.25">
      <c r="A2232" s="274"/>
      <c r="B2232" s="498"/>
      <c r="C2232" s="287"/>
      <c r="D2232" s="288"/>
      <c r="E2232" s="288"/>
      <c r="F2232" s="438"/>
      <c r="G2232" s="438"/>
      <c r="H2232" s="438"/>
      <c r="I2232" s="438"/>
      <c r="J2232" s="438"/>
    </row>
    <row r="2233" spans="1:10" x14ac:dyDescent="0.25">
      <c r="A2233" s="274"/>
      <c r="B2233" s="498"/>
      <c r="C2233" s="287"/>
      <c r="D2233" s="288"/>
      <c r="E2233" s="288"/>
      <c r="F2233" s="438"/>
      <c r="G2233" s="438"/>
      <c r="H2233" s="438"/>
      <c r="I2233" s="438"/>
      <c r="J2233" s="438"/>
    </row>
    <row r="2234" spans="1:10" x14ac:dyDescent="0.25">
      <c r="A2234" s="274"/>
      <c r="B2234" s="498"/>
      <c r="C2234" s="287"/>
      <c r="D2234" s="288"/>
      <c r="E2234" s="288"/>
      <c r="F2234" s="438"/>
      <c r="G2234" s="438"/>
      <c r="H2234" s="438"/>
      <c r="I2234" s="438"/>
      <c r="J2234" s="438"/>
    </row>
    <row r="2235" spans="1:10" x14ac:dyDescent="0.25">
      <c r="A2235" s="274"/>
      <c r="B2235" s="498"/>
      <c r="C2235" s="287"/>
      <c r="D2235" s="288"/>
      <c r="E2235" s="288"/>
      <c r="F2235" s="438"/>
      <c r="G2235" s="438"/>
      <c r="H2235" s="438"/>
      <c r="I2235" s="438"/>
      <c r="J2235" s="438"/>
    </row>
    <row r="2236" spans="1:10" x14ac:dyDescent="0.25">
      <c r="A2236" s="274"/>
      <c r="B2236" s="498"/>
      <c r="C2236" s="287"/>
      <c r="D2236" s="288"/>
      <c r="E2236" s="288"/>
      <c r="F2236" s="438"/>
      <c r="G2236" s="438"/>
      <c r="H2236" s="438"/>
      <c r="I2236" s="438"/>
      <c r="J2236" s="438"/>
    </row>
    <row r="2237" spans="1:10" x14ac:dyDescent="0.25">
      <c r="A2237" s="274"/>
      <c r="B2237" s="498"/>
      <c r="C2237" s="287"/>
      <c r="D2237" s="288"/>
      <c r="E2237" s="288"/>
      <c r="F2237" s="438"/>
      <c r="G2237" s="438"/>
      <c r="H2237" s="438"/>
      <c r="I2237" s="438"/>
      <c r="J2237" s="438"/>
    </row>
    <row r="2238" spans="1:10" x14ac:dyDescent="0.25">
      <c r="A2238" s="274"/>
      <c r="B2238" s="498"/>
      <c r="C2238" s="287"/>
      <c r="D2238" s="288"/>
      <c r="E2238" s="288"/>
      <c r="F2238" s="438"/>
      <c r="G2238" s="438"/>
      <c r="H2238" s="438"/>
      <c r="I2238" s="438"/>
      <c r="J2238" s="438"/>
    </row>
    <row r="2239" spans="1:10" x14ac:dyDescent="0.25">
      <c r="A2239" s="274"/>
      <c r="B2239" s="498"/>
      <c r="C2239" s="287"/>
      <c r="D2239" s="288"/>
      <c r="E2239" s="288"/>
      <c r="F2239" s="438"/>
      <c r="G2239" s="438"/>
      <c r="H2239" s="438"/>
      <c r="I2239" s="438"/>
      <c r="J2239" s="438"/>
    </row>
    <row r="2240" spans="1:10" x14ac:dyDescent="0.25">
      <c r="A2240" s="274"/>
      <c r="B2240" s="498"/>
      <c r="C2240" s="287"/>
      <c r="D2240" s="288"/>
      <c r="E2240" s="288"/>
      <c r="F2240" s="438"/>
      <c r="G2240" s="438"/>
      <c r="H2240" s="438"/>
      <c r="I2240" s="438"/>
      <c r="J2240" s="438"/>
    </row>
    <row r="2241" spans="1:10" x14ac:dyDescent="0.25">
      <c r="A2241" s="274"/>
      <c r="B2241" s="498"/>
      <c r="C2241" s="287"/>
      <c r="D2241" s="288"/>
      <c r="E2241" s="288"/>
      <c r="F2241" s="438"/>
      <c r="G2241" s="438"/>
      <c r="H2241" s="438"/>
      <c r="I2241" s="438"/>
      <c r="J2241" s="438"/>
    </row>
    <row r="2242" spans="1:10" x14ac:dyDescent="0.25">
      <c r="A2242" s="274"/>
      <c r="B2242" s="498"/>
      <c r="C2242" s="287"/>
      <c r="D2242" s="288"/>
      <c r="E2242" s="288"/>
      <c r="F2242" s="438"/>
      <c r="G2242" s="438"/>
      <c r="H2242" s="438"/>
      <c r="I2242" s="438"/>
      <c r="J2242" s="438"/>
    </row>
    <row r="2243" spans="1:10" x14ac:dyDescent="0.25">
      <c r="A2243" s="274"/>
      <c r="B2243" s="498"/>
      <c r="C2243" s="287"/>
      <c r="D2243" s="288"/>
      <c r="E2243" s="288"/>
      <c r="F2243" s="438"/>
      <c r="G2243" s="438"/>
      <c r="H2243" s="438"/>
      <c r="I2243" s="438"/>
      <c r="J2243" s="438"/>
    </row>
    <row r="2244" spans="1:10" x14ac:dyDescent="0.25">
      <c r="A2244" s="274"/>
      <c r="B2244" s="498"/>
      <c r="C2244" s="287"/>
      <c r="D2244" s="288"/>
      <c r="E2244" s="288"/>
      <c r="F2244" s="438"/>
      <c r="G2244" s="438"/>
      <c r="H2244" s="438"/>
      <c r="I2244" s="438"/>
      <c r="J2244" s="438"/>
    </row>
    <row r="2245" spans="1:10" x14ac:dyDescent="0.25">
      <c r="A2245" s="274"/>
      <c r="B2245" s="498"/>
      <c r="C2245" s="287"/>
      <c r="D2245" s="288"/>
      <c r="E2245" s="288"/>
      <c r="F2245" s="438"/>
      <c r="G2245" s="438"/>
      <c r="H2245" s="438"/>
      <c r="I2245" s="438"/>
      <c r="J2245" s="438"/>
    </row>
    <row r="2246" spans="1:10" x14ac:dyDescent="0.25">
      <c r="A2246" s="274"/>
      <c r="B2246" s="498"/>
      <c r="C2246" s="287"/>
      <c r="D2246" s="288"/>
      <c r="E2246" s="288"/>
      <c r="F2246" s="438"/>
      <c r="G2246" s="438"/>
      <c r="H2246" s="438"/>
      <c r="I2246" s="438"/>
      <c r="J2246" s="438"/>
    </row>
    <row r="2247" spans="1:10" x14ac:dyDescent="0.25">
      <c r="A2247" s="274"/>
      <c r="B2247" s="498"/>
      <c r="C2247" s="287"/>
      <c r="D2247" s="288"/>
      <c r="E2247" s="288"/>
      <c r="F2247" s="438"/>
      <c r="G2247" s="438"/>
      <c r="H2247" s="438"/>
      <c r="I2247" s="438"/>
      <c r="J2247" s="438"/>
    </row>
    <row r="2248" spans="1:10" x14ac:dyDescent="0.25">
      <c r="A2248" s="274"/>
      <c r="B2248" s="498"/>
      <c r="C2248" s="287"/>
      <c r="D2248" s="288"/>
      <c r="E2248" s="288"/>
      <c r="F2248" s="438"/>
      <c r="G2248" s="438"/>
      <c r="H2248" s="438"/>
      <c r="I2248" s="438"/>
      <c r="J2248" s="438"/>
    </row>
    <row r="2249" spans="1:10" x14ac:dyDescent="0.25">
      <c r="A2249" s="274"/>
      <c r="B2249" s="498"/>
      <c r="C2249" s="287"/>
      <c r="D2249" s="288"/>
      <c r="E2249" s="288"/>
      <c r="F2249" s="438"/>
      <c r="G2249" s="438"/>
      <c r="H2249" s="438"/>
      <c r="I2249" s="438"/>
      <c r="J2249" s="438"/>
    </row>
    <row r="2250" spans="1:10" x14ac:dyDescent="0.25">
      <c r="A2250" s="274"/>
      <c r="B2250" s="498"/>
      <c r="C2250" s="287"/>
      <c r="D2250" s="288"/>
      <c r="E2250" s="288"/>
      <c r="F2250" s="438"/>
      <c r="G2250" s="438"/>
      <c r="H2250" s="438"/>
      <c r="I2250" s="438"/>
      <c r="J2250" s="438"/>
    </row>
    <row r="2251" spans="1:10" x14ac:dyDescent="0.25">
      <c r="A2251" s="274"/>
      <c r="B2251" s="498"/>
      <c r="C2251" s="287"/>
      <c r="D2251" s="288"/>
      <c r="E2251" s="288"/>
      <c r="F2251" s="438"/>
      <c r="G2251" s="438"/>
      <c r="H2251" s="438"/>
      <c r="I2251" s="438"/>
      <c r="J2251" s="438"/>
    </row>
    <row r="2252" spans="1:10" x14ac:dyDescent="0.25">
      <c r="A2252" s="274"/>
      <c r="B2252" s="498"/>
      <c r="C2252" s="287"/>
      <c r="D2252" s="288"/>
      <c r="E2252" s="288"/>
      <c r="F2252" s="438"/>
      <c r="G2252" s="438"/>
      <c r="H2252" s="438"/>
      <c r="I2252" s="438"/>
      <c r="J2252" s="438"/>
    </row>
    <row r="2253" spans="1:10" x14ac:dyDescent="0.25">
      <c r="A2253" s="274"/>
      <c r="B2253" s="498"/>
      <c r="C2253" s="287"/>
      <c r="D2253" s="288"/>
      <c r="E2253" s="288"/>
      <c r="F2253" s="438"/>
      <c r="G2253" s="438"/>
      <c r="H2253" s="438"/>
      <c r="I2253" s="438"/>
      <c r="J2253" s="438"/>
    </row>
    <row r="2254" spans="1:10" x14ac:dyDescent="0.25">
      <c r="A2254" s="274"/>
      <c r="B2254" s="498"/>
      <c r="C2254" s="287"/>
      <c r="D2254" s="288"/>
      <c r="E2254" s="288"/>
      <c r="F2254" s="438"/>
      <c r="G2254" s="438"/>
      <c r="H2254" s="438"/>
      <c r="I2254" s="438"/>
      <c r="J2254" s="438"/>
    </row>
    <row r="2255" spans="1:10" x14ac:dyDescent="0.25">
      <c r="A2255" s="274"/>
      <c r="B2255" s="498"/>
      <c r="C2255" s="287"/>
      <c r="D2255" s="288"/>
      <c r="E2255" s="288"/>
      <c r="F2255" s="438"/>
      <c r="G2255" s="438"/>
      <c r="H2255" s="438"/>
      <c r="I2255" s="438"/>
      <c r="J2255" s="438"/>
    </row>
    <row r="2256" spans="1:10" x14ac:dyDescent="0.25">
      <c r="A2256" s="274"/>
      <c r="B2256" s="498"/>
      <c r="C2256" s="287"/>
      <c r="D2256" s="288"/>
      <c r="E2256" s="288"/>
      <c r="F2256" s="438"/>
      <c r="G2256" s="438"/>
      <c r="H2256" s="438"/>
      <c r="I2256" s="438"/>
      <c r="J2256" s="438"/>
    </row>
    <row r="2257" spans="1:10" x14ac:dyDescent="0.25">
      <c r="A2257" s="274"/>
      <c r="B2257" s="498"/>
      <c r="C2257" s="287"/>
      <c r="D2257" s="288"/>
      <c r="E2257" s="288"/>
      <c r="F2257" s="438"/>
      <c r="G2257" s="438"/>
      <c r="H2257" s="438"/>
      <c r="I2257" s="438"/>
      <c r="J2257" s="438"/>
    </row>
    <row r="2258" spans="1:10" x14ac:dyDescent="0.25">
      <c r="A2258" s="274"/>
      <c r="B2258" s="498"/>
      <c r="C2258" s="287"/>
      <c r="D2258" s="288"/>
      <c r="E2258" s="288"/>
      <c r="F2258" s="438"/>
      <c r="G2258" s="438"/>
      <c r="H2258" s="438"/>
      <c r="I2258" s="438"/>
      <c r="J2258" s="438"/>
    </row>
    <row r="2259" spans="1:10" x14ac:dyDescent="0.25">
      <c r="A2259" s="274"/>
      <c r="B2259" s="498"/>
      <c r="C2259" s="287"/>
      <c r="D2259" s="288"/>
      <c r="E2259" s="288"/>
      <c r="F2259" s="438"/>
      <c r="G2259" s="438"/>
      <c r="H2259" s="438"/>
      <c r="I2259" s="438"/>
      <c r="J2259" s="438"/>
    </row>
    <row r="2260" spans="1:10" x14ac:dyDescent="0.25">
      <c r="A2260" s="274"/>
      <c r="B2260" s="498"/>
      <c r="C2260" s="287"/>
      <c r="D2260" s="288"/>
      <c r="E2260" s="288"/>
      <c r="F2260" s="438"/>
      <c r="G2260" s="438"/>
      <c r="H2260" s="438"/>
      <c r="I2260" s="438"/>
      <c r="J2260" s="438"/>
    </row>
    <row r="2261" spans="1:10" x14ac:dyDescent="0.25">
      <c r="A2261" s="274"/>
      <c r="B2261" s="498"/>
      <c r="C2261" s="287"/>
      <c r="D2261" s="288"/>
      <c r="E2261" s="288"/>
      <c r="F2261" s="438"/>
      <c r="G2261" s="438"/>
      <c r="H2261" s="438"/>
      <c r="I2261" s="438"/>
      <c r="J2261" s="438"/>
    </row>
    <row r="2262" spans="1:10" x14ac:dyDescent="0.25">
      <c r="A2262" s="274"/>
      <c r="B2262" s="498"/>
      <c r="C2262" s="287"/>
      <c r="D2262" s="288"/>
      <c r="E2262" s="288"/>
      <c r="F2262" s="438"/>
      <c r="G2262" s="438"/>
      <c r="H2262" s="438"/>
      <c r="I2262" s="438"/>
      <c r="J2262" s="438"/>
    </row>
    <row r="2263" spans="1:10" x14ac:dyDescent="0.25">
      <c r="A2263" s="274"/>
      <c r="B2263" s="498"/>
      <c r="C2263" s="287"/>
      <c r="D2263" s="288"/>
      <c r="E2263" s="288"/>
      <c r="F2263" s="438"/>
      <c r="G2263" s="438"/>
      <c r="H2263" s="438"/>
      <c r="I2263" s="438"/>
      <c r="J2263" s="438"/>
    </row>
    <row r="2264" spans="1:10" x14ac:dyDescent="0.25">
      <c r="A2264" s="274"/>
      <c r="B2264" s="498"/>
      <c r="C2264" s="287"/>
      <c r="D2264" s="288"/>
      <c r="E2264" s="288"/>
      <c r="F2264" s="438"/>
      <c r="G2264" s="438"/>
      <c r="H2264" s="438"/>
      <c r="I2264" s="438"/>
      <c r="J2264" s="438"/>
    </row>
    <row r="2265" spans="1:10" x14ac:dyDescent="0.25">
      <c r="A2265" s="274"/>
      <c r="B2265" s="498"/>
      <c r="C2265" s="287"/>
      <c r="D2265" s="288"/>
      <c r="E2265" s="288"/>
      <c r="F2265" s="438"/>
      <c r="G2265" s="438"/>
      <c r="H2265" s="438"/>
      <c r="I2265" s="438"/>
      <c r="J2265" s="438"/>
    </row>
    <row r="2266" spans="1:10" x14ac:dyDescent="0.25">
      <c r="A2266" s="274"/>
      <c r="B2266" s="498"/>
      <c r="C2266" s="287"/>
      <c r="D2266" s="288"/>
      <c r="E2266" s="288"/>
      <c r="F2266" s="438"/>
      <c r="G2266" s="438"/>
      <c r="H2266" s="438"/>
      <c r="I2266" s="438"/>
      <c r="J2266" s="438"/>
    </row>
    <row r="2267" spans="1:10" x14ac:dyDescent="0.25">
      <c r="A2267" s="274"/>
      <c r="B2267" s="498"/>
      <c r="C2267" s="287"/>
      <c r="D2267" s="288"/>
      <c r="E2267" s="288"/>
      <c r="F2267" s="438"/>
      <c r="G2267" s="438"/>
      <c r="H2267" s="438"/>
      <c r="I2267" s="438"/>
      <c r="J2267" s="438"/>
    </row>
    <row r="2268" spans="1:10" x14ac:dyDescent="0.25">
      <c r="A2268" s="274"/>
      <c r="B2268" s="498"/>
      <c r="C2268" s="287"/>
      <c r="D2268" s="288"/>
      <c r="E2268" s="288"/>
      <c r="F2268" s="438"/>
      <c r="G2268" s="438"/>
      <c r="H2268" s="438"/>
      <c r="I2268" s="438"/>
      <c r="J2268" s="438"/>
    </row>
    <row r="2269" spans="1:10" x14ac:dyDescent="0.25">
      <c r="A2269" s="274"/>
      <c r="B2269" s="498"/>
      <c r="C2269" s="287"/>
      <c r="D2269" s="288"/>
      <c r="E2269" s="288"/>
      <c r="F2269" s="438"/>
      <c r="G2269" s="438"/>
      <c r="H2269" s="438"/>
      <c r="I2269" s="438"/>
      <c r="J2269" s="438"/>
    </row>
    <row r="2270" spans="1:10" x14ac:dyDescent="0.25">
      <c r="A2270" s="274"/>
      <c r="B2270" s="498"/>
      <c r="C2270" s="287"/>
      <c r="D2270" s="288"/>
      <c r="E2270" s="288"/>
      <c r="F2270" s="438"/>
      <c r="G2270" s="438"/>
      <c r="H2270" s="438"/>
      <c r="I2270" s="438"/>
      <c r="J2270" s="438"/>
    </row>
    <row r="2271" spans="1:10" x14ac:dyDescent="0.25">
      <c r="A2271" s="274"/>
      <c r="B2271" s="498"/>
      <c r="C2271" s="287"/>
      <c r="D2271" s="288"/>
      <c r="E2271" s="288"/>
      <c r="F2271" s="438"/>
      <c r="G2271" s="438"/>
      <c r="H2271" s="438"/>
      <c r="I2271" s="438"/>
      <c r="J2271" s="438"/>
    </row>
    <row r="2272" spans="1:10" x14ac:dyDescent="0.25">
      <c r="A2272" s="274"/>
      <c r="B2272" s="498"/>
      <c r="C2272" s="287"/>
      <c r="D2272" s="288"/>
      <c r="E2272" s="288"/>
      <c r="F2272" s="438"/>
      <c r="G2272" s="438"/>
      <c r="H2272" s="438"/>
      <c r="I2272" s="438"/>
      <c r="J2272" s="438"/>
    </row>
    <row r="2273" spans="1:10" x14ac:dyDescent="0.25">
      <c r="A2273" s="274"/>
      <c r="B2273" s="498"/>
      <c r="C2273" s="287"/>
      <c r="D2273" s="288"/>
      <c r="E2273" s="288"/>
      <c r="F2273" s="438"/>
      <c r="G2273" s="438"/>
      <c r="H2273" s="438"/>
      <c r="I2273" s="438"/>
      <c r="J2273" s="438"/>
    </row>
    <row r="2274" spans="1:10" x14ac:dyDescent="0.25">
      <c r="A2274" s="274"/>
      <c r="B2274" s="498"/>
      <c r="C2274" s="287"/>
      <c r="D2274" s="288"/>
      <c r="E2274" s="288"/>
      <c r="F2274" s="438"/>
      <c r="G2274" s="438"/>
      <c r="H2274" s="438"/>
      <c r="I2274" s="438"/>
      <c r="J2274" s="438"/>
    </row>
    <row r="2275" spans="1:10" x14ac:dyDescent="0.25">
      <c r="A2275" s="274"/>
      <c r="B2275" s="498"/>
      <c r="C2275" s="287"/>
      <c r="D2275" s="288"/>
      <c r="E2275" s="288"/>
      <c r="F2275" s="438"/>
      <c r="G2275" s="438"/>
      <c r="H2275" s="438"/>
      <c r="I2275" s="438"/>
      <c r="J2275" s="438"/>
    </row>
    <row r="2276" spans="1:10" x14ac:dyDescent="0.25">
      <c r="A2276" s="274"/>
      <c r="B2276" s="498"/>
      <c r="C2276" s="287"/>
      <c r="D2276" s="288"/>
      <c r="E2276" s="288"/>
      <c r="F2276" s="438"/>
      <c r="G2276" s="438"/>
      <c r="H2276" s="438"/>
      <c r="I2276" s="438"/>
      <c r="J2276" s="438"/>
    </row>
    <row r="2277" spans="1:10" x14ac:dyDescent="0.25">
      <c r="A2277" s="274"/>
      <c r="B2277" s="498"/>
      <c r="C2277" s="287"/>
      <c r="D2277" s="288"/>
      <c r="E2277" s="288"/>
      <c r="F2277" s="438"/>
      <c r="G2277" s="438"/>
      <c r="H2277" s="438"/>
      <c r="I2277" s="438"/>
      <c r="J2277" s="438"/>
    </row>
    <row r="2278" spans="1:10" x14ac:dyDescent="0.25">
      <c r="A2278" s="274"/>
      <c r="B2278" s="498"/>
      <c r="C2278" s="287"/>
      <c r="D2278" s="288"/>
      <c r="E2278" s="288"/>
      <c r="F2278" s="438"/>
      <c r="G2278" s="438"/>
      <c r="H2278" s="438"/>
      <c r="I2278" s="438"/>
      <c r="J2278" s="438"/>
    </row>
    <row r="2279" spans="1:10" x14ac:dyDescent="0.25">
      <c r="A2279" s="274"/>
      <c r="B2279" s="498"/>
      <c r="C2279" s="287"/>
      <c r="D2279" s="288"/>
      <c r="E2279" s="288"/>
      <c r="F2279" s="438"/>
      <c r="G2279" s="438"/>
      <c r="H2279" s="438"/>
      <c r="I2279" s="438"/>
      <c r="J2279" s="438"/>
    </row>
    <row r="2280" spans="1:10" x14ac:dyDescent="0.25">
      <c r="A2280" s="274"/>
      <c r="B2280" s="498"/>
      <c r="C2280" s="287"/>
      <c r="D2280" s="288"/>
      <c r="E2280" s="288"/>
      <c r="F2280" s="438"/>
      <c r="G2280" s="438"/>
      <c r="H2280" s="438"/>
      <c r="I2280" s="438"/>
      <c r="J2280" s="438"/>
    </row>
    <row r="2281" spans="1:10" x14ac:dyDescent="0.25">
      <c r="A2281" s="274"/>
      <c r="B2281" s="498"/>
      <c r="C2281" s="287"/>
      <c r="D2281" s="288"/>
      <c r="E2281" s="288"/>
      <c r="F2281" s="438"/>
      <c r="G2281" s="438"/>
      <c r="H2281" s="438"/>
      <c r="I2281" s="438"/>
      <c r="J2281" s="438"/>
    </row>
    <row r="2282" spans="1:10" x14ac:dyDescent="0.25">
      <c r="A2282" s="274"/>
      <c r="B2282" s="498"/>
      <c r="C2282" s="287"/>
      <c r="D2282" s="288"/>
      <c r="E2282" s="288"/>
      <c r="F2282" s="438"/>
      <c r="G2282" s="438"/>
      <c r="H2282" s="438"/>
      <c r="I2282" s="438"/>
      <c r="J2282" s="438"/>
    </row>
    <row r="2283" spans="1:10" x14ac:dyDescent="0.25">
      <c r="A2283" s="274"/>
      <c r="B2283" s="498"/>
      <c r="C2283" s="287"/>
      <c r="D2283" s="288"/>
      <c r="E2283" s="288"/>
      <c r="F2283" s="438"/>
      <c r="G2283" s="438"/>
      <c r="H2283" s="438"/>
      <c r="I2283" s="438"/>
      <c r="J2283" s="438"/>
    </row>
    <row r="2284" spans="1:10" x14ac:dyDescent="0.25">
      <c r="A2284" s="274"/>
      <c r="B2284" s="498"/>
      <c r="C2284" s="287"/>
      <c r="D2284" s="288"/>
      <c r="E2284" s="288"/>
      <c r="F2284" s="438"/>
      <c r="G2284" s="438"/>
      <c r="H2284" s="438"/>
      <c r="I2284" s="438"/>
      <c r="J2284" s="438"/>
    </row>
    <row r="2285" spans="1:10" x14ac:dyDescent="0.25">
      <c r="A2285" s="274"/>
      <c r="B2285" s="498"/>
      <c r="C2285" s="287"/>
      <c r="D2285" s="288"/>
      <c r="E2285" s="288"/>
      <c r="F2285" s="438"/>
      <c r="G2285" s="438"/>
      <c r="H2285" s="438"/>
      <c r="I2285" s="438"/>
      <c r="J2285" s="438"/>
    </row>
    <row r="2286" spans="1:10" x14ac:dyDescent="0.25">
      <c r="A2286" s="274"/>
      <c r="B2286" s="498"/>
      <c r="C2286" s="287"/>
      <c r="D2286" s="288"/>
      <c r="E2286" s="288"/>
      <c r="F2286" s="438"/>
      <c r="G2286" s="438"/>
      <c r="H2286" s="438"/>
      <c r="I2286" s="438"/>
      <c r="J2286" s="438"/>
    </row>
    <row r="2287" spans="1:10" x14ac:dyDescent="0.25">
      <c r="A2287" s="274"/>
      <c r="B2287" s="498"/>
      <c r="C2287" s="287"/>
      <c r="D2287" s="288"/>
      <c r="E2287" s="288"/>
      <c r="F2287" s="438"/>
      <c r="G2287" s="438"/>
      <c r="H2287" s="438"/>
      <c r="I2287" s="438"/>
      <c r="J2287" s="438"/>
    </row>
    <row r="2288" spans="1:10" x14ac:dyDescent="0.25">
      <c r="A2288" s="274"/>
      <c r="B2288" s="498"/>
      <c r="C2288" s="287"/>
      <c r="D2288" s="288"/>
      <c r="E2288" s="288"/>
      <c r="F2288" s="438"/>
      <c r="G2288" s="438"/>
      <c r="H2288" s="438"/>
      <c r="I2288" s="438"/>
      <c r="J2288" s="438"/>
    </row>
    <row r="2289" spans="1:10" x14ac:dyDescent="0.25">
      <c r="A2289" s="274"/>
      <c r="B2289" s="498"/>
      <c r="C2289" s="287"/>
      <c r="D2289" s="288"/>
      <c r="E2289" s="288"/>
      <c r="F2289" s="438"/>
      <c r="G2289" s="438"/>
      <c r="H2289" s="438"/>
      <c r="I2289" s="438"/>
      <c r="J2289" s="438"/>
    </row>
    <row r="2290" spans="1:10" x14ac:dyDescent="0.25">
      <c r="A2290" s="274"/>
      <c r="B2290" s="498"/>
      <c r="C2290" s="287"/>
      <c r="D2290" s="288"/>
      <c r="E2290" s="288"/>
      <c r="F2290" s="438"/>
      <c r="G2290" s="438"/>
      <c r="H2290" s="438"/>
      <c r="I2290" s="438"/>
      <c r="J2290" s="438"/>
    </row>
    <row r="2291" spans="1:10" x14ac:dyDescent="0.25">
      <c r="A2291" s="274"/>
      <c r="B2291" s="498"/>
      <c r="C2291" s="287"/>
      <c r="D2291" s="288"/>
      <c r="E2291" s="288"/>
      <c r="F2291" s="438"/>
      <c r="G2291" s="438"/>
      <c r="H2291" s="438"/>
      <c r="I2291" s="438"/>
      <c r="J2291" s="438"/>
    </row>
    <row r="2292" spans="1:10" x14ac:dyDescent="0.25">
      <c r="A2292" s="274"/>
      <c r="B2292" s="498"/>
      <c r="C2292" s="287"/>
      <c r="D2292" s="288"/>
      <c r="E2292" s="288"/>
      <c r="F2292" s="438"/>
      <c r="G2292" s="438"/>
      <c r="H2292" s="438"/>
      <c r="I2292" s="438"/>
      <c r="J2292" s="438"/>
    </row>
    <row r="2293" spans="1:10" x14ac:dyDescent="0.25">
      <c r="A2293" s="274"/>
      <c r="B2293" s="498"/>
      <c r="C2293" s="287"/>
      <c r="D2293" s="288"/>
      <c r="E2293" s="288"/>
      <c r="F2293" s="438"/>
      <c r="G2293" s="438"/>
      <c r="H2293" s="438"/>
      <c r="I2293" s="438"/>
      <c r="J2293" s="438"/>
    </row>
    <row r="2294" spans="1:10" x14ac:dyDescent="0.25">
      <c r="A2294" s="274"/>
      <c r="B2294" s="498"/>
      <c r="C2294" s="287"/>
      <c r="D2294" s="288"/>
      <c r="E2294" s="288"/>
      <c r="F2294" s="438"/>
      <c r="G2294" s="438"/>
      <c r="H2294" s="438"/>
      <c r="I2294" s="438"/>
      <c r="J2294" s="438"/>
    </row>
    <row r="2295" spans="1:10" x14ac:dyDescent="0.25">
      <c r="A2295" s="274"/>
      <c r="B2295" s="498"/>
      <c r="C2295" s="287"/>
      <c r="D2295" s="288"/>
      <c r="E2295" s="288"/>
      <c r="F2295" s="438"/>
      <c r="G2295" s="438"/>
      <c r="H2295" s="438"/>
      <c r="I2295" s="438"/>
      <c r="J2295" s="438"/>
    </row>
    <row r="2296" spans="1:10" x14ac:dyDescent="0.25">
      <c r="A2296" s="274"/>
      <c r="B2296" s="498"/>
      <c r="C2296" s="287"/>
      <c r="D2296" s="288"/>
      <c r="E2296" s="288"/>
      <c r="F2296" s="438"/>
      <c r="G2296" s="438"/>
      <c r="H2296" s="438"/>
      <c r="I2296" s="438"/>
      <c r="J2296" s="438"/>
    </row>
    <row r="2297" spans="1:10" x14ac:dyDescent="0.25">
      <c r="A2297" s="274"/>
      <c r="B2297" s="498"/>
      <c r="C2297" s="287"/>
      <c r="D2297" s="288"/>
      <c r="E2297" s="288"/>
      <c r="F2297" s="438"/>
      <c r="G2297" s="438"/>
      <c r="H2297" s="438"/>
      <c r="I2297" s="438"/>
      <c r="J2297" s="438"/>
    </row>
    <row r="2298" spans="1:10" x14ac:dyDescent="0.25">
      <c r="A2298" s="274"/>
      <c r="B2298" s="498"/>
      <c r="C2298" s="287"/>
      <c r="D2298" s="288"/>
      <c r="E2298" s="288"/>
      <c r="F2298" s="438"/>
      <c r="G2298" s="438"/>
      <c r="H2298" s="438"/>
      <c r="I2298" s="438"/>
      <c r="J2298" s="438"/>
    </row>
    <row r="2299" spans="1:10" x14ac:dyDescent="0.25">
      <c r="A2299" s="274"/>
      <c r="B2299" s="498"/>
      <c r="C2299" s="287"/>
      <c r="D2299" s="288"/>
      <c r="E2299" s="288"/>
      <c r="F2299" s="438"/>
      <c r="G2299" s="438"/>
      <c r="H2299" s="438"/>
      <c r="I2299" s="438"/>
      <c r="J2299" s="438"/>
    </row>
    <row r="2300" spans="1:10" x14ac:dyDescent="0.25">
      <c r="A2300" s="274"/>
      <c r="B2300" s="498"/>
      <c r="C2300" s="287"/>
      <c r="D2300" s="288"/>
      <c r="E2300" s="288"/>
      <c r="F2300" s="438"/>
      <c r="G2300" s="438"/>
      <c r="H2300" s="438"/>
      <c r="I2300" s="438"/>
      <c r="J2300" s="438"/>
    </row>
    <row r="2301" spans="1:10" x14ac:dyDescent="0.25">
      <c r="A2301" s="274"/>
      <c r="B2301" s="498"/>
      <c r="C2301" s="287"/>
      <c r="D2301" s="288"/>
      <c r="E2301" s="288"/>
      <c r="F2301" s="438"/>
      <c r="G2301" s="438"/>
      <c r="H2301" s="438"/>
      <c r="I2301" s="438"/>
      <c r="J2301" s="438"/>
    </row>
    <row r="2302" spans="1:10" x14ac:dyDescent="0.25">
      <c r="A2302" s="274"/>
      <c r="B2302" s="498"/>
      <c r="C2302" s="287"/>
      <c r="D2302" s="288"/>
      <c r="E2302" s="288"/>
      <c r="F2302" s="438"/>
      <c r="G2302" s="438"/>
      <c r="H2302" s="438"/>
      <c r="I2302" s="438"/>
      <c r="J2302" s="438"/>
    </row>
    <row r="2303" spans="1:10" x14ac:dyDescent="0.25">
      <c r="A2303" s="274"/>
      <c r="B2303" s="498"/>
      <c r="C2303" s="287"/>
      <c r="D2303" s="288"/>
      <c r="E2303" s="288"/>
      <c r="F2303" s="438"/>
      <c r="G2303" s="438"/>
      <c r="H2303" s="438"/>
      <c r="I2303" s="438"/>
      <c r="J2303" s="438"/>
    </row>
    <row r="2304" spans="1:10" x14ac:dyDescent="0.25">
      <c r="A2304" s="274"/>
      <c r="B2304" s="498"/>
      <c r="C2304" s="287"/>
      <c r="D2304" s="288"/>
      <c r="E2304" s="288"/>
      <c r="F2304" s="438"/>
      <c r="G2304" s="438"/>
      <c r="H2304" s="438"/>
      <c r="I2304" s="438"/>
      <c r="J2304" s="438"/>
    </row>
    <row r="2305" spans="1:10" x14ac:dyDescent="0.25">
      <c r="A2305" s="274"/>
      <c r="B2305" s="498"/>
      <c r="C2305" s="287"/>
      <c r="D2305" s="288"/>
      <c r="E2305" s="288"/>
      <c r="F2305" s="438"/>
      <c r="G2305" s="438"/>
      <c r="H2305" s="438"/>
      <c r="I2305" s="438"/>
      <c r="J2305" s="438"/>
    </row>
    <row r="2306" spans="1:10" x14ac:dyDescent="0.25">
      <c r="A2306" s="274"/>
      <c r="B2306" s="498"/>
      <c r="C2306" s="287"/>
      <c r="D2306" s="288"/>
      <c r="E2306" s="288"/>
      <c r="F2306" s="438"/>
      <c r="G2306" s="438"/>
      <c r="H2306" s="438"/>
      <c r="I2306" s="438"/>
      <c r="J2306" s="438"/>
    </row>
    <row r="2307" spans="1:10" x14ac:dyDescent="0.25">
      <c r="A2307" s="274"/>
      <c r="B2307" s="498"/>
      <c r="C2307" s="287"/>
      <c r="D2307" s="288"/>
      <c r="E2307" s="288"/>
      <c r="F2307" s="438"/>
      <c r="G2307" s="438"/>
      <c r="H2307" s="438"/>
      <c r="I2307" s="438"/>
      <c r="J2307" s="438"/>
    </row>
    <row r="2308" spans="1:10" x14ac:dyDescent="0.25">
      <c r="A2308" s="274"/>
      <c r="B2308" s="498"/>
      <c r="C2308" s="287"/>
      <c r="D2308" s="288"/>
      <c r="E2308" s="288"/>
      <c r="F2308" s="438"/>
      <c r="G2308" s="438"/>
      <c r="H2308" s="438"/>
      <c r="I2308" s="438"/>
      <c r="J2308" s="438"/>
    </row>
    <row r="2309" spans="1:10" x14ac:dyDescent="0.25">
      <c r="A2309" s="274"/>
      <c r="B2309" s="498"/>
      <c r="C2309" s="287"/>
      <c r="D2309" s="288"/>
      <c r="E2309" s="288"/>
      <c r="F2309" s="438"/>
      <c r="G2309" s="438"/>
      <c r="H2309" s="438"/>
      <c r="I2309" s="438"/>
      <c r="J2309" s="438"/>
    </row>
    <row r="2310" spans="1:10" x14ac:dyDescent="0.25">
      <c r="A2310" s="274"/>
      <c r="B2310" s="498"/>
      <c r="C2310" s="287"/>
      <c r="D2310" s="288"/>
      <c r="E2310" s="288"/>
      <c r="F2310" s="438"/>
      <c r="G2310" s="438"/>
      <c r="H2310" s="438"/>
      <c r="I2310" s="438"/>
      <c r="J2310" s="438"/>
    </row>
    <row r="2311" spans="1:10" x14ac:dyDescent="0.25">
      <c r="A2311" s="274"/>
      <c r="B2311" s="498"/>
      <c r="C2311" s="287"/>
      <c r="D2311" s="288"/>
      <c r="E2311" s="288"/>
      <c r="F2311" s="438"/>
      <c r="G2311" s="438"/>
      <c r="H2311" s="438"/>
      <c r="I2311" s="438"/>
      <c r="J2311" s="438"/>
    </row>
    <row r="2312" spans="1:10" x14ac:dyDescent="0.25">
      <c r="A2312" s="274"/>
      <c r="B2312" s="498"/>
      <c r="C2312" s="287"/>
      <c r="D2312" s="288"/>
      <c r="E2312" s="288"/>
      <c r="F2312" s="438"/>
      <c r="G2312" s="438"/>
      <c r="H2312" s="438"/>
      <c r="I2312" s="438"/>
      <c r="J2312" s="438"/>
    </row>
    <row r="2313" spans="1:10" x14ac:dyDescent="0.25">
      <c r="A2313" s="274"/>
      <c r="B2313" s="498"/>
      <c r="C2313" s="287"/>
      <c r="D2313" s="288"/>
      <c r="E2313" s="288"/>
      <c r="F2313" s="438"/>
      <c r="G2313" s="438"/>
      <c r="H2313" s="438"/>
      <c r="I2313" s="438"/>
      <c r="J2313" s="438"/>
    </row>
    <row r="2314" spans="1:10" x14ac:dyDescent="0.25">
      <c r="A2314" s="274"/>
      <c r="B2314" s="498"/>
      <c r="C2314" s="287"/>
      <c r="D2314" s="288"/>
      <c r="E2314" s="288"/>
      <c r="F2314" s="438"/>
      <c r="G2314" s="438"/>
      <c r="H2314" s="438"/>
      <c r="I2314" s="438"/>
      <c r="J2314" s="438"/>
    </row>
    <row r="2315" spans="1:10" x14ac:dyDescent="0.25">
      <c r="A2315" s="274"/>
      <c r="B2315" s="498"/>
      <c r="C2315" s="287"/>
      <c r="D2315" s="288"/>
      <c r="E2315" s="288"/>
      <c r="F2315" s="438"/>
      <c r="G2315" s="438"/>
      <c r="H2315" s="438"/>
      <c r="I2315" s="438"/>
      <c r="J2315" s="438"/>
    </row>
    <row r="2316" spans="1:10" x14ac:dyDescent="0.25">
      <c r="A2316" s="274"/>
      <c r="B2316" s="498"/>
      <c r="C2316" s="287"/>
      <c r="D2316" s="288"/>
      <c r="E2316" s="288"/>
      <c r="F2316" s="438"/>
      <c r="G2316" s="438"/>
      <c r="H2316" s="438"/>
      <c r="I2316" s="438"/>
      <c r="J2316" s="438"/>
    </row>
    <row r="2317" spans="1:10" x14ac:dyDescent="0.25">
      <c r="A2317" s="274"/>
      <c r="B2317" s="498"/>
      <c r="C2317" s="287"/>
      <c r="D2317" s="288"/>
      <c r="E2317" s="288"/>
      <c r="F2317" s="438"/>
      <c r="G2317" s="438"/>
      <c r="H2317" s="438"/>
      <c r="I2317" s="438"/>
      <c r="J2317" s="438"/>
    </row>
    <row r="2318" spans="1:10" x14ac:dyDescent="0.25">
      <c r="A2318" s="274"/>
      <c r="B2318" s="498"/>
      <c r="C2318" s="287"/>
      <c r="D2318" s="288"/>
      <c r="E2318" s="288"/>
      <c r="F2318" s="438"/>
      <c r="G2318" s="438"/>
      <c r="H2318" s="438"/>
      <c r="I2318" s="438"/>
      <c r="J2318" s="438"/>
    </row>
    <row r="2319" spans="1:10" x14ac:dyDescent="0.25">
      <c r="A2319" s="274"/>
      <c r="B2319" s="498"/>
      <c r="C2319" s="287"/>
      <c r="D2319" s="288"/>
      <c r="E2319" s="288"/>
      <c r="F2319" s="438"/>
      <c r="G2319" s="438"/>
      <c r="H2319" s="438"/>
      <c r="I2319" s="438"/>
      <c r="J2319" s="438"/>
    </row>
    <row r="2320" spans="1:10" x14ac:dyDescent="0.25">
      <c r="A2320" s="274"/>
      <c r="B2320" s="498"/>
      <c r="C2320" s="287"/>
      <c r="D2320" s="288"/>
      <c r="E2320" s="288"/>
      <c r="F2320" s="438"/>
      <c r="G2320" s="438"/>
      <c r="H2320" s="438"/>
      <c r="I2320" s="438"/>
      <c r="J2320" s="438"/>
    </row>
    <row r="2321" spans="1:10" x14ac:dyDescent="0.25">
      <c r="A2321" s="274"/>
      <c r="B2321" s="498"/>
      <c r="C2321" s="287"/>
      <c r="D2321" s="288"/>
      <c r="E2321" s="288"/>
      <c r="F2321" s="438"/>
      <c r="G2321" s="438"/>
      <c r="H2321" s="438"/>
      <c r="I2321" s="438"/>
      <c r="J2321" s="438"/>
    </row>
    <row r="2322" spans="1:10" x14ac:dyDescent="0.25">
      <c r="A2322" s="274"/>
      <c r="B2322" s="498"/>
      <c r="C2322" s="287"/>
      <c r="D2322" s="288"/>
      <c r="E2322" s="288"/>
      <c r="F2322" s="438"/>
      <c r="G2322" s="438"/>
      <c r="H2322" s="438"/>
      <c r="I2322" s="438"/>
      <c r="J2322" s="438"/>
    </row>
    <row r="2323" spans="1:10" x14ac:dyDescent="0.25">
      <c r="A2323" s="274"/>
      <c r="B2323" s="498"/>
      <c r="C2323" s="287"/>
      <c r="D2323" s="288"/>
      <c r="E2323" s="288"/>
      <c r="F2323" s="438"/>
      <c r="G2323" s="438"/>
      <c r="H2323" s="438"/>
      <c r="I2323" s="438"/>
      <c r="J2323" s="438"/>
    </row>
    <row r="2324" spans="1:10" x14ac:dyDescent="0.25">
      <c r="A2324" s="274"/>
      <c r="B2324" s="498"/>
      <c r="C2324" s="287"/>
      <c r="D2324" s="288"/>
      <c r="E2324" s="288"/>
      <c r="F2324" s="438"/>
      <c r="G2324" s="438"/>
      <c r="H2324" s="438"/>
      <c r="I2324" s="438"/>
      <c r="J2324" s="438"/>
    </row>
    <row r="2325" spans="1:10" x14ac:dyDescent="0.25">
      <c r="A2325" s="274"/>
      <c r="B2325" s="498"/>
      <c r="C2325" s="287"/>
      <c r="D2325" s="288"/>
      <c r="E2325" s="288"/>
      <c r="F2325" s="438"/>
      <c r="G2325" s="438"/>
      <c r="H2325" s="438"/>
      <c r="I2325" s="438"/>
      <c r="J2325" s="438"/>
    </row>
    <row r="2326" spans="1:10" x14ac:dyDescent="0.25">
      <c r="A2326" s="274"/>
      <c r="B2326" s="498"/>
      <c r="C2326" s="287"/>
      <c r="D2326" s="288"/>
      <c r="E2326" s="288"/>
      <c r="F2326" s="438"/>
      <c r="G2326" s="438"/>
      <c r="H2326" s="438"/>
      <c r="I2326" s="438"/>
      <c r="J2326" s="438"/>
    </row>
    <row r="2327" spans="1:10" x14ac:dyDescent="0.25">
      <c r="A2327" s="274"/>
      <c r="B2327" s="498"/>
      <c r="C2327" s="287"/>
      <c r="D2327" s="288"/>
      <c r="E2327" s="288"/>
      <c r="F2327" s="438"/>
      <c r="G2327" s="438"/>
      <c r="H2327" s="438"/>
      <c r="I2327" s="438"/>
      <c r="J2327" s="438"/>
    </row>
    <row r="2328" spans="1:10" x14ac:dyDescent="0.25">
      <c r="A2328" s="274"/>
      <c r="B2328" s="498"/>
      <c r="C2328" s="287"/>
      <c r="D2328" s="288"/>
      <c r="E2328" s="288"/>
      <c r="F2328" s="438"/>
      <c r="G2328" s="438"/>
      <c r="H2328" s="438"/>
      <c r="I2328" s="438"/>
      <c r="J2328" s="438"/>
    </row>
    <row r="2329" spans="1:10" x14ac:dyDescent="0.25">
      <c r="A2329" s="274"/>
      <c r="B2329" s="498"/>
      <c r="C2329" s="287"/>
      <c r="D2329" s="288"/>
      <c r="E2329" s="288"/>
      <c r="F2329" s="438"/>
      <c r="G2329" s="438"/>
      <c r="H2329" s="438"/>
      <c r="I2329" s="438"/>
      <c r="J2329" s="438"/>
    </row>
    <row r="2330" spans="1:10" x14ac:dyDescent="0.25">
      <c r="A2330" s="274"/>
      <c r="B2330" s="498"/>
      <c r="C2330" s="287"/>
      <c r="D2330" s="288"/>
      <c r="E2330" s="288"/>
      <c r="F2330" s="438"/>
      <c r="G2330" s="438"/>
      <c r="H2330" s="438"/>
      <c r="I2330" s="438"/>
      <c r="J2330" s="438"/>
    </row>
    <row r="2331" spans="1:10" x14ac:dyDescent="0.25">
      <c r="A2331" s="274"/>
      <c r="B2331" s="498"/>
      <c r="C2331" s="287"/>
      <c r="D2331" s="288"/>
      <c r="E2331" s="288"/>
      <c r="F2331" s="438"/>
      <c r="G2331" s="438"/>
      <c r="H2331" s="438"/>
      <c r="I2331" s="438"/>
      <c r="J2331" s="438"/>
    </row>
    <row r="2332" spans="1:10" x14ac:dyDescent="0.25">
      <c r="A2332" s="274"/>
      <c r="B2332" s="498"/>
      <c r="C2332" s="287"/>
      <c r="D2332" s="288"/>
      <c r="E2332" s="288"/>
      <c r="F2332" s="438"/>
      <c r="G2332" s="438"/>
      <c r="H2332" s="438"/>
      <c r="I2332" s="438"/>
      <c r="J2332" s="438"/>
    </row>
    <row r="2333" spans="1:10" x14ac:dyDescent="0.25">
      <c r="A2333" s="274"/>
      <c r="B2333" s="498"/>
      <c r="C2333" s="287"/>
      <c r="D2333" s="288"/>
      <c r="E2333" s="288"/>
      <c r="F2333" s="438"/>
      <c r="G2333" s="438"/>
      <c r="H2333" s="438"/>
      <c r="I2333" s="438"/>
      <c r="J2333" s="438"/>
    </row>
    <row r="2334" spans="1:10" x14ac:dyDescent="0.25">
      <c r="A2334" s="274"/>
      <c r="B2334" s="498"/>
      <c r="C2334" s="287"/>
      <c r="D2334" s="288"/>
      <c r="E2334" s="288"/>
      <c r="F2334" s="438"/>
      <c r="G2334" s="438"/>
      <c r="H2334" s="438"/>
      <c r="I2334" s="438"/>
      <c r="J2334" s="438"/>
    </row>
    <row r="2335" spans="1:10" x14ac:dyDescent="0.25">
      <c r="A2335" s="274"/>
      <c r="B2335" s="498"/>
      <c r="C2335" s="287"/>
      <c r="D2335" s="288"/>
      <c r="E2335" s="288"/>
      <c r="F2335" s="438"/>
      <c r="G2335" s="438"/>
      <c r="H2335" s="438"/>
      <c r="I2335" s="438"/>
      <c r="J2335" s="438"/>
    </row>
    <row r="2336" spans="1:10" x14ac:dyDescent="0.25">
      <c r="A2336" s="274"/>
      <c r="B2336" s="498"/>
      <c r="C2336" s="287"/>
      <c r="D2336" s="288"/>
      <c r="E2336" s="288"/>
      <c r="F2336" s="438"/>
      <c r="G2336" s="438"/>
      <c r="H2336" s="438"/>
      <c r="I2336" s="438"/>
      <c r="J2336" s="438"/>
    </row>
    <row r="2337" spans="1:10" x14ac:dyDescent="0.25">
      <c r="A2337" s="274"/>
      <c r="B2337" s="498"/>
      <c r="C2337" s="287"/>
      <c r="D2337" s="288"/>
      <c r="E2337" s="288"/>
      <c r="F2337" s="438"/>
      <c r="G2337" s="438"/>
      <c r="H2337" s="438"/>
      <c r="I2337" s="438"/>
      <c r="J2337" s="438"/>
    </row>
    <row r="2338" spans="1:10" x14ac:dyDescent="0.25">
      <c r="A2338" s="274"/>
      <c r="B2338" s="498"/>
      <c r="C2338" s="287"/>
      <c r="D2338" s="288"/>
      <c r="E2338" s="288"/>
      <c r="F2338" s="438"/>
      <c r="G2338" s="438"/>
      <c r="H2338" s="438"/>
      <c r="I2338" s="438"/>
      <c r="J2338" s="438"/>
    </row>
    <row r="2339" spans="1:10" x14ac:dyDescent="0.25">
      <c r="A2339" s="274"/>
      <c r="B2339" s="498"/>
      <c r="C2339" s="287"/>
      <c r="D2339" s="288"/>
      <c r="E2339" s="288"/>
      <c r="F2339" s="438"/>
      <c r="G2339" s="438"/>
      <c r="H2339" s="438"/>
      <c r="I2339" s="438"/>
      <c r="J2339" s="438"/>
    </row>
    <row r="2340" spans="1:10" x14ac:dyDescent="0.25">
      <c r="A2340" s="274"/>
      <c r="B2340" s="498"/>
      <c r="C2340" s="287"/>
      <c r="D2340" s="288"/>
      <c r="E2340" s="288"/>
      <c r="F2340" s="438"/>
      <c r="G2340" s="438"/>
      <c r="H2340" s="438"/>
      <c r="I2340" s="438"/>
      <c r="J2340" s="438"/>
    </row>
    <row r="2341" spans="1:10" x14ac:dyDescent="0.25">
      <c r="A2341" s="274"/>
      <c r="B2341" s="498"/>
      <c r="C2341" s="287"/>
      <c r="D2341" s="288"/>
      <c r="E2341" s="288"/>
      <c r="F2341" s="438"/>
      <c r="G2341" s="438"/>
      <c r="H2341" s="438"/>
      <c r="I2341" s="438"/>
      <c r="J2341" s="438"/>
    </row>
    <row r="2342" spans="1:10" x14ac:dyDescent="0.25">
      <c r="A2342" s="274"/>
      <c r="B2342" s="498"/>
      <c r="C2342" s="287"/>
      <c r="D2342" s="288"/>
      <c r="E2342" s="288"/>
      <c r="F2342" s="438"/>
      <c r="G2342" s="438"/>
      <c r="H2342" s="438"/>
      <c r="I2342" s="438"/>
      <c r="J2342" s="438"/>
    </row>
    <row r="2343" spans="1:10" x14ac:dyDescent="0.25">
      <c r="A2343" s="274"/>
      <c r="B2343" s="498"/>
      <c r="C2343" s="287"/>
      <c r="D2343" s="288"/>
      <c r="E2343" s="288"/>
      <c r="F2343" s="438"/>
      <c r="G2343" s="438"/>
      <c r="H2343" s="438"/>
      <c r="I2343" s="438"/>
      <c r="J2343" s="438"/>
    </row>
    <row r="2344" spans="1:10" x14ac:dyDescent="0.25">
      <c r="A2344" s="274"/>
      <c r="B2344" s="498"/>
      <c r="C2344" s="287"/>
      <c r="D2344" s="288"/>
      <c r="E2344" s="288"/>
      <c r="F2344" s="438"/>
      <c r="G2344" s="438"/>
      <c r="H2344" s="438"/>
      <c r="I2344" s="438"/>
      <c r="J2344" s="438"/>
    </row>
    <row r="2345" spans="1:10" x14ac:dyDescent="0.25">
      <c r="A2345" s="274"/>
      <c r="B2345" s="498"/>
      <c r="C2345" s="287"/>
      <c r="D2345" s="288"/>
      <c r="E2345" s="288"/>
      <c r="F2345" s="438"/>
      <c r="G2345" s="438"/>
      <c r="H2345" s="438"/>
      <c r="I2345" s="438"/>
      <c r="J2345" s="438"/>
    </row>
    <row r="2346" spans="1:10" x14ac:dyDescent="0.25">
      <c r="A2346" s="274"/>
      <c r="B2346" s="498"/>
      <c r="C2346" s="287"/>
      <c r="D2346" s="288"/>
      <c r="E2346" s="288"/>
      <c r="F2346" s="438"/>
      <c r="G2346" s="438"/>
      <c r="H2346" s="438"/>
      <c r="I2346" s="438"/>
      <c r="J2346" s="438"/>
    </row>
    <row r="2347" spans="1:10" x14ac:dyDescent="0.25">
      <c r="A2347" s="274"/>
      <c r="B2347" s="498"/>
      <c r="C2347" s="287"/>
      <c r="D2347" s="288"/>
      <c r="E2347" s="288"/>
      <c r="F2347" s="438"/>
      <c r="G2347" s="438"/>
      <c r="H2347" s="438"/>
      <c r="I2347" s="438"/>
      <c r="J2347" s="438"/>
    </row>
    <row r="2348" spans="1:10" x14ac:dyDescent="0.25">
      <c r="A2348" s="274"/>
      <c r="B2348" s="498"/>
      <c r="C2348" s="287"/>
      <c r="D2348" s="288"/>
      <c r="E2348" s="288"/>
      <c r="F2348" s="438"/>
      <c r="G2348" s="438"/>
      <c r="H2348" s="438"/>
      <c r="I2348" s="438"/>
      <c r="J2348" s="438"/>
    </row>
    <row r="2349" spans="1:10" x14ac:dyDescent="0.25">
      <c r="A2349" s="274"/>
      <c r="B2349" s="498"/>
      <c r="C2349" s="287"/>
      <c r="D2349" s="288"/>
      <c r="E2349" s="288"/>
      <c r="F2349" s="438"/>
      <c r="G2349" s="438"/>
      <c r="H2349" s="438"/>
      <c r="I2349" s="438"/>
      <c r="J2349" s="438"/>
    </row>
    <row r="2350" spans="1:10" x14ac:dyDescent="0.25">
      <c r="A2350" s="274"/>
      <c r="B2350" s="498"/>
      <c r="C2350" s="287"/>
      <c r="D2350" s="288"/>
      <c r="E2350" s="288"/>
      <c r="F2350" s="438"/>
      <c r="G2350" s="438"/>
      <c r="H2350" s="438"/>
      <c r="I2350" s="438"/>
      <c r="J2350" s="438"/>
    </row>
    <row r="2351" spans="1:10" x14ac:dyDescent="0.25">
      <c r="A2351" s="274"/>
      <c r="B2351" s="498"/>
      <c r="C2351" s="287"/>
      <c r="D2351" s="288"/>
      <c r="E2351" s="288"/>
      <c r="F2351" s="438"/>
      <c r="G2351" s="438"/>
      <c r="H2351" s="438"/>
      <c r="I2351" s="438"/>
      <c r="J2351" s="438"/>
    </row>
    <row r="2352" spans="1:10" x14ac:dyDescent="0.25">
      <c r="A2352" s="274"/>
      <c r="B2352" s="498"/>
      <c r="C2352" s="287"/>
      <c r="D2352" s="288"/>
      <c r="E2352" s="288"/>
      <c r="F2352" s="438"/>
      <c r="G2352" s="438"/>
      <c r="H2352" s="438"/>
      <c r="I2352" s="438"/>
      <c r="J2352" s="438"/>
    </row>
    <row r="2353" spans="1:10" x14ac:dyDescent="0.25">
      <c r="A2353" s="274"/>
      <c r="B2353" s="498"/>
      <c r="C2353" s="287"/>
      <c r="D2353" s="288"/>
      <c r="E2353" s="288"/>
      <c r="F2353" s="438"/>
      <c r="G2353" s="438"/>
      <c r="H2353" s="438"/>
      <c r="I2353" s="438"/>
      <c r="J2353" s="438"/>
    </row>
    <row r="2354" spans="1:10" x14ac:dyDescent="0.25">
      <c r="A2354" s="274"/>
      <c r="B2354" s="498"/>
      <c r="C2354" s="287"/>
      <c r="D2354" s="288"/>
      <c r="E2354" s="288"/>
      <c r="F2354" s="438"/>
      <c r="G2354" s="438"/>
      <c r="H2354" s="438"/>
      <c r="I2354" s="438"/>
      <c r="J2354" s="438"/>
    </row>
    <row r="2355" spans="1:10" x14ac:dyDescent="0.25">
      <c r="A2355" s="274"/>
      <c r="B2355" s="498"/>
      <c r="C2355" s="287"/>
      <c r="D2355" s="288"/>
      <c r="E2355" s="288"/>
      <c r="F2355" s="438"/>
      <c r="G2355" s="438"/>
      <c r="H2355" s="438"/>
      <c r="I2355" s="438"/>
      <c r="J2355" s="438"/>
    </row>
    <row r="2356" spans="1:10" x14ac:dyDescent="0.25">
      <c r="A2356" s="274"/>
      <c r="B2356" s="498"/>
      <c r="C2356" s="287"/>
      <c r="D2356" s="288"/>
      <c r="E2356" s="288"/>
      <c r="F2356" s="438"/>
      <c r="G2356" s="438"/>
      <c r="H2356" s="438"/>
      <c r="I2356" s="438"/>
      <c r="J2356" s="438"/>
    </row>
    <row r="2357" spans="1:10" x14ac:dyDescent="0.25">
      <c r="A2357" s="274"/>
      <c r="B2357" s="498"/>
      <c r="C2357" s="287"/>
      <c r="D2357" s="288"/>
      <c r="E2357" s="288"/>
      <c r="F2357" s="438"/>
      <c r="G2357" s="438"/>
      <c r="H2357" s="438"/>
      <c r="I2357" s="438"/>
      <c r="J2357" s="438"/>
    </row>
    <row r="2358" spans="1:10" x14ac:dyDescent="0.25">
      <c r="A2358" s="274"/>
      <c r="B2358" s="498"/>
      <c r="C2358" s="287"/>
      <c r="D2358" s="288"/>
      <c r="E2358" s="288"/>
      <c r="F2358" s="438"/>
      <c r="G2358" s="438"/>
      <c r="H2358" s="438"/>
      <c r="I2358" s="438"/>
      <c r="J2358" s="438"/>
    </row>
    <row r="2359" spans="1:10" x14ac:dyDescent="0.25">
      <c r="A2359" s="274"/>
      <c r="B2359" s="498"/>
      <c r="C2359" s="287"/>
      <c r="D2359" s="288"/>
      <c r="E2359" s="288"/>
      <c r="F2359" s="438"/>
      <c r="G2359" s="438"/>
      <c r="H2359" s="438"/>
      <c r="I2359" s="438"/>
      <c r="J2359" s="438"/>
    </row>
    <row r="2360" spans="1:10" x14ac:dyDescent="0.25">
      <c r="A2360" s="274"/>
      <c r="B2360" s="498"/>
      <c r="C2360" s="287"/>
      <c r="D2360" s="288"/>
      <c r="E2360" s="288"/>
      <c r="F2360" s="438"/>
      <c r="G2360" s="438"/>
      <c r="H2360" s="438"/>
      <c r="I2360" s="438"/>
      <c r="J2360" s="438"/>
    </row>
    <row r="2361" spans="1:10" x14ac:dyDescent="0.25">
      <c r="A2361" s="274"/>
      <c r="B2361" s="498"/>
      <c r="C2361" s="287"/>
      <c r="D2361" s="288"/>
      <c r="E2361" s="288"/>
      <c r="F2361" s="438"/>
      <c r="G2361" s="438"/>
      <c r="H2361" s="438"/>
      <c r="I2361" s="438"/>
      <c r="J2361" s="438"/>
    </row>
    <row r="2362" spans="1:10" x14ac:dyDescent="0.25">
      <c r="A2362" s="274"/>
      <c r="B2362" s="498"/>
      <c r="C2362" s="287"/>
      <c r="D2362" s="288"/>
      <c r="E2362" s="288"/>
      <c r="F2362" s="438"/>
      <c r="G2362" s="438"/>
      <c r="H2362" s="438"/>
      <c r="I2362" s="438"/>
      <c r="J2362" s="438"/>
    </row>
    <row r="2363" spans="1:10" x14ac:dyDescent="0.25">
      <c r="A2363" s="274"/>
      <c r="B2363" s="498"/>
      <c r="C2363" s="287"/>
      <c r="D2363" s="288"/>
      <c r="E2363" s="288"/>
      <c r="F2363" s="438"/>
      <c r="G2363" s="438"/>
      <c r="H2363" s="438"/>
      <c r="I2363" s="438"/>
      <c r="J2363" s="438"/>
    </row>
    <row r="2364" spans="1:10" x14ac:dyDescent="0.25">
      <c r="A2364" s="274"/>
      <c r="B2364" s="498"/>
      <c r="C2364" s="287"/>
      <c r="D2364" s="288"/>
      <c r="E2364" s="288"/>
      <c r="F2364" s="438"/>
      <c r="G2364" s="438"/>
      <c r="H2364" s="438"/>
      <c r="I2364" s="438"/>
      <c r="J2364" s="438"/>
    </row>
    <row r="2365" spans="1:10" x14ac:dyDescent="0.25">
      <c r="A2365" s="274"/>
      <c r="B2365" s="498"/>
      <c r="C2365" s="287"/>
      <c r="D2365" s="288"/>
      <c r="E2365" s="288"/>
      <c r="F2365" s="438"/>
      <c r="G2365" s="438"/>
      <c r="H2365" s="438"/>
      <c r="I2365" s="438"/>
      <c r="J2365" s="438"/>
    </row>
    <row r="2366" spans="1:10" x14ac:dyDescent="0.25">
      <c r="A2366" s="274"/>
      <c r="B2366" s="498"/>
      <c r="C2366" s="287"/>
      <c r="D2366" s="288"/>
      <c r="E2366" s="288"/>
      <c r="F2366" s="438"/>
      <c r="G2366" s="438"/>
      <c r="H2366" s="438"/>
      <c r="I2366" s="438"/>
      <c r="J2366" s="438"/>
    </row>
    <row r="2367" spans="1:10" x14ac:dyDescent="0.25">
      <c r="A2367" s="274"/>
      <c r="B2367" s="498"/>
      <c r="C2367" s="287"/>
      <c r="D2367" s="288"/>
      <c r="E2367" s="288"/>
      <c r="F2367" s="438"/>
      <c r="G2367" s="438"/>
      <c r="H2367" s="438"/>
      <c r="I2367" s="438"/>
      <c r="J2367" s="438"/>
    </row>
    <row r="2368" spans="1:10" x14ac:dyDescent="0.25">
      <c r="A2368" s="274"/>
      <c r="B2368" s="498"/>
      <c r="C2368" s="287"/>
      <c r="D2368" s="288"/>
      <c r="E2368" s="288"/>
      <c r="F2368" s="438"/>
      <c r="G2368" s="438"/>
      <c r="H2368" s="438"/>
      <c r="I2368" s="438"/>
      <c r="J2368" s="438"/>
    </row>
    <row r="2369" spans="1:10" x14ac:dyDescent="0.25">
      <c r="A2369" s="274"/>
      <c r="B2369" s="498"/>
      <c r="C2369" s="287"/>
      <c r="D2369" s="288"/>
      <c r="E2369" s="288"/>
      <c r="F2369" s="438"/>
      <c r="G2369" s="438"/>
      <c r="H2369" s="438"/>
      <c r="I2369" s="438"/>
      <c r="J2369" s="438"/>
    </row>
    <row r="2370" spans="1:10" x14ac:dyDescent="0.25">
      <c r="A2370" s="274"/>
      <c r="B2370" s="498"/>
      <c r="C2370" s="287"/>
      <c r="D2370" s="288"/>
      <c r="E2370" s="288"/>
      <c r="F2370" s="438"/>
      <c r="G2370" s="438"/>
      <c r="H2370" s="438"/>
      <c r="I2370" s="438"/>
      <c r="J2370" s="438"/>
    </row>
    <row r="2371" spans="1:10" x14ac:dyDescent="0.25">
      <c r="A2371" s="274"/>
      <c r="B2371" s="498"/>
      <c r="C2371" s="287"/>
      <c r="D2371" s="288"/>
      <c r="E2371" s="288"/>
      <c r="F2371" s="438"/>
      <c r="G2371" s="438"/>
      <c r="H2371" s="438"/>
      <c r="I2371" s="438"/>
      <c r="J2371" s="438"/>
    </row>
    <row r="2372" spans="1:10" x14ac:dyDescent="0.25">
      <c r="A2372" s="274"/>
      <c r="B2372" s="498"/>
      <c r="C2372" s="287"/>
      <c r="D2372" s="288"/>
      <c r="E2372" s="288"/>
      <c r="F2372" s="438"/>
      <c r="G2372" s="438"/>
      <c r="H2372" s="438"/>
      <c r="I2372" s="438"/>
      <c r="J2372" s="438"/>
    </row>
    <row r="2373" spans="1:10" x14ac:dyDescent="0.25">
      <c r="A2373" s="274"/>
      <c r="B2373" s="498"/>
      <c r="C2373" s="287"/>
      <c r="D2373" s="288"/>
      <c r="E2373" s="288"/>
      <c r="F2373" s="438"/>
      <c r="G2373" s="438"/>
      <c r="H2373" s="438"/>
      <c r="I2373" s="438"/>
      <c r="J2373" s="438"/>
    </row>
    <row r="2374" spans="1:10" x14ac:dyDescent="0.25">
      <c r="A2374" s="274"/>
      <c r="B2374" s="498"/>
      <c r="C2374" s="287"/>
      <c r="D2374" s="288"/>
      <c r="E2374" s="288"/>
      <c r="F2374" s="438"/>
      <c r="G2374" s="438"/>
      <c r="H2374" s="438"/>
      <c r="I2374" s="438"/>
      <c r="J2374" s="438"/>
    </row>
    <row r="2375" spans="1:10" x14ac:dyDescent="0.25">
      <c r="A2375" s="274"/>
      <c r="B2375" s="498"/>
      <c r="C2375" s="287"/>
      <c r="D2375" s="288"/>
      <c r="E2375" s="288"/>
      <c r="F2375" s="438"/>
      <c r="G2375" s="438"/>
      <c r="H2375" s="438"/>
      <c r="I2375" s="438"/>
      <c r="J2375" s="438"/>
    </row>
    <row r="2376" spans="1:10" x14ac:dyDescent="0.25">
      <c r="A2376" s="274"/>
      <c r="B2376" s="498"/>
      <c r="C2376" s="287"/>
      <c r="D2376" s="288"/>
      <c r="E2376" s="288"/>
      <c r="F2376" s="438"/>
      <c r="G2376" s="438"/>
      <c r="H2376" s="438"/>
      <c r="I2376" s="438"/>
      <c r="J2376" s="438"/>
    </row>
    <row r="2377" spans="1:10" x14ac:dyDescent="0.25">
      <c r="A2377" s="274"/>
      <c r="B2377" s="498"/>
      <c r="C2377" s="287"/>
      <c r="D2377" s="288"/>
      <c r="E2377" s="288"/>
      <c r="F2377" s="438"/>
      <c r="G2377" s="438"/>
      <c r="H2377" s="438"/>
      <c r="I2377" s="438"/>
      <c r="J2377" s="438"/>
    </row>
    <row r="2378" spans="1:10" x14ac:dyDescent="0.25">
      <c r="A2378" s="274"/>
      <c r="B2378" s="498"/>
      <c r="C2378" s="287"/>
      <c r="D2378" s="288"/>
      <c r="E2378" s="288"/>
      <c r="F2378" s="438"/>
      <c r="G2378" s="438"/>
      <c r="H2378" s="438"/>
      <c r="I2378" s="438"/>
      <c r="J2378" s="438"/>
    </row>
    <row r="2379" spans="1:10" x14ac:dyDescent="0.25">
      <c r="A2379" s="274"/>
      <c r="B2379" s="498"/>
      <c r="C2379" s="287"/>
      <c r="D2379" s="288"/>
      <c r="E2379" s="288"/>
      <c r="F2379" s="438"/>
      <c r="G2379" s="438"/>
      <c r="H2379" s="438"/>
      <c r="I2379" s="438"/>
      <c r="J2379" s="438"/>
    </row>
    <row r="2380" spans="1:10" x14ac:dyDescent="0.25">
      <c r="A2380" s="274"/>
      <c r="B2380" s="498"/>
      <c r="C2380" s="287"/>
      <c r="D2380" s="288"/>
      <c r="E2380" s="288"/>
      <c r="F2380" s="438"/>
      <c r="G2380" s="438"/>
      <c r="H2380" s="438"/>
      <c r="I2380" s="438"/>
      <c r="J2380" s="438"/>
    </row>
    <row r="2381" spans="1:10" x14ac:dyDescent="0.25">
      <c r="A2381" s="274"/>
      <c r="B2381" s="498"/>
      <c r="C2381" s="287"/>
      <c r="D2381" s="288"/>
      <c r="E2381" s="288"/>
      <c r="F2381" s="438"/>
      <c r="G2381" s="438"/>
      <c r="H2381" s="438"/>
      <c r="I2381" s="438"/>
      <c r="J2381" s="438"/>
    </row>
    <row r="2382" spans="1:10" x14ac:dyDescent="0.25">
      <c r="A2382" s="274"/>
      <c r="B2382" s="498"/>
      <c r="C2382" s="287"/>
      <c r="D2382" s="288"/>
      <c r="E2382" s="288"/>
      <c r="F2382" s="438"/>
      <c r="G2382" s="438"/>
      <c r="H2382" s="438"/>
      <c r="I2382" s="438"/>
      <c r="J2382" s="438"/>
    </row>
    <row r="2383" spans="1:10" x14ac:dyDescent="0.25">
      <c r="A2383" s="274"/>
      <c r="B2383" s="498"/>
      <c r="C2383" s="287"/>
      <c r="D2383" s="288"/>
      <c r="E2383" s="288"/>
      <c r="F2383" s="438"/>
      <c r="G2383" s="438"/>
      <c r="H2383" s="438"/>
      <c r="I2383" s="438"/>
      <c r="J2383" s="438"/>
    </row>
    <row r="2384" spans="1:10" x14ac:dyDescent="0.25">
      <c r="A2384" s="274"/>
      <c r="B2384" s="498"/>
      <c r="C2384" s="287"/>
      <c r="D2384" s="288"/>
      <c r="E2384" s="288"/>
      <c r="F2384" s="438"/>
      <c r="G2384" s="438"/>
      <c r="H2384" s="438"/>
      <c r="I2384" s="438"/>
      <c r="J2384" s="438"/>
    </row>
    <row r="2385" spans="1:10" x14ac:dyDescent="0.25">
      <c r="A2385" s="274"/>
      <c r="B2385" s="498"/>
      <c r="C2385" s="287"/>
      <c r="D2385" s="288"/>
      <c r="E2385" s="288"/>
      <c r="F2385" s="438"/>
      <c r="G2385" s="438"/>
      <c r="H2385" s="438"/>
      <c r="I2385" s="438"/>
      <c r="J2385" s="438"/>
    </row>
    <row r="2386" spans="1:10" x14ac:dyDescent="0.25">
      <c r="A2386" s="274"/>
      <c r="B2386" s="498"/>
      <c r="C2386" s="287"/>
      <c r="D2386" s="288"/>
      <c r="E2386" s="288"/>
      <c r="F2386" s="438"/>
      <c r="G2386" s="438"/>
      <c r="H2386" s="438"/>
      <c r="I2386" s="438"/>
      <c r="J2386" s="438"/>
    </row>
    <row r="2387" spans="1:10" x14ac:dyDescent="0.25">
      <c r="A2387" s="274"/>
      <c r="B2387" s="498"/>
      <c r="C2387" s="287"/>
      <c r="D2387" s="288"/>
      <c r="E2387" s="288"/>
      <c r="F2387" s="438"/>
      <c r="G2387" s="438"/>
      <c r="H2387" s="438"/>
      <c r="I2387" s="438"/>
      <c r="J2387" s="438"/>
    </row>
    <row r="2388" spans="1:10" x14ac:dyDescent="0.25">
      <c r="A2388" s="274"/>
      <c r="B2388" s="498"/>
      <c r="C2388" s="287"/>
      <c r="D2388" s="288"/>
      <c r="E2388" s="288"/>
      <c r="F2388" s="438"/>
      <c r="G2388" s="438"/>
      <c r="H2388" s="438"/>
      <c r="I2388" s="438"/>
      <c r="J2388" s="438"/>
    </row>
    <row r="2389" spans="1:10" x14ac:dyDescent="0.25">
      <c r="A2389" s="274"/>
      <c r="B2389" s="498"/>
      <c r="C2389" s="287"/>
      <c r="D2389" s="288"/>
      <c r="E2389" s="288"/>
      <c r="F2389" s="438"/>
      <c r="G2389" s="438"/>
      <c r="H2389" s="438"/>
      <c r="I2389" s="438"/>
      <c r="J2389" s="438"/>
    </row>
    <row r="2390" spans="1:10" x14ac:dyDescent="0.25">
      <c r="A2390" s="274"/>
      <c r="B2390" s="498"/>
      <c r="C2390" s="287"/>
      <c r="D2390" s="288"/>
      <c r="E2390" s="288"/>
      <c r="F2390" s="438"/>
      <c r="G2390" s="438"/>
      <c r="H2390" s="438"/>
      <c r="I2390" s="438"/>
      <c r="J2390" s="438"/>
    </row>
    <row r="2391" spans="1:10" x14ac:dyDescent="0.25">
      <c r="A2391" s="274"/>
      <c r="B2391" s="498"/>
      <c r="C2391" s="287"/>
      <c r="D2391" s="288"/>
      <c r="E2391" s="288"/>
      <c r="F2391" s="438"/>
      <c r="G2391" s="438"/>
      <c r="H2391" s="438"/>
      <c r="I2391" s="438"/>
      <c r="J2391" s="438"/>
    </row>
    <row r="2392" spans="1:10" x14ac:dyDescent="0.25">
      <c r="A2392" s="274"/>
      <c r="B2392" s="498"/>
      <c r="C2392" s="287"/>
      <c r="D2392" s="288"/>
      <c r="E2392" s="288"/>
      <c r="F2392" s="438"/>
      <c r="G2392" s="438"/>
      <c r="H2392" s="438"/>
      <c r="I2392" s="438"/>
      <c r="J2392" s="438"/>
    </row>
    <row r="2393" spans="1:10" x14ac:dyDescent="0.25">
      <c r="A2393" s="274"/>
      <c r="B2393" s="498"/>
      <c r="C2393" s="287"/>
      <c r="D2393" s="288"/>
      <c r="E2393" s="288"/>
      <c r="F2393" s="438"/>
      <c r="G2393" s="438"/>
      <c r="H2393" s="438"/>
      <c r="I2393" s="438"/>
      <c r="J2393" s="438"/>
    </row>
    <row r="2394" spans="1:10" x14ac:dyDescent="0.25">
      <c r="A2394" s="274"/>
      <c r="B2394" s="498"/>
      <c r="C2394" s="287"/>
      <c r="D2394" s="288"/>
      <c r="E2394" s="288"/>
      <c r="F2394" s="438"/>
      <c r="G2394" s="438"/>
      <c r="H2394" s="438"/>
      <c r="I2394" s="438"/>
      <c r="J2394" s="438"/>
    </row>
    <row r="2395" spans="1:10" x14ac:dyDescent="0.25">
      <c r="A2395" s="274"/>
      <c r="B2395" s="498"/>
      <c r="C2395" s="287"/>
      <c r="D2395" s="288"/>
      <c r="E2395" s="288"/>
      <c r="F2395" s="438"/>
      <c r="G2395" s="438"/>
      <c r="H2395" s="438"/>
      <c r="I2395" s="438"/>
      <c r="J2395" s="438"/>
    </row>
    <row r="2396" spans="1:10" x14ac:dyDescent="0.25">
      <c r="A2396" s="274"/>
      <c r="B2396" s="498"/>
      <c r="C2396" s="287"/>
      <c r="D2396" s="288"/>
      <c r="E2396" s="288"/>
      <c r="F2396" s="438"/>
      <c r="G2396" s="438"/>
      <c r="H2396" s="438"/>
      <c r="I2396" s="438"/>
      <c r="J2396" s="438"/>
    </row>
    <row r="2397" spans="1:10" x14ac:dyDescent="0.25">
      <c r="A2397" s="274"/>
      <c r="B2397" s="498"/>
      <c r="C2397" s="287"/>
      <c r="D2397" s="288"/>
      <c r="E2397" s="288"/>
      <c r="F2397" s="438"/>
      <c r="G2397" s="438"/>
      <c r="H2397" s="438"/>
      <c r="I2397" s="438"/>
      <c r="J2397" s="438"/>
    </row>
    <row r="2398" spans="1:10" x14ac:dyDescent="0.25">
      <c r="A2398" s="274"/>
      <c r="B2398" s="498"/>
      <c r="C2398" s="287"/>
      <c r="D2398" s="288"/>
      <c r="E2398" s="288"/>
      <c r="F2398" s="438"/>
      <c r="G2398" s="438"/>
      <c r="H2398" s="438"/>
      <c r="I2398" s="438"/>
      <c r="J2398" s="438"/>
    </row>
    <row r="2399" spans="1:10" x14ac:dyDescent="0.25">
      <c r="A2399" s="274"/>
      <c r="B2399" s="498"/>
      <c r="C2399" s="287"/>
      <c r="D2399" s="288"/>
      <c r="E2399" s="288"/>
      <c r="F2399" s="438"/>
      <c r="G2399" s="438"/>
      <c r="H2399" s="438"/>
      <c r="I2399" s="438"/>
      <c r="J2399" s="438"/>
    </row>
    <row r="2400" spans="1:10" x14ac:dyDescent="0.25">
      <c r="A2400" s="274"/>
      <c r="B2400" s="498"/>
      <c r="C2400" s="287"/>
      <c r="D2400" s="288"/>
      <c r="E2400" s="288"/>
      <c r="F2400" s="438"/>
      <c r="G2400" s="438"/>
      <c r="H2400" s="438"/>
      <c r="I2400" s="438"/>
      <c r="J2400" s="438"/>
    </row>
    <row r="2401" spans="1:10" x14ac:dyDescent="0.25">
      <c r="A2401" s="274"/>
      <c r="B2401" s="498"/>
      <c r="C2401" s="287"/>
      <c r="D2401" s="288"/>
      <c r="E2401" s="288"/>
      <c r="F2401" s="438"/>
      <c r="G2401" s="438"/>
      <c r="H2401" s="438"/>
      <c r="I2401" s="438"/>
      <c r="J2401" s="438"/>
    </row>
    <row r="2402" spans="1:10" x14ac:dyDescent="0.25">
      <c r="A2402" s="274"/>
      <c r="B2402" s="498"/>
      <c r="C2402" s="287"/>
      <c r="D2402" s="288"/>
      <c r="E2402" s="288"/>
      <c r="F2402" s="438"/>
      <c r="G2402" s="438"/>
      <c r="H2402" s="438"/>
      <c r="I2402" s="438"/>
      <c r="J2402" s="438"/>
    </row>
    <row r="2403" spans="1:10" x14ac:dyDescent="0.25">
      <c r="A2403" s="274"/>
      <c r="B2403" s="498"/>
      <c r="C2403" s="287"/>
      <c r="D2403" s="288"/>
      <c r="E2403" s="288"/>
      <c r="F2403" s="438"/>
      <c r="G2403" s="438"/>
      <c r="H2403" s="438"/>
      <c r="I2403" s="438"/>
      <c r="J2403" s="438"/>
    </row>
    <row r="2404" spans="1:10" x14ac:dyDescent="0.25">
      <c r="A2404" s="274"/>
      <c r="B2404" s="498"/>
      <c r="C2404" s="287"/>
      <c r="D2404" s="288"/>
      <c r="E2404" s="288"/>
      <c r="F2404" s="438"/>
      <c r="G2404" s="438"/>
      <c r="H2404" s="438"/>
      <c r="I2404" s="438"/>
      <c r="J2404" s="438"/>
    </row>
    <row r="2405" spans="1:10" x14ac:dyDescent="0.25">
      <c r="A2405" s="274"/>
      <c r="B2405" s="498"/>
      <c r="C2405" s="287"/>
      <c r="D2405" s="288"/>
      <c r="E2405" s="288"/>
      <c r="F2405" s="438"/>
      <c r="G2405" s="438"/>
      <c r="H2405" s="438"/>
      <c r="I2405" s="438"/>
      <c r="J2405" s="438"/>
    </row>
    <row r="2406" spans="1:10" x14ac:dyDescent="0.25">
      <c r="A2406" s="274"/>
      <c r="B2406" s="498"/>
      <c r="C2406" s="287"/>
      <c r="D2406" s="288"/>
      <c r="E2406" s="288"/>
      <c r="F2406" s="438"/>
      <c r="G2406" s="438"/>
      <c r="H2406" s="438"/>
      <c r="I2406" s="438"/>
      <c r="J2406" s="438"/>
    </row>
    <row r="2407" spans="1:10" x14ac:dyDescent="0.25">
      <c r="A2407" s="274"/>
      <c r="B2407" s="498"/>
      <c r="C2407" s="287"/>
      <c r="D2407" s="288"/>
      <c r="E2407" s="288"/>
      <c r="F2407" s="438"/>
      <c r="G2407" s="438"/>
      <c r="H2407" s="438"/>
      <c r="I2407" s="438"/>
      <c r="J2407" s="438"/>
    </row>
    <row r="2408" spans="1:10" x14ac:dyDescent="0.25">
      <c r="A2408" s="274"/>
      <c r="B2408" s="498"/>
      <c r="C2408" s="287"/>
      <c r="D2408" s="288"/>
      <c r="E2408" s="288"/>
      <c r="F2408" s="438"/>
      <c r="G2408" s="438"/>
      <c r="H2408" s="438"/>
      <c r="I2408" s="438"/>
      <c r="J2408" s="438"/>
    </row>
    <row r="2409" spans="1:10" x14ac:dyDescent="0.25">
      <c r="A2409" s="274"/>
      <c r="B2409" s="498"/>
      <c r="C2409" s="287"/>
      <c r="D2409" s="288"/>
      <c r="E2409" s="288"/>
      <c r="F2409" s="438"/>
      <c r="G2409" s="438"/>
      <c r="H2409" s="438"/>
      <c r="I2409" s="438"/>
      <c r="J2409" s="438"/>
    </row>
    <row r="2410" spans="1:10" x14ac:dyDescent="0.25">
      <c r="A2410" s="274"/>
      <c r="B2410" s="498"/>
      <c r="C2410" s="287"/>
      <c r="D2410" s="288"/>
      <c r="E2410" s="288"/>
      <c r="F2410" s="438"/>
      <c r="G2410" s="438"/>
      <c r="H2410" s="438"/>
      <c r="I2410" s="438"/>
      <c r="J2410" s="438"/>
    </row>
    <row r="2411" spans="1:10" x14ac:dyDescent="0.25">
      <c r="A2411" s="274"/>
      <c r="B2411" s="498"/>
      <c r="C2411" s="287"/>
      <c r="D2411" s="288"/>
      <c r="E2411" s="288"/>
      <c r="F2411" s="438"/>
      <c r="G2411" s="438"/>
      <c r="H2411" s="438"/>
      <c r="I2411" s="438"/>
      <c r="J2411" s="438"/>
    </row>
    <row r="2412" spans="1:10" x14ac:dyDescent="0.25">
      <c r="A2412" s="274"/>
      <c r="B2412" s="498"/>
      <c r="C2412" s="287"/>
      <c r="D2412" s="288"/>
      <c r="E2412" s="288"/>
      <c r="F2412" s="438"/>
      <c r="G2412" s="438"/>
      <c r="H2412" s="438"/>
      <c r="I2412" s="438"/>
      <c r="J2412" s="438"/>
    </row>
    <row r="2413" spans="1:10" x14ac:dyDescent="0.25">
      <c r="A2413" s="274"/>
      <c r="B2413" s="498"/>
      <c r="C2413" s="287"/>
      <c r="D2413" s="288"/>
      <c r="E2413" s="288"/>
      <c r="F2413" s="438"/>
      <c r="G2413" s="438"/>
      <c r="H2413" s="438"/>
      <c r="I2413" s="438"/>
      <c r="J2413" s="438"/>
    </row>
    <row r="2414" spans="1:10" x14ac:dyDescent="0.25">
      <c r="A2414" s="274"/>
      <c r="B2414" s="498"/>
      <c r="C2414" s="287"/>
      <c r="D2414" s="288"/>
      <c r="E2414" s="288"/>
      <c r="F2414" s="438"/>
      <c r="G2414" s="438"/>
      <c r="H2414" s="438"/>
      <c r="I2414" s="438"/>
      <c r="J2414" s="438"/>
    </row>
    <row r="2415" spans="1:10" x14ac:dyDescent="0.25">
      <c r="A2415" s="274"/>
      <c r="B2415" s="498"/>
      <c r="C2415" s="287"/>
      <c r="D2415" s="288"/>
      <c r="E2415" s="288"/>
      <c r="F2415" s="438"/>
      <c r="G2415" s="438"/>
      <c r="H2415" s="438"/>
      <c r="I2415" s="438"/>
      <c r="J2415" s="438"/>
    </row>
    <row r="2416" spans="1:10" x14ac:dyDescent="0.25">
      <c r="A2416" s="274"/>
      <c r="B2416" s="498"/>
      <c r="C2416" s="287"/>
      <c r="D2416" s="288"/>
      <c r="E2416" s="288"/>
      <c r="F2416" s="438"/>
      <c r="G2416" s="438"/>
      <c r="H2416" s="438"/>
      <c r="I2416" s="438"/>
      <c r="J2416" s="438"/>
    </row>
    <row r="2417" spans="1:10" x14ac:dyDescent="0.25">
      <c r="A2417" s="274"/>
      <c r="B2417" s="498"/>
      <c r="C2417" s="287"/>
      <c r="D2417" s="288"/>
      <c r="E2417" s="288"/>
      <c r="F2417" s="438"/>
      <c r="G2417" s="438"/>
      <c r="H2417" s="438"/>
      <c r="I2417" s="438"/>
      <c r="J2417" s="438"/>
    </row>
    <row r="2418" spans="1:10" x14ac:dyDescent="0.25">
      <c r="A2418" s="274"/>
      <c r="B2418" s="498"/>
      <c r="C2418" s="287"/>
      <c r="D2418" s="288"/>
      <c r="E2418" s="288"/>
      <c r="F2418" s="438"/>
      <c r="G2418" s="438"/>
      <c r="H2418" s="438"/>
      <c r="I2418" s="438"/>
      <c r="J2418" s="438"/>
    </row>
    <row r="2419" spans="1:10" x14ac:dyDescent="0.25">
      <c r="A2419" s="274"/>
      <c r="B2419" s="498"/>
      <c r="C2419" s="287"/>
      <c r="D2419" s="288"/>
      <c r="E2419" s="288"/>
      <c r="F2419" s="438"/>
      <c r="G2419" s="438"/>
      <c r="H2419" s="438"/>
      <c r="I2419" s="438"/>
      <c r="J2419" s="438"/>
    </row>
    <row r="2420" spans="1:10" x14ac:dyDescent="0.25">
      <c r="A2420" s="274"/>
      <c r="B2420" s="498"/>
      <c r="C2420" s="287"/>
      <c r="D2420" s="288"/>
      <c r="E2420" s="288"/>
      <c r="F2420" s="438"/>
      <c r="G2420" s="438"/>
      <c r="H2420" s="438"/>
      <c r="I2420" s="438"/>
      <c r="J2420" s="438"/>
    </row>
    <row r="2421" spans="1:10" x14ac:dyDescent="0.25">
      <c r="A2421" s="274"/>
      <c r="B2421" s="498"/>
      <c r="C2421" s="287"/>
      <c r="D2421" s="288"/>
      <c r="E2421" s="288"/>
      <c r="F2421" s="438"/>
      <c r="G2421" s="438"/>
      <c r="H2421" s="438"/>
      <c r="I2421" s="438"/>
      <c r="J2421" s="438"/>
    </row>
    <row r="2422" spans="1:10" x14ac:dyDescent="0.25">
      <c r="A2422" s="274"/>
      <c r="B2422" s="498"/>
      <c r="C2422" s="287"/>
      <c r="D2422" s="288"/>
      <c r="E2422" s="288"/>
      <c r="F2422" s="438"/>
      <c r="G2422" s="438"/>
      <c r="H2422" s="438"/>
      <c r="I2422" s="438"/>
      <c r="J2422" s="438"/>
    </row>
    <row r="2423" spans="1:10" x14ac:dyDescent="0.25">
      <c r="A2423" s="274"/>
      <c r="B2423" s="498"/>
      <c r="C2423" s="287"/>
      <c r="D2423" s="288"/>
      <c r="E2423" s="288"/>
      <c r="F2423" s="438"/>
      <c r="G2423" s="438"/>
      <c r="H2423" s="438"/>
      <c r="I2423" s="438"/>
      <c r="J2423" s="438"/>
    </row>
    <row r="2424" spans="1:10" x14ac:dyDescent="0.25">
      <c r="A2424" s="274"/>
      <c r="B2424" s="498"/>
      <c r="C2424" s="287"/>
      <c r="D2424" s="288"/>
      <c r="E2424" s="288"/>
      <c r="F2424" s="438"/>
      <c r="G2424" s="438"/>
      <c r="H2424" s="438"/>
      <c r="I2424" s="438"/>
      <c r="J2424" s="438"/>
    </row>
    <row r="2425" spans="1:10" x14ac:dyDescent="0.25">
      <c r="A2425" s="274"/>
      <c r="B2425" s="498"/>
      <c r="C2425" s="287"/>
      <c r="D2425" s="288"/>
      <c r="E2425" s="288"/>
      <c r="F2425" s="438"/>
      <c r="G2425" s="438"/>
      <c r="H2425" s="438"/>
      <c r="I2425" s="438"/>
      <c r="J2425" s="438"/>
    </row>
    <row r="2426" spans="1:10" x14ac:dyDescent="0.25">
      <c r="A2426" s="274"/>
      <c r="B2426" s="498"/>
      <c r="C2426" s="287"/>
      <c r="D2426" s="288"/>
      <c r="E2426" s="288"/>
      <c r="F2426" s="438"/>
      <c r="G2426" s="438"/>
      <c r="H2426" s="438"/>
      <c r="I2426" s="438"/>
      <c r="J2426" s="438"/>
    </row>
    <row r="2427" spans="1:10" x14ac:dyDescent="0.25">
      <c r="A2427" s="274"/>
      <c r="B2427" s="498"/>
      <c r="C2427" s="287"/>
      <c r="D2427" s="288"/>
      <c r="E2427" s="288"/>
      <c r="F2427" s="438"/>
      <c r="G2427" s="438"/>
      <c r="H2427" s="438"/>
      <c r="I2427" s="438"/>
      <c r="J2427" s="438"/>
    </row>
    <row r="2428" spans="1:10" x14ac:dyDescent="0.25">
      <c r="A2428" s="274"/>
      <c r="B2428" s="498"/>
      <c r="C2428" s="287"/>
      <c r="D2428" s="288"/>
      <c r="E2428" s="288"/>
      <c r="F2428" s="438"/>
      <c r="G2428" s="438"/>
      <c r="H2428" s="438"/>
      <c r="I2428" s="438"/>
      <c r="J2428" s="438"/>
    </row>
    <row r="2429" spans="1:10" x14ac:dyDescent="0.25">
      <c r="A2429" s="274"/>
      <c r="B2429" s="498"/>
      <c r="C2429" s="287"/>
      <c r="D2429" s="288"/>
      <c r="E2429" s="288"/>
      <c r="F2429" s="438"/>
      <c r="G2429" s="438"/>
      <c r="H2429" s="438"/>
      <c r="I2429" s="438"/>
      <c r="J2429" s="438"/>
    </row>
    <row r="2430" spans="1:10" x14ac:dyDescent="0.25">
      <c r="A2430" s="274"/>
      <c r="B2430" s="498"/>
      <c r="C2430" s="287"/>
      <c r="D2430" s="288"/>
      <c r="E2430" s="288"/>
      <c r="F2430" s="438"/>
      <c r="G2430" s="438"/>
      <c r="H2430" s="438"/>
      <c r="I2430" s="438"/>
      <c r="J2430" s="438"/>
    </row>
    <row r="2431" spans="1:10" x14ac:dyDescent="0.25">
      <c r="A2431" s="274"/>
      <c r="B2431" s="498"/>
      <c r="C2431" s="287"/>
      <c r="D2431" s="288"/>
      <c r="E2431" s="288"/>
      <c r="F2431" s="438"/>
      <c r="G2431" s="438"/>
      <c r="H2431" s="438"/>
      <c r="I2431" s="438"/>
      <c r="J2431" s="438"/>
    </row>
    <row r="2432" spans="1:10" x14ac:dyDescent="0.25">
      <c r="A2432" s="274"/>
      <c r="B2432" s="498"/>
      <c r="C2432" s="287"/>
      <c r="D2432" s="288"/>
      <c r="E2432" s="288"/>
      <c r="F2432" s="438"/>
      <c r="G2432" s="438"/>
      <c r="H2432" s="438"/>
      <c r="I2432" s="438"/>
      <c r="J2432" s="438"/>
    </row>
    <row r="2433" spans="1:10" x14ac:dyDescent="0.25">
      <c r="A2433" s="274"/>
      <c r="B2433" s="498"/>
      <c r="C2433" s="287"/>
      <c r="D2433" s="288"/>
      <c r="E2433" s="288"/>
      <c r="F2433" s="438"/>
      <c r="G2433" s="438"/>
      <c r="H2433" s="438"/>
      <c r="I2433" s="438"/>
      <c r="J2433" s="438"/>
    </row>
    <row r="2434" spans="1:10" x14ac:dyDescent="0.25">
      <c r="A2434" s="274"/>
      <c r="B2434" s="498"/>
      <c r="C2434" s="287"/>
      <c r="D2434" s="288"/>
      <c r="E2434" s="288"/>
      <c r="F2434" s="438"/>
      <c r="G2434" s="438"/>
      <c r="H2434" s="438"/>
      <c r="I2434" s="438"/>
      <c r="J2434" s="438"/>
    </row>
    <row r="2435" spans="1:10" x14ac:dyDescent="0.25">
      <c r="A2435" s="274"/>
      <c r="B2435" s="498"/>
      <c r="C2435" s="287"/>
      <c r="D2435" s="288"/>
      <c r="E2435" s="288"/>
      <c r="F2435" s="438"/>
      <c r="G2435" s="438"/>
      <c r="H2435" s="438"/>
      <c r="I2435" s="438"/>
      <c r="J2435" s="438"/>
    </row>
    <row r="2436" spans="1:10" x14ac:dyDescent="0.25">
      <c r="A2436" s="274"/>
      <c r="B2436" s="498"/>
      <c r="C2436" s="287"/>
      <c r="D2436" s="288"/>
      <c r="E2436" s="288"/>
      <c r="F2436" s="438"/>
      <c r="G2436" s="438"/>
      <c r="H2436" s="438"/>
      <c r="I2436" s="438"/>
      <c r="J2436" s="438"/>
    </row>
    <row r="2437" spans="1:10" x14ac:dyDescent="0.25">
      <c r="A2437" s="274"/>
      <c r="B2437" s="498"/>
      <c r="C2437" s="287"/>
      <c r="D2437" s="288"/>
      <c r="E2437" s="288"/>
      <c r="F2437" s="438"/>
      <c r="G2437" s="438"/>
      <c r="H2437" s="438"/>
      <c r="I2437" s="438"/>
      <c r="J2437" s="438"/>
    </row>
    <row r="2438" spans="1:10" x14ac:dyDescent="0.25">
      <c r="A2438" s="274"/>
      <c r="B2438" s="498"/>
      <c r="C2438" s="287"/>
      <c r="D2438" s="288"/>
      <c r="E2438" s="288"/>
      <c r="F2438" s="438"/>
      <c r="G2438" s="438"/>
      <c r="H2438" s="438"/>
      <c r="I2438" s="438"/>
      <c r="J2438" s="438"/>
    </row>
    <row r="2439" spans="1:10" x14ac:dyDescent="0.25">
      <c r="A2439" s="274"/>
      <c r="B2439" s="498"/>
      <c r="C2439" s="287"/>
      <c r="D2439" s="288"/>
      <c r="E2439" s="288"/>
      <c r="F2439" s="438"/>
      <c r="G2439" s="438"/>
      <c r="H2439" s="438"/>
      <c r="I2439" s="438"/>
      <c r="J2439" s="438"/>
    </row>
    <row r="2440" spans="1:10" x14ac:dyDescent="0.25">
      <c r="A2440" s="274"/>
      <c r="B2440" s="498"/>
      <c r="C2440" s="287"/>
      <c r="D2440" s="288"/>
      <c r="E2440" s="288"/>
      <c r="F2440" s="438"/>
      <c r="G2440" s="438"/>
      <c r="H2440" s="438"/>
      <c r="I2440" s="438"/>
      <c r="J2440" s="438"/>
    </row>
    <row r="2441" spans="1:10" x14ac:dyDescent="0.25">
      <c r="A2441" s="274"/>
      <c r="B2441" s="498"/>
      <c r="C2441" s="287"/>
      <c r="D2441" s="288"/>
      <c r="E2441" s="288"/>
      <c r="F2441" s="438"/>
      <c r="G2441" s="438"/>
      <c r="H2441" s="438"/>
      <c r="I2441" s="438"/>
      <c r="J2441" s="438"/>
    </row>
    <row r="2442" spans="1:10" x14ac:dyDescent="0.25">
      <c r="A2442" s="274"/>
      <c r="B2442" s="498"/>
      <c r="C2442" s="287"/>
      <c r="D2442" s="288"/>
      <c r="E2442" s="288"/>
      <c r="F2442" s="438"/>
      <c r="G2442" s="438"/>
      <c r="H2442" s="438"/>
      <c r="I2442" s="438"/>
      <c r="J2442" s="438"/>
    </row>
    <row r="2443" spans="1:10" x14ac:dyDescent="0.25">
      <c r="A2443" s="274"/>
      <c r="B2443" s="498"/>
      <c r="C2443" s="287"/>
      <c r="D2443" s="288"/>
      <c r="E2443" s="288"/>
      <c r="F2443" s="438"/>
      <c r="G2443" s="438"/>
      <c r="H2443" s="438"/>
      <c r="I2443" s="438"/>
      <c r="J2443" s="438"/>
    </row>
    <row r="2444" spans="1:10" x14ac:dyDescent="0.25">
      <c r="A2444" s="274"/>
      <c r="B2444" s="498"/>
      <c r="C2444" s="287"/>
      <c r="D2444" s="288"/>
      <c r="E2444" s="288"/>
      <c r="F2444" s="438"/>
      <c r="G2444" s="438"/>
      <c r="H2444" s="438"/>
      <c r="I2444" s="438"/>
      <c r="J2444" s="438"/>
    </row>
    <row r="2445" spans="1:10" x14ac:dyDescent="0.25">
      <c r="A2445" s="274"/>
      <c r="B2445" s="498"/>
      <c r="C2445" s="287"/>
      <c r="D2445" s="288"/>
      <c r="E2445" s="288"/>
      <c r="F2445" s="438"/>
      <c r="G2445" s="438"/>
      <c r="H2445" s="438"/>
      <c r="I2445" s="438"/>
      <c r="J2445" s="438"/>
    </row>
    <row r="2446" spans="1:10" x14ac:dyDescent="0.25">
      <c r="A2446" s="274"/>
      <c r="B2446" s="498"/>
      <c r="C2446" s="287"/>
      <c r="D2446" s="288"/>
      <c r="E2446" s="288"/>
      <c r="F2446" s="438"/>
      <c r="G2446" s="438"/>
      <c r="H2446" s="438"/>
      <c r="I2446" s="438"/>
      <c r="J2446" s="438"/>
    </row>
    <row r="2447" spans="1:10" x14ac:dyDescent="0.25">
      <c r="A2447" s="274"/>
      <c r="B2447" s="498"/>
      <c r="C2447" s="287"/>
      <c r="D2447" s="288"/>
      <c r="E2447" s="288"/>
      <c r="F2447" s="438"/>
      <c r="G2447" s="438"/>
      <c r="H2447" s="438"/>
      <c r="I2447" s="438"/>
      <c r="J2447" s="438"/>
    </row>
    <row r="2448" spans="1:10" x14ac:dyDescent="0.25">
      <c r="A2448" s="274"/>
      <c r="B2448" s="498"/>
      <c r="C2448" s="287"/>
      <c r="D2448" s="288"/>
      <c r="E2448" s="288"/>
      <c r="F2448" s="438"/>
      <c r="G2448" s="438"/>
      <c r="H2448" s="438"/>
      <c r="I2448" s="438"/>
      <c r="J2448" s="438"/>
    </row>
    <row r="2449" spans="1:10" x14ac:dyDescent="0.25">
      <c r="A2449" s="274"/>
      <c r="B2449" s="498"/>
      <c r="C2449" s="287"/>
      <c r="D2449" s="288"/>
      <c r="E2449" s="288"/>
      <c r="F2449" s="438"/>
      <c r="G2449" s="438"/>
      <c r="H2449" s="438"/>
      <c r="I2449" s="438"/>
      <c r="J2449" s="438"/>
    </row>
    <row r="2450" spans="1:10" x14ac:dyDescent="0.25">
      <c r="A2450" s="274"/>
      <c r="B2450" s="498"/>
      <c r="C2450" s="287"/>
      <c r="D2450" s="288"/>
      <c r="E2450" s="288"/>
      <c r="F2450" s="438"/>
      <c r="G2450" s="438"/>
      <c r="H2450" s="438"/>
      <c r="I2450" s="438"/>
      <c r="J2450" s="438"/>
    </row>
    <row r="2451" spans="1:10" x14ac:dyDescent="0.25">
      <c r="A2451" s="274"/>
      <c r="B2451" s="498"/>
      <c r="C2451" s="287"/>
      <c r="D2451" s="288"/>
      <c r="E2451" s="288"/>
      <c r="F2451" s="438"/>
      <c r="G2451" s="438"/>
      <c r="H2451" s="438"/>
      <c r="I2451" s="438"/>
      <c r="J2451" s="438"/>
    </row>
    <row r="2452" spans="1:10" x14ac:dyDescent="0.25">
      <c r="A2452" s="274"/>
      <c r="B2452" s="498"/>
      <c r="C2452" s="287"/>
      <c r="D2452" s="288"/>
      <c r="E2452" s="288"/>
      <c r="F2452" s="438"/>
      <c r="G2452" s="438"/>
      <c r="H2452" s="438"/>
      <c r="I2452" s="438"/>
      <c r="J2452" s="438"/>
    </row>
    <row r="2453" spans="1:10" x14ac:dyDescent="0.25">
      <c r="A2453" s="274"/>
      <c r="B2453" s="498"/>
      <c r="C2453" s="287"/>
      <c r="D2453" s="288"/>
      <c r="E2453" s="288"/>
      <c r="F2453" s="438"/>
      <c r="G2453" s="438"/>
      <c r="H2453" s="438"/>
      <c r="I2453" s="438"/>
      <c r="J2453" s="438"/>
    </row>
    <row r="2454" spans="1:10" x14ac:dyDescent="0.25">
      <c r="A2454" s="274"/>
      <c r="B2454" s="498"/>
      <c r="C2454" s="287"/>
      <c r="D2454" s="288"/>
      <c r="E2454" s="288"/>
      <c r="F2454" s="438"/>
      <c r="G2454" s="438"/>
      <c r="H2454" s="438"/>
      <c r="I2454" s="438"/>
      <c r="J2454" s="438"/>
    </row>
    <row r="2455" spans="1:10" x14ac:dyDescent="0.25">
      <c r="A2455" s="274"/>
      <c r="B2455" s="498"/>
      <c r="C2455" s="287"/>
      <c r="D2455" s="288"/>
      <c r="E2455" s="288"/>
      <c r="F2455" s="438"/>
      <c r="G2455" s="438"/>
      <c r="H2455" s="438"/>
      <c r="I2455" s="438"/>
      <c r="J2455" s="438"/>
    </row>
    <row r="2456" spans="1:10" x14ac:dyDescent="0.25">
      <c r="A2456" s="274"/>
      <c r="B2456" s="498"/>
      <c r="C2456" s="287"/>
      <c r="D2456" s="288"/>
      <c r="E2456" s="288"/>
      <c r="F2456" s="438"/>
      <c r="G2456" s="438"/>
      <c r="H2456" s="438"/>
      <c r="I2456" s="438"/>
      <c r="J2456" s="438"/>
    </row>
    <row r="2457" spans="1:10" x14ac:dyDescent="0.25">
      <c r="A2457" s="274"/>
      <c r="B2457" s="498"/>
      <c r="C2457" s="287"/>
      <c r="D2457" s="288"/>
      <c r="E2457" s="288"/>
      <c r="F2457" s="438"/>
      <c r="G2457" s="438"/>
      <c r="H2457" s="438"/>
      <c r="I2457" s="438"/>
      <c r="J2457" s="438"/>
    </row>
    <row r="2458" spans="1:10" x14ac:dyDescent="0.25">
      <c r="A2458" s="274"/>
      <c r="B2458" s="498"/>
      <c r="C2458" s="287"/>
      <c r="D2458" s="288"/>
      <c r="E2458" s="288"/>
      <c r="F2458" s="438"/>
      <c r="G2458" s="438"/>
      <c r="H2458" s="438"/>
      <c r="I2458" s="438"/>
      <c r="J2458" s="438"/>
    </row>
    <row r="2459" spans="1:10" x14ac:dyDescent="0.25">
      <c r="A2459" s="274"/>
      <c r="B2459" s="498"/>
      <c r="C2459" s="287"/>
      <c r="D2459" s="288"/>
      <c r="E2459" s="288"/>
      <c r="F2459" s="438"/>
      <c r="G2459" s="438"/>
      <c r="H2459" s="438"/>
      <c r="I2459" s="438"/>
      <c r="J2459" s="438"/>
    </row>
    <row r="2460" spans="1:10" x14ac:dyDescent="0.25">
      <c r="A2460" s="274"/>
      <c r="B2460" s="498"/>
      <c r="C2460" s="287"/>
      <c r="D2460" s="288"/>
      <c r="E2460" s="288"/>
      <c r="F2460" s="438"/>
      <c r="G2460" s="438"/>
      <c r="H2460" s="438"/>
      <c r="I2460" s="438"/>
      <c r="J2460" s="438"/>
    </row>
    <row r="2461" spans="1:10" x14ac:dyDescent="0.25">
      <c r="A2461" s="274"/>
      <c r="B2461" s="498"/>
      <c r="C2461" s="287"/>
      <c r="D2461" s="288"/>
      <c r="E2461" s="288"/>
      <c r="F2461" s="438"/>
      <c r="G2461" s="438"/>
      <c r="H2461" s="438"/>
      <c r="I2461" s="438"/>
      <c r="J2461" s="438"/>
    </row>
    <row r="2462" spans="1:10" x14ac:dyDescent="0.25">
      <c r="A2462" s="274"/>
      <c r="B2462" s="498"/>
      <c r="C2462" s="287"/>
      <c r="D2462" s="288"/>
      <c r="E2462" s="288"/>
      <c r="F2462" s="438"/>
      <c r="G2462" s="438"/>
      <c r="H2462" s="438"/>
      <c r="I2462" s="438"/>
      <c r="J2462" s="438"/>
    </row>
    <row r="2463" spans="1:10" x14ac:dyDescent="0.25">
      <c r="A2463" s="274"/>
      <c r="B2463" s="498"/>
      <c r="C2463" s="287"/>
      <c r="D2463" s="288"/>
      <c r="E2463" s="288"/>
      <c r="F2463" s="438"/>
      <c r="G2463" s="438"/>
      <c r="H2463" s="438"/>
      <c r="I2463" s="438"/>
      <c r="J2463" s="438"/>
    </row>
    <row r="2464" spans="1:10" x14ac:dyDescent="0.25">
      <c r="A2464" s="274"/>
      <c r="B2464" s="498"/>
      <c r="C2464" s="287"/>
      <c r="D2464" s="288"/>
      <c r="E2464" s="288"/>
      <c r="F2464" s="438"/>
      <c r="G2464" s="438"/>
      <c r="H2464" s="438"/>
      <c r="I2464" s="438"/>
      <c r="J2464" s="438"/>
    </row>
    <row r="2465" spans="1:10" x14ac:dyDescent="0.25">
      <c r="A2465" s="274"/>
      <c r="B2465" s="498"/>
      <c r="C2465" s="287"/>
      <c r="D2465" s="288"/>
      <c r="E2465" s="288"/>
      <c r="F2465" s="438"/>
      <c r="G2465" s="438"/>
      <c r="H2465" s="438"/>
      <c r="I2465" s="438"/>
      <c r="J2465" s="438"/>
    </row>
    <row r="2466" spans="1:10" x14ac:dyDescent="0.25">
      <c r="A2466" s="274"/>
      <c r="B2466" s="498"/>
      <c r="C2466" s="287"/>
      <c r="D2466" s="288"/>
      <c r="E2466" s="288"/>
      <c r="F2466" s="438"/>
      <c r="G2466" s="438"/>
      <c r="H2466" s="438"/>
      <c r="I2466" s="438"/>
      <c r="J2466" s="438"/>
    </row>
    <row r="2467" spans="1:10" x14ac:dyDescent="0.25">
      <c r="A2467" s="274"/>
      <c r="B2467" s="498"/>
      <c r="C2467" s="287"/>
      <c r="D2467" s="288"/>
      <c r="E2467" s="288"/>
      <c r="F2467" s="438"/>
      <c r="G2467" s="438"/>
      <c r="H2467" s="438"/>
      <c r="I2467" s="438"/>
      <c r="J2467" s="438"/>
    </row>
    <row r="2468" spans="1:10" x14ac:dyDescent="0.25">
      <c r="A2468" s="274"/>
      <c r="B2468" s="498"/>
      <c r="C2468" s="287"/>
      <c r="D2468" s="288"/>
      <c r="E2468" s="288"/>
      <c r="F2468" s="438"/>
      <c r="G2468" s="438"/>
      <c r="H2468" s="438"/>
      <c r="I2468" s="438"/>
      <c r="J2468" s="438"/>
    </row>
    <row r="2469" spans="1:10" x14ac:dyDescent="0.25">
      <c r="A2469" s="274"/>
      <c r="B2469" s="498"/>
      <c r="C2469" s="287"/>
      <c r="D2469" s="288"/>
      <c r="E2469" s="288"/>
      <c r="F2469" s="438"/>
      <c r="G2469" s="438"/>
      <c r="H2469" s="438"/>
      <c r="I2469" s="438"/>
      <c r="J2469" s="438"/>
    </row>
    <row r="2470" spans="1:10" x14ac:dyDescent="0.25">
      <c r="A2470" s="274"/>
      <c r="B2470" s="498"/>
      <c r="C2470" s="287"/>
      <c r="D2470" s="288"/>
      <c r="E2470" s="288"/>
      <c r="F2470" s="438"/>
      <c r="G2470" s="438"/>
      <c r="H2470" s="438"/>
      <c r="I2470" s="438"/>
      <c r="J2470" s="438"/>
    </row>
    <row r="2471" spans="1:10" x14ac:dyDescent="0.25">
      <c r="A2471" s="274"/>
      <c r="B2471" s="498"/>
      <c r="C2471" s="287"/>
      <c r="D2471" s="288"/>
      <c r="E2471" s="288"/>
      <c r="F2471" s="438"/>
      <c r="G2471" s="438"/>
      <c r="H2471" s="438"/>
      <c r="I2471" s="438"/>
      <c r="J2471" s="438"/>
    </row>
    <row r="2472" spans="1:10" x14ac:dyDescent="0.25">
      <c r="A2472" s="274"/>
      <c r="B2472" s="498"/>
      <c r="C2472" s="287"/>
      <c r="D2472" s="288"/>
      <c r="E2472" s="288"/>
      <c r="F2472" s="438"/>
      <c r="G2472" s="438"/>
      <c r="H2472" s="438"/>
      <c r="I2472" s="438"/>
      <c r="J2472" s="438"/>
    </row>
    <row r="2473" spans="1:10" x14ac:dyDescent="0.25">
      <c r="A2473" s="274"/>
      <c r="B2473" s="498"/>
      <c r="C2473" s="287"/>
      <c r="D2473" s="288"/>
      <c r="E2473" s="288"/>
      <c r="F2473" s="438"/>
      <c r="G2473" s="438"/>
      <c r="H2473" s="438"/>
      <c r="I2473" s="438"/>
      <c r="J2473" s="438"/>
    </row>
    <row r="2474" spans="1:10" x14ac:dyDescent="0.25">
      <c r="A2474" s="274"/>
      <c r="B2474" s="498"/>
      <c r="C2474" s="287"/>
      <c r="D2474" s="288"/>
      <c r="E2474" s="288"/>
      <c r="F2474" s="438"/>
      <c r="G2474" s="438"/>
      <c r="H2474" s="438"/>
      <c r="I2474" s="438"/>
      <c r="J2474" s="438"/>
    </row>
    <row r="2475" spans="1:10" x14ac:dyDescent="0.25">
      <c r="A2475" s="274"/>
      <c r="B2475" s="498"/>
      <c r="C2475" s="287"/>
      <c r="D2475" s="288"/>
      <c r="E2475" s="288"/>
      <c r="F2475" s="438"/>
      <c r="G2475" s="438"/>
      <c r="H2475" s="438"/>
      <c r="I2475" s="438"/>
      <c r="J2475" s="438"/>
    </row>
    <row r="2476" spans="1:10" x14ac:dyDescent="0.25">
      <c r="A2476" s="274"/>
      <c r="B2476" s="498"/>
      <c r="C2476" s="287"/>
      <c r="D2476" s="288"/>
      <c r="E2476" s="288"/>
      <c r="F2476" s="438"/>
      <c r="G2476" s="438"/>
      <c r="H2476" s="438"/>
      <c r="I2476" s="438"/>
      <c r="J2476" s="438"/>
    </row>
    <row r="2477" spans="1:10" x14ac:dyDescent="0.25">
      <c r="A2477" s="274"/>
      <c r="B2477" s="498"/>
      <c r="C2477" s="287"/>
      <c r="D2477" s="288"/>
      <c r="E2477" s="288"/>
      <c r="F2477" s="438"/>
      <c r="G2477" s="438"/>
      <c r="H2477" s="438"/>
      <c r="I2477" s="438"/>
      <c r="J2477" s="438"/>
    </row>
    <row r="2478" spans="1:10" x14ac:dyDescent="0.25">
      <c r="A2478" s="274"/>
      <c r="B2478" s="498"/>
      <c r="C2478" s="287"/>
      <c r="D2478" s="288"/>
      <c r="E2478" s="288"/>
      <c r="F2478" s="438"/>
      <c r="G2478" s="438"/>
      <c r="H2478" s="438"/>
      <c r="I2478" s="438"/>
      <c r="J2478" s="438"/>
    </row>
    <row r="2479" spans="1:10" x14ac:dyDescent="0.25">
      <c r="A2479" s="274"/>
      <c r="B2479" s="498"/>
      <c r="C2479" s="287"/>
      <c r="D2479" s="288"/>
      <c r="E2479" s="288"/>
      <c r="F2479" s="438"/>
      <c r="G2479" s="438"/>
      <c r="H2479" s="438"/>
      <c r="I2479" s="438"/>
      <c r="J2479" s="438"/>
    </row>
    <row r="2480" spans="1:10" x14ac:dyDescent="0.25">
      <c r="A2480" s="274"/>
      <c r="B2480" s="498"/>
      <c r="C2480" s="287"/>
      <c r="D2480" s="288"/>
      <c r="E2480" s="288"/>
      <c r="F2480" s="438"/>
      <c r="G2480" s="438"/>
      <c r="H2480" s="438"/>
      <c r="I2480" s="438"/>
      <c r="J2480" s="438"/>
    </row>
    <row r="2481" spans="1:10" x14ac:dyDescent="0.25">
      <c r="A2481" s="274"/>
      <c r="B2481" s="498"/>
      <c r="C2481" s="287"/>
      <c r="D2481" s="288"/>
      <c r="E2481" s="288"/>
      <c r="F2481" s="438"/>
      <c r="G2481" s="438"/>
      <c r="H2481" s="438"/>
      <c r="I2481" s="438"/>
      <c r="J2481" s="438"/>
    </row>
    <row r="2482" spans="1:10" x14ac:dyDescent="0.25">
      <c r="A2482" s="274"/>
      <c r="B2482" s="498"/>
      <c r="C2482" s="287"/>
      <c r="D2482" s="288"/>
      <c r="E2482" s="288"/>
      <c r="F2482" s="438"/>
      <c r="G2482" s="438"/>
      <c r="H2482" s="438"/>
      <c r="I2482" s="438"/>
      <c r="J2482" s="438"/>
    </row>
    <row r="2483" spans="1:10" x14ac:dyDescent="0.25">
      <c r="A2483" s="274"/>
      <c r="B2483" s="498"/>
      <c r="C2483" s="287"/>
      <c r="D2483" s="288"/>
      <c r="E2483" s="288"/>
      <c r="F2483" s="438"/>
      <c r="G2483" s="438"/>
      <c r="H2483" s="438"/>
      <c r="I2483" s="438"/>
      <c r="J2483" s="438"/>
    </row>
    <row r="2484" spans="1:10" x14ac:dyDescent="0.25">
      <c r="A2484" s="274"/>
      <c r="B2484" s="498"/>
      <c r="C2484" s="287"/>
      <c r="D2484" s="288"/>
      <c r="E2484" s="288"/>
      <c r="F2484" s="438"/>
      <c r="G2484" s="438"/>
      <c r="H2484" s="438"/>
      <c r="I2484" s="438"/>
      <c r="J2484" s="438"/>
    </row>
    <row r="2485" spans="1:10" x14ac:dyDescent="0.25">
      <c r="A2485" s="274"/>
      <c r="B2485" s="498"/>
      <c r="C2485" s="287"/>
      <c r="D2485" s="288"/>
      <c r="E2485" s="288"/>
      <c r="F2485" s="438"/>
      <c r="G2485" s="438"/>
      <c r="H2485" s="438"/>
      <c r="I2485" s="438"/>
      <c r="J2485" s="438"/>
    </row>
    <row r="2486" spans="1:10" x14ac:dyDescent="0.25">
      <c r="A2486" s="274"/>
      <c r="B2486" s="498"/>
      <c r="C2486" s="287"/>
      <c r="D2486" s="288"/>
      <c r="E2486" s="288"/>
      <c r="F2486" s="438"/>
      <c r="G2486" s="438"/>
      <c r="H2486" s="438"/>
      <c r="I2486" s="438"/>
      <c r="J2486" s="438"/>
    </row>
    <row r="2487" spans="1:10" x14ac:dyDescent="0.25">
      <c r="A2487" s="274"/>
      <c r="B2487" s="498"/>
      <c r="C2487" s="287"/>
      <c r="D2487" s="288"/>
      <c r="E2487" s="288"/>
      <c r="F2487" s="438"/>
      <c r="G2487" s="438"/>
      <c r="H2487" s="438"/>
      <c r="I2487" s="438"/>
      <c r="J2487" s="438"/>
    </row>
    <row r="2488" spans="1:10" x14ac:dyDescent="0.25">
      <c r="A2488" s="274"/>
      <c r="B2488" s="498"/>
      <c r="C2488" s="287"/>
      <c r="D2488" s="288"/>
      <c r="E2488" s="288"/>
      <c r="F2488" s="438"/>
      <c r="G2488" s="438"/>
      <c r="H2488" s="438"/>
      <c r="I2488" s="438"/>
      <c r="J2488" s="438"/>
    </row>
    <row r="2489" spans="1:10" x14ac:dyDescent="0.25">
      <c r="A2489" s="274"/>
      <c r="B2489" s="498"/>
      <c r="C2489" s="287"/>
      <c r="D2489" s="288"/>
      <c r="E2489" s="288"/>
      <c r="F2489" s="438"/>
      <c r="G2489" s="438"/>
      <c r="H2489" s="438"/>
      <c r="I2489" s="438"/>
      <c r="J2489" s="438"/>
    </row>
    <row r="2490" spans="1:10" x14ac:dyDescent="0.25">
      <c r="A2490" s="274"/>
      <c r="B2490" s="498"/>
      <c r="C2490" s="287"/>
      <c r="D2490" s="288"/>
      <c r="E2490" s="288"/>
      <c r="F2490" s="438"/>
      <c r="G2490" s="438"/>
      <c r="H2490" s="438"/>
      <c r="I2490" s="438"/>
      <c r="J2490" s="438"/>
    </row>
    <row r="2491" spans="1:10" x14ac:dyDescent="0.25">
      <c r="A2491" s="274"/>
      <c r="B2491" s="498"/>
      <c r="C2491" s="287"/>
      <c r="D2491" s="288"/>
      <c r="E2491" s="288"/>
      <c r="F2491" s="438"/>
      <c r="G2491" s="438"/>
      <c r="H2491" s="438"/>
      <c r="I2491" s="438"/>
      <c r="J2491" s="438"/>
    </row>
    <row r="2492" spans="1:10" x14ac:dyDescent="0.25">
      <c r="A2492" s="274"/>
      <c r="B2492" s="498"/>
      <c r="C2492" s="287"/>
      <c r="D2492" s="288"/>
      <c r="E2492" s="288"/>
      <c r="F2492" s="438"/>
      <c r="G2492" s="438"/>
      <c r="H2492" s="438"/>
      <c r="I2492" s="438"/>
      <c r="J2492" s="438"/>
    </row>
    <row r="2493" spans="1:10" x14ac:dyDescent="0.25">
      <c r="A2493" s="274"/>
      <c r="B2493" s="498"/>
      <c r="C2493" s="287"/>
      <c r="D2493" s="288"/>
      <c r="E2493" s="288"/>
      <c r="F2493" s="438"/>
      <c r="G2493" s="438"/>
      <c r="H2493" s="438"/>
      <c r="I2493" s="438"/>
      <c r="J2493" s="438"/>
    </row>
    <row r="2494" spans="1:10" x14ac:dyDescent="0.25">
      <c r="A2494" s="274"/>
      <c r="B2494" s="498"/>
      <c r="C2494" s="287"/>
      <c r="D2494" s="288"/>
      <c r="E2494" s="288"/>
      <c r="F2494" s="438"/>
      <c r="G2494" s="438"/>
      <c r="H2494" s="438"/>
      <c r="I2494" s="438"/>
      <c r="J2494" s="438"/>
    </row>
    <row r="2495" spans="1:10" x14ac:dyDescent="0.25">
      <c r="A2495" s="274"/>
      <c r="B2495" s="498"/>
      <c r="C2495" s="287"/>
      <c r="D2495" s="288"/>
      <c r="E2495" s="288"/>
      <c r="F2495" s="438"/>
      <c r="G2495" s="438"/>
      <c r="H2495" s="438"/>
      <c r="I2495" s="438"/>
      <c r="J2495" s="438"/>
    </row>
    <row r="2496" spans="1:10" x14ac:dyDescent="0.25">
      <c r="A2496" s="274"/>
      <c r="B2496" s="498"/>
      <c r="C2496" s="287"/>
      <c r="D2496" s="288"/>
      <c r="E2496" s="288"/>
      <c r="F2496" s="438"/>
      <c r="G2496" s="438"/>
      <c r="H2496" s="438"/>
      <c r="I2496" s="438"/>
      <c r="J2496" s="438"/>
    </row>
    <row r="2497" spans="1:10" x14ac:dyDescent="0.25">
      <c r="A2497" s="274"/>
      <c r="B2497" s="498"/>
      <c r="C2497" s="287"/>
      <c r="D2497" s="288"/>
      <c r="E2497" s="288"/>
      <c r="F2497" s="438"/>
      <c r="G2497" s="438"/>
      <c r="H2497" s="438"/>
      <c r="I2497" s="438"/>
      <c r="J2497" s="438"/>
    </row>
    <row r="2498" spans="1:10" x14ac:dyDescent="0.25">
      <c r="A2498" s="274"/>
      <c r="B2498" s="498"/>
      <c r="C2498" s="287"/>
      <c r="D2498" s="288"/>
      <c r="E2498" s="288"/>
      <c r="F2498" s="438"/>
      <c r="G2498" s="438"/>
      <c r="H2498" s="438"/>
      <c r="I2498" s="438"/>
      <c r="J2498" s="438"/>
    </row>
    <row r="2499" spans="1:10" x14ac:dyDescent="0.25">
      <c r="A2499" s="274"/>
      <c r="B2499" s="498"/>
      <c r="C2499" s="287"/>
      <c r="D2499" s="288"/>
      <c r="E2499" s="288"/>
      <c r="F2499" s="438"/>
      <c r="G2499" s="438"/>
      <c r="H2499" s="438"/>
      <c r="I2499" s="438"/>
      <c r="J2499" s="438"/>
    </row>
    <row r="2500" spans="1:10" x14ac:dyDescent="0.25">
      <c r="A2500" s="274"/>
      <c r="B2500" s="498"/>
      <c r="C2500" s="287"/>
      <c r="D2500" s="288"/>
      <c r="E2500" s="288"/>
      <c r="F2500" s="438"/>
      <c r="G2500" s="438"/>
      <c r="H2500" s="438"/>
      <c r="I2500" s="438"/>
      <c r="J2500" s="438"/>
    </row>
    <row r="2501" spans="1:10" x14ac:dyDescent="0.25">
      <c r="A2501" s="274"/>
      <c r="B2501" s="498"/>
      <c r="C2501" s="287"/>
      <c r="D2501" s="288"/>
      <c r="E2501" s="288"/>
      <c r="F2501" s="438"/>
      <c r="G2501" s="438"/>
      <c r="H2501" s="438"/>
      <c r="I2501" s="438"/>
      <c r="J2501" s="438"/>
    </row>
    <row r="2502" spans="1:10" x14ac:dyDescent="0.25">
      <c r="A2502" s="274"/>
      <c r="B2502" s="498"/>
      <c r="C2502" s="287"/>
      <c r="D2502" s="288"/>
      <c r="E2502" s="288"/>
      <c r="F2502" s="438"/>
      <c r="G2502" s="438"/>
      <c r="H2502" s="438"/>
      <c r="I2502" s="438"/>
      <c r="J2502" s="438"/>
    </row>
    <row r="2503" spans="1:10" x14ac:dyDescent="0.25">
      <c r="A2503" s="274"/>
      <c r="B2503" s="498"/>
      <c r="C2503" s="287"/>
      <c r="D2503" s="288"/>
      <c r="E2503" s="288"/>
      <c r="F2503" s="438"/>
      <c r="G2503" s="438"/>
      <c r="H2503" s="438"/>
      <c r="I2503" s="438"/>
      <c r="J2503" s="438"/>
    </row>
    <row r="2504" spans="1:10" x14ac:dyDescent="0.25">
      <c r="A2504" s="274"/>
      <c r="B2504" s="498"/>
      <c r="C2504" s="287"/>
      <c r="D2504" s="288"/>
      <c r="E2504" s="288"/>
      <c r="F2504" s="438"/>
      <c r="G2504" s="438"/>
      <c r="H2504" s="438"/>
      <c r="I2504" s="438"/>
      <c r="J2504" s="438"/>
    </row>
    <row r="2505" spans="1:10" x14ac:dyDescent="0.25">
      <c r="A2505" s="274"/>
      <c r="B2505" s="498"/>
      <c r="C2505" s="287"/>
      <c r="D2505" s="288"/>
      <c r="E2505" s="288"/>
      <c r="F2505" s="438"/>
      <c r="G2505" s="438"/>
      <c r="H2505" s="438"/>
      <c r="I2505" s="438"/>
      <c r="J2505" s="438"/>
    </row>
    <row r="2506" spans="1:10" x14ac:dyDescent="0.25">
      <c r="A2506" s="274"/>
      <c r="B2506" s="498"/>
      <c r="C2506" s="287"/>
      <c r="D2506" s="288"/>
      <c r="E2506" s="288"/>
      <c r="F2506" s="438"/>
      <c r="G2506" s="438"/>
      <c r="H2506" s="438"/>
      <c r="I2506" s="438"/>
      <c r="J2506" s="438"/>
    </row>
    <row r="2507" spans="1:10" x14ac:dyDescent="0.25">
      <c r="A2507" s="274"/>
      <c r="B2507" s="498"/>
      <c r="C2507" s="287"/>
      <c r="D2507" s="288"/>
      <c r="E2507" s="288"/>
      <c r="F2507" s="438"/>
      <c r="G2507" s="438"/>
      <c r="H2507" s="438"/>
      <c r="I2507" s="438"/>
      <c r="J2507" s="438"/>
    </row>
    <row r="2508" spans="1:10" x14ac:dyDescent="0.25">
      <c r="A2508" s="274"/>
      <c r="B2508" s="498"/>
      <c r="C2508" s="287"/>
      <c r="D2508" s="288"/>
      <c r="E2508" s="288"/>
      <c r="F2508" s="438"/>
      <c r="G2508" s="438"/>
      <c r="H2508" s="438"/>
      <c r="I2508" s="438"/>
      <c r="J2508" s="438"/>
    </row>
    <row r="2509" spans="1:10" x14ac:dyDescent="0.25">
      <c r="A2509" s="274"/>
      <c r="B2509" s="498"/>
      <c r="C2509" s="287"/>
      <c r="D2509" s="288"/>
      <c r="E2509" s="288"/>
      <c r="F2509" s="438"/>
      <c r="G2509" s="438"/>
      <c r="H2509" s="438"/>
      <c r="I2509" s="438"/>
      <c r="J2509" s="438"/>
    </row>
    <row r="2510" spans="1:10" x14ac:dyDescent="0.25">
      <c r="A2510" s="274"/>
      <c r="B2510" s="498"/>
      <c r="C2510" s="287"/>
      <c r="D2510" s="288"/>
      <c r="E2510" s="288"/>
      <c r="F2510" s="438"/>
      <c r="G2510" s="438"/>
      <c r="H2510" s="438"/>
      <c r="I2510" s="438"/>
      <c r="J2510" s="438"/>
    </row>
    <row r="2511" spans="1:10" x14ac:dyDescent="0.25">
      <c r="A2511" s="274"/>
      <c r="B2511" s="498"/>
      <c r="C2511" s="287"/>
      <c r="D2511" s="288"/>
      <c r="E2511" s="288"/>
      <c r="F2511" s="438"/>
      <c r="G2511" s="438"/>
      <c r="H2511" s="438"/>
      <c r="I2511" s="438"/>
      <c r="J2511" s="438"/>
    </row>
    <row r="2512" spans="1:10" x14ac:dyDescent="0.25">
      <c r="A2512" s="274"/>
      <c r="B2512" s="498"/>
      <c r="C2512" s="287"/>
      <c r="D2512" s="288"/>
      <c r="E2512" s="288"/>
      <c r="F2512" s="438"/>
      <c r="G2512" s="438"/>
      <c r="H2512" s="438"/>
      <c r="I2512" s="438"/>
      <c r="J2512" s="438"/>
    </row>
    <row r="2513" spans="1:10" x14ac:dyDescent="0.25">
      <c r="A2513" s="274"/>
      <c r="B2513" s="498"/>
      <c r="C2513" s="287"/>
      <c r="D2513" s="288"/>
      <c r="E2513" s="288"/>
      <c r="F2513" s="438"/>
      <c r="G2513" s="438"/>
      <c r="H2513" s="438"/>
      <c r="I2513" s="438"/>
      <c r="J2513" s="438"/>
    </row>
    <row r="2514" spans="1:10" x14ac:dyDescent="0.25">
      <c r="A2514" s="274"/>
      <c r="B2514" s="498"/>
      <c r="C2514" s="287"/>
      <c r="D2514" s="288"/>
      <c r="E2514" s="288"/>
      <c r="F2514" s="438"/>
      <c r="G2514" s="438"/>
      <c r="H2514" s="438"/>
      <c r="I2514" s="438"/>
      <c r="J2514" s="438"/>
    </row>
    <row r="2515" spans="1:10" x14ac:dyDescent="0.25">
      <c r="A2515" s="274"/>
      <c r="B2515" s="498"/>
      <c r="C2515" s="287"/>
      <c r="D2515" s="288"/>
      <c r="E2515" s="288"/>
      <c r="F2515" s="438"/>
      <c r="G2515" s="438"/>
      <c r="H2515" s="438"/>
      <c r="I2515" s="438"/>
      <c r="J2515" s="438"/>
    </row>
    <row r="2516" spans="1:10" x14ac:dyDescent="0.25">
      <c r="A2516" s="274"/>
      <c r="B2516" s="498"/>
      <c r="C2516" s="287"/>
      <c r="D2516" s="288"/>
      <c r="E2516" s="288"/>
      <c r="F2516" s="438"/>
      <c r="G2516" s="438"/>
      <c r="H2516" s="438"/>
      <c r="I2516" s="438"/>
      <c r="J2516" s="438"/>
    </row>
    <row r="2517" spans="1:10" x14ac:dyDescent="0.25">
      <c r="A2517" s="274"/>
      <c r="B2517" s="498"/>
      <c r="C2517" s="287"/>
      <c r="D2517" s="288"/>
      <c r="E2517" s="288"/>
      <c r="F2517" s="438"/>
      <c r="G2517" s="438"/>
      <c r="H2517" s="438"/>
      <c r="I2517" s="438"/>
      <c r="J2517" s="438"/>
    </row>
    <row r="2518" spans="1:10" x14ac:dyDescent="0.25">
      <c r="A2518" s="274"/>
      <c r="B2518" s="498"/>
      <c r="C2518" s="287"/>
      <c r="D2518" s="288"/>
      <c r="E2518" s="288"/>
      <c r="F2518" s="438"/>
      <c r="G2518" s="438"/>
      <c r="H2518" s="438"/>
      <c r="I2518" s="438"/>
      <c r="J2518" s="438"/>
    </row>
    <row r="2519" spans="1:10" x14ac:dyDescent="0.25">
      <c r="A2519" s="274"/>
      <c r="B2519" s="498"/>
      <c r="C2519" s="287"/>
      <c r="D2519" s="288"/>
      <c r="E2519" s="288"/>
      <c r="F2519" s="438"/>
      <c r="G2519" s="438"/>
      <c r="H2519" s="438"/>
      <c r="I2519" s="438"/>
      <c r="J2519" s="438"/>
    </row>
    <row r="2520" spans="1:10" x14ac:dyDescent="0.25">
      <c r="A2520" s="274"/>
      <c r="B2520" s="498"/>
      <c r="C2520" s="287"/>
      <c r="D2520" s="288"/>
      <c r="E2520" s="288"/>
      <c r="F2520" s="438"/>
      <c r="G2520" s="438"/>
      <c r="H2520" s="438"/>
      <c r="I2520" s="438"/>
      <c r="J2520" s="438"/>
    </row>
    <row r="2521" spans="1:10" x14ac:dyDescent="0.25">
      <c r="A2521" s="274"/>
      <c r="B2521" s="498"/>
      <c r="C2521" s="287"/>
      <c r="D2521" s="288"/>
      <c r="E2521" s="288"/>
      <c r="F2521" s="438"/>
      <c r="G2521" s="438"/>
      <c r="H2521" s="438"/>
      <c r="I2521" s="438"/>
      <c r="J2521" s="438"/>
    </row>
    <row r="2522" spans="1:10" x14ac:dyDescent="0.25">
      <c r="A2522" s="274"/>
      <c r="B2522" s="498"/>
      <c r="C2522" s="287"/>
      <c r="D2522" s="288"/>
      <c r="E2522" s="288"/>
      <c r="F2522" s="438"/>
      <c r="G2522" s="438"/>
      <c r="H2522" s="438"/>
      <c r="I2522" s="438"/>
      <c r="J2522" s="438"/>
    </row>
    <row r="2523" spans="1:10" x14ac:dyDescent="0.25">
      <c r="A2523" s="274"/>
      <c r="B2523" s="498"/>
      <c r="C2523" s="287"/>
      <c r="D2523" s="288"/>
      <c r="E2523" s="288"/>
      <c r="F2523" s="438"/>
      <c r="G2523" s="438"/>
      <c r="H2523" s="438"/>
      <c r="I2523" s="438"/>
      <c r="J2523" s="438"/>
    </row>
    <row r="2524" spans="1:10" x14ac:dyDescent="0.25">
      <c r="A2524" s="274"/>
      <c r="B2524" s="498"/>
      <c r="C2524" s="287"/>
      <c r="D2524" s="288"/>
      <c r="E2524" s="288"/>
      <c r="F2524" s="438"/>
      <c r="G2524" s="438"/>
      <c r="H2524" s="438"/>
      <c r="I2524" s="438"/>
      <c r="J2524" s="438"/>
    </row>
    <row r="2525" spans="1:10" x14ac:dyDescent="0.25">
      <c r="A2525" s="274"/>
      <c r="B2525" s="498"/>
      <c r="C2525" s="287"/>
      <c r="D2525" s="288"/>
      <c r="E2525" s="288"/>
      <c r="F2525" s="438"/>
      <c r="G2525" s="438"/>
      <c r="H2525" s="438"/>
      <c r="I2525" s="438"/>
      <c r="J2525" s="438"/>
    </row>
    <row r="2526" spans="1:10" x14ac:dyDescent="0.25">
      <c r="A2526" s="274"/>
      <c r="B2526" s="498"/>
      <c r="C2526" s="287"/>
      <c r="D2526" s="288"/>
      <c r="E2526" s="288"/>
      <c r="F2526" s="438"/>
      <c r="G2526" s="438"/>
      <c r="H2526" s="438"/>
      <c r="I2526" s="438"/>
      <c r="J2526" s="438"/>
    </row>
    <row r="2527" spans="1:10" x14ac:dyDescent="0.25">
      <c r="A2527" s="274"/>
      <c r="B2527" s="498"/>
      <c r="C2527" s="287"/>
      <c r="D2527" s="288"/>
      <c r="E2527" s="288"/>
      <c r="F2527" s="438"/>
      <c r="G2527" s="438"/>
      <c r="H2527" s="438"/>
      <c r="I2527" s="438"/>
      <c r="J2527" s="438"/>
    </row>
    <row r="2528" spans="1:10" x14ac:dyDescent="0.25">
      <c r="A2528" s="274"/>
      <c r="B2528" s="498"/>
      <c r="C2528" s="287"/>
      <c r="D2528" s="288"/>
      <c r="E2528" s="288"/>
      <c r="F2528" s="438"/>
      <c r="G2528" s="438"/>
      <c r="H2528" s="438"/>
      <c r="I2528" s="438"/>
      <c r="J2528" s="438"/>
    </row>
    <row r="2529" spans="1:10" x14ac:dyDescent="0.25">
      <c r="A2529" s="274"/>
      <c r="B2529" s="498"/>
      <c r="C2529" s="287"/>
      <c r="D2529" s="288"/>
      <c r="E2529" s="288"/>
      <c r="F2529" s="438"/>
      <c r="G2529" s="438"/>
      <c r="H2529" s="438"/>
      <c r="I2529" s="438"/>
      <c r="J2529" s="438"/>
    </row>
    <row r="2530" spans="1:10" x14ac:dyDescent="0.25">
      <c r="A2530" s="274"/>
      <c r="B2530" s="498"/>
      <c r="C2530" s="287"/>
      <c r="D2530" s="288"/>
      <c r="E2530" s="288"/>
      <c r="F2530" s="438"/>
      <c r="G2530" s="438"/>
      <c r="H2530" s="438"/>
      <c r="I2530" s="438"/>
      <c r="J2530" s="438"/>
    </row>
    <row r="2531" spans="1:10" x14ac:dyDescent="0.25">
      <c r="A2531" s="274"/>
      <c r="B2531" s="498"/>
      <c r="C2531" s="287"/>
      <c r="D2531" s="288"/>
      <c r="E2531" s="288"/>
      <c r="F2531" s="438"/>
      <c r="G2531" s="438"/>
      <c r="H2531" s="438"/>
      <c r="I2531" s="438"/>
      <c r="J2531" s="438"/>
    </row>
    <row r="2532" spans="1:10" x14ac:dyDescent="0.25">
      <c r="A2532" s="274"/>
      <c r="B2532" s="498"/>
      <c r="C2532" s="287"/>
      <c r="D2532" s="288"/>
      <c r="E2532" s="288"/>
      <c r="F2532" s="438"/>
      <c r="G2532" s="438"/>
      <c r="H2532" s="438"/>
      <c r="I2532" s="438"/>
      <c r="J2532" s="438"/>
    </row>
    <row r="2533" spans="1:10" x14ac:dyDescent="0.25">
      <c r="A2533" s="274"/>
      <c r="B2533" s="498"/>
      <c r="C2533" s="287"/>
      <c r="D2533" s="288"/>
      <c r="E2533" s="288"/>
      <c r="F2533" s="438"/>
      <c r="G2533" s="438"/>
      <c r="H2533" s="438"/>
      <c r="I2533" s="438"/>
      <c r="J2533" s="438"/>
    </row>
    <row r="2534" spans="1:10" x14ac:dyDescent="0.25">
      <c r="A2534" s="274"/>
      <c r="B2534" s="498"/>
      <c r="C2534" s="287"/>
      <c r="D2534" s="288"/>
      <c r="E2534" s="288"/>
      <c r="F2534" s="438"/>
      <c r="G2534" s="438"/>
      <c r="H2534" s="438"/>
      <c r="I2534" s="438"/>
      <c r="J2534" s="438"/>
    </row>
    <row r="2535" spans="1:10" x14ac:dyDescent="0.25">
      <c r="A2535" s="274"/>
      <c r="B2535" s="498"/>
      <c r="C2535" s="287"/>
      <c r="D2535" s="288"/>
      <c r="E2535" s="288"/>
      <c r="F2535" s="438"/>
      <c r="G2535" s="438"/>
      <c r="H2535" s="438"/>
      <c r="I2535" s="438"/>
      <c r="J2535" s="438"/>
    </row>
    <row r="2536" spans="1:10" x14ac:dyDescent="0.25">
      <c r="A2536" s="274"/>
      <c r="B2536" s="498"/>
      <c r="C2536" s="287"/>
      <c r="D2536" s="288"/>
      <c r="E2536" s="288"/>
      <c r="F2536" s="438"/>
      <c r="G2536" s="438"/>
      <c r="H2536" s="438"/>
      <c r="I2536" s="438"/>
      <c r="J2536" s="438"/>
    </row>
    <row r="2537" spans="1:10" x14ac:dyDescent="0.25">
      <c r="A2537" s="274"/>
      <c r="B2537" s="498"/>
      <c r="C2537" s="287"/>
      <c r="D2537" s="288"/>
      <c r="E2537" s="288"/>
      <c r="F2537" s="438"/>
      <c r="G2537" s="438"/>
      <c r="H2537" s="438"/>
      <c r="I2537" s="438"/>
      <c r="J2537" s="438"/>
    </row>
    <row r="2538" spans="1:10" x14ac:dyDescent="0.25">
      <c r="A2538" s="274"/>
      <c r="B2538" s="498"/>
      <c r="C2538" s="287"/>
      <c r="D2538" s="288"/>
      <c r="E2538" s="288"/>
      <c r="F2538" s="438"/>
      <c r="G2538" s="438"/>
      <c r="H2538" s="438"/>
      <c r="I2538" s="438"/>
      <c r="J2538" s="438"/>
    </row>
    <row r="2539" spans="1:10" x14ac:dyDescent="0.25">
      <c r="A2539" s="274"/>
      <c r="B2539" s="498"/>
      <c r="C2539" s="287"/>
      <c r="D2539" s="288"/>
      <c r="E2539" s="288"/>
      <c r="F2539" s="438"/>
      <c r="G2539" s="438"/>
      <c r="H2539" s="438"/>
      <c r="I2539" s="438"/>
      <c r="J2539" s="438"/>
    </row>
    <row r="2540" spans="1:10" x14ac:dyDescent="0.25">
      <c r="A2540" s="274"/>
      <c r="B2540" s="498"/>
      <c r="C2540" s="287"/>
      <c r="D2540" s="288"/>
      <c r="E2540" s="288"/>
      <c r="F2540" s="438"/>
      <c r="G2540" s="438"/>
      <c r="H2540" s="438"/>
      <c r="I2540" s="438"/>
      <c r="J2540" s="438"/>
    </row>
    <row r="2541" spans="1:10" x14ac:dyDescent="0.25">
      <c r="A2541" s="274"/>
      <c r="B2541" s="498"/>
      <c r="C2541" s="287"/>
      <c r="D2541" s="288"/>
      <c r="E2541" s="288"/>
      <c r="F2541" s="438"/>
      <c r="G2541" s="438"/>
      <c r="H2541" s="438"/>
      <c r="I2541" s="438"/>
      <c r="J2541" s="438"/>
    </row>
    <row r="2542" spans="1:10" x14ac:dyDescent="0.25">
      <c r="A2542" s="274"/>
      <c r="B2542" s="498"/>
      <c r="C2542" s="287"/>
      <c r="D2542" s="288"/>
      <c r="E2542" s="288"/>
      <c r="F2542" s="438"/>
      <c r="G2542" s="438"/>
      <c r="H2542" s="438"/>
      <c r="I2542" s="438"/>
      <c r="J2542" s="438"/>
    </row>
    <row r="2543" spans="1:10" x14ac:dyDescent="0.25">
      <c r="A2543" s="274"/>
      <c r="B2543" s="498"/>
      <c r="C2543" s="287"/>
      <c r="D2543" s="288"/>
      <c r="E2543" s="288"/>
      <c r="F2543" s="438"/>
      <c r="G2543" s="438"/>
      <c r="H2543" s="438"/>
      <c r="I2543" s="438"/>
      <c r="J2543" s="438"/>
    </row>
    <row r="2544" spans="1:10" x14ac:dyDescent="0.25">
      <c r="A2544" s="274"/>
      <c r="B2544" s="498"/>
      <c r="C2544" s="287"/>
      <c r="D2544" s="288"/>
      <c r="E2544" s="288"/>
      <c r="F2544" s="438"/>
      <c r="G2544" s="438"/>
      <c r="H2544" s="438"/>
      <c r="I2544" s="438"/>
      <c r="J2544" s="438"/>
    </row>
    <row r="2545" spans="1:10" x14ac:dyDescent="0.25">
      <c r="A2545" s="274"/>
      <c r="B2545" s="498"/>
      <c r="C2545" s="287"/>
      <c r="D2545" s="288"/>
      <c r="E2545" s="288"/>
      <c r="F2545" s="438"/>
      <c r="G2545" s="438"/>
      <c r="H2545" s="438"/>
      <c r="I2545" s="438"/>
      <c r="J2545" s="438"/>
    </row>
    <row r="2546" spans="1:10" x14ac:dyDescent="0.25">
      <c r="A2546" s="274"/>
      <c r="B2546" s="498"/>
      <c r="C2546" s="287"/>
      <c r="D2546" s="288"/>
      <c r="E2546" s="288"/>
      <c r="F2546" s="438"/>
      <c r="G2546" s="438"/>
      <c r="H2546" s="438"/>
      <c r="I2546" s="438"/>
      <c r="J2546" s="438"/>
    </row>
    <row r="2547" spans="1:10" x14ac:dyDescent="0.25">
      <c r="A2547" s="274"/>
      <c r="B2547" s="498"/>
      <c r="C2547" s="287"/>
      <c r="D2547" s="288"/>
      <c r="E2547" s="288"/>
      <c r="F2547" s="438"/>
      <c r="G2547" s="438"/>
      <c r="H2547" s="438"/>
      <c r="I2547" s="438"/>
      <c r="J2547" s="438"/>
    </row>
    <row r="2548" spans="1:10" x14ac:dyDescent="0.25">
      <c r="A2548" s="274"/>
      <c r="B2548" s="498"/>
      <c r="C2548" s="287"/>
      <c r="D2548" s="288"/>
      <c r="E2548" s="288"/>
      <c r="F2548" s="438"/>
      <c r="G2548" s="438"/>
      <c r="H2548" s="438"/>
      <c r="I2548" s="438"/>
      <c r="J2548" s="438"/>
    </row>
    <row r="2549" spans="1:10" x14ac:dyDescent="0.25">
      <c r="A2549" s="274"/>
      <c r="B2549" s="498"/>
      <c r="C2549" s="287"/>
      <c r="D2549" s="288"/>
      <c r="E2549" s="288"/>
      <c r="F2549" s="438"/>
      <c r="G2549" s="438"/>
      <c r="H2549" s="438"/>
      <c r="I2549" s="438"/>
      <c r="J2549" s="438"/>
    </row>
    <row r="2550" spans="1:10" x14ac:dyDescent="0.25">
      <c r="A2550" s="274"/>
      <c r="B2550" s="498"/>
      <c r="C2550" s="287"/>
      <c r="D2550" s="288"/>
      <c r="E2550" s="288"/>
      <c r="F2550" s="438"/>
      <c r="G2550" s="438"/>
      <c r="H2550" s="438"/>
      <c r="I2550" s="438"/>
      <c r="J2550" s="438"/>
    </row>
    <row r="2551" spans="1:10" x14ac:dyDescent="0.25">
      <c r="A2551" s="274"/>
      <c r="B2551" s="498"/>
      <c r="C2551" s="287"/>
      <c r="D2551" s="288"/>
      <c r="E2551" s="288"/>
      <c r="F2551" s="438"/>
      <c r="G2551" s="438"/>
      <c r="H2551" s="438"/>
      <c r="I2551" s="438"/>
      <c r="J2551" s="438"/>
    </row>
    <row r="2552" spans="1:10" x14ac:dyDescent="0.25">
      <c r="A2552" s="274"/>
      <c r="B2552" s="498"/>
      <c r="C2552" s="287"/>
      <c r="D2552" s="288"/>
      <c r="E2552" s="288"/>
      <c r="F2552" s="438"/>
      <c r="G2552" s="438"/>
      <c r="H2552" s="438"/>
      <c r="I2552" s="438"/>
      <c r="J2552" s="438"/>
    </row>
    <row r="2553" spans="1:10" x14ac:dyDescent="0.25">
      <c r="A2553" s="274"/>
      <c r="B2553" s="498"/>
      <c r="C2553" s="287"/>
      <c r="D2553" s="288"/>
      <c r="E2553" s="288"/>
      <c r="F2553" s="438"/>
      <c r="G2553" s="438"/>
      <c r="H2553" s="438"/>
      <c r="I2553" s="438"/>
      <c r="J2553" s="438"/>
    </row>
    <row r="2554" spans="1:10" x14ac:dyDescent="0.25">
      <c r="A2554" s="274"/>
      <c r="B2554" s="498"/>
      <c r="C2554" s="287"/>
      <c r="D2554" s="288"/>
      <c r="E2554" s="288"/>
      <c r="F2554" s="438"/>
      <c r="G2554" s="438"/>
      <c r="H2554" s="438"/>
      <c r="I2554" s="438"/>
      <c r="J2554" s="438"/>
    </row>
    <row r="2555" spans="1:10" x14ac:dyDescent="0.25">
      <c r="A2555" s="274"/>
      <c r="B2555" s="498"/>
      <c r="C2555" s="287"/>
      <c r="D2555" s="288"/>
      <c r="E2555" s="288"/>
      <c r="F2555" s="438"/>
      <c r="G2555" s="438"/>
      <c r="H2555" s="438"/>
      <c r="I2555" s="438"/>
      <c r="J2555" s="438"/>
    </row>
    <row r="2556" spans="1:10" x14ac:dyDescent="0.25">
      <c r="A2556" s="274"/>
      <c r="B2556" s="498"/>
      <c r="C2556" s="287"/>
      <c r="D2556" s="288"/>
      <c r="E2556" s="288"/>
      <c r="F2556" s="438"/>
      <c r="G2556" s="438"/>
      <c r="H2556" s="438"/>
      <c r="I2556" s="438"/>
      <c r="J2556" s="438"/>
    </row>
    <row r="2557" spans="1:10" x14ac:dyDescent="0.25">
      <c r="A2557" s="274"/>
      <c r="B2557" s="498"/>
      <c r="C2557" s="287"/>
      <c r="D2557" s="288"/>
      <c r="E2557" s="288"/>
      <c r="F2557" s="438"/>
      <c r="G2557" s="438"/>
      <c r="H2557" s="438"/>
      <c r="I2557" s="438"/>
      <c r="J2557" s="438"/>
    </row>
    <row r="2558" spans="1:10" x14ac:dyDescent="0.25">
      <c r="A2558" s="274"/>
      <c r="B2558" s="498"/>
      <c r="C2558" s="287"/>
      <c r="D2558" s="288"/>
      <c r="E2558" s="288"/>
      <c r="F2558" s="438"/>
      <c r="G2558" s="438"/>
      <c r="H2558" s="438"/>
      <c r="I2558" s="438"/>
      <c r="J2558" s="438"/>
    </row>
    <row r="2559" spans="1:10" x14ac:dyDescent="0.25">
      <c r="A2559" s="274"/>
      <c r="B2559" s="498"/>
      <c r="C2559" s="287"/>
      <c r="D2559" s="288"/>
      <c r="E2559" s="288"/>
      <c r="F2559" s="438"/>
      <c r="G2559" s="438"/>
      <c r="H2559" s="438"/>
      <c r="I2559" s="438"/>
      <c r="J2559" s="438"/>
    </row>
    <row r="2560" spans="1:10" x14ac:dyDescent="0.25">
      <c r="A2560" s="274"/>
      <c r="B2560" s="498"/>
      <c r="C2560" s="287"/>
      <c r="D2560" s="288"/>
      <c r="E2560" s="288"/>
      <c r="F2560" s="438"/>
      <c r="G2560" s="438"/>
      <c r="H2560" s="438"/>
      <c r="I2560" s="438"/>
      <c r="J2560" s="438"/>
    </row>
    <row r="2561" spans="1:10" x14ac:dyDescent="0.25">
      <c r="A2561" s="274"/>
      <c r="B2561" s="498"/>
      <c r="C2561" s="287"/>
      <c r="D2561" s="288"/>
      <c r="E2561" s="288"/>
      <c r="F2561" s="438"/>
      <c r="G2561" s="438"/>
      <c r="H2561" s="438"/>
      <c r="I2561" s="438"/>
      <c r="J2561" s="438"/>
    </row>
    <row r="2562" spans="1:10" x14ac:dyDescent="0.25">
      <c r="A2562" s="274"/>
      <c r="B2562" s="498"/>
      <c r="C2562" s="287"/>
      <c r="D2562" s="288"/>
      <c r="E2562" s="288"/>
      <c r="F2562" s="438"/>
      <c r="G2562" s="438"/>
      <c r="H2562" s="438"/>
      <c r="I2562" s="438"/>
      <c r="J2562" s="438"/>
    </row>
    <row r="2563" spans="1:10" x14ac:dyDescent="0.25">
      <c r="A2563" s="274"/>
      <c r="B2563" s="498"/>
      <c r="C2563" s="287"/>
      <c r="D2563" s="288"/>
      <c r="E2563" s="288"/>
      <c r="F2563" s="438"/>
      <c r="G2563" s="438"/>
      <c r="H2563" s="438"/>
      <c r="I2563" s="438"/>
      <c r="J2563" s="438"/>
    </row>
    <row r="2564" spans="1:10" x14ac:dyDescent="0.25">
      <c r="A2564" s="274"/>
      <c r="B2564" s="498"/>
      <c r="C2564" s="287"/>
      <c r="D2564" s="288"/>
      <c r="E2564" s="288"/>
      <c r="F2564" s="438"/>
      <c r="G2564" s="438"/>
      <c r="H2564" s="438"/>
      <c r="I2564" s="438"/>
      <c r="J2564" s="438"/>
    </row>
    <row r="2565" spans="1:10" x14ac:dyDescent="0.25">
      <c r="A2565" s="274"/>
      <c r="B2565" s="498"/>
      <c r="C2565" s="287"/>
      <c r="D2565" s="288"/>
      <c r="E2565" s="288"/>
      <c r="F2565" s="438"/>
      <c r="G2565" s="438"/>
      <c r="H2565" s="438"/>
      <c r="I2565" s="438"/>
      <c r="J2565" s="438"/>
    </row>
    <row r="2566" spans="1:10" x14ac:dyDescent="0.25">
      <c r="A2566" s="274"/>
      <c r="B2566" s="498"/>
      <c r="C2566" s="287"/>
      <c r="D2566" s="288"/>
      <c r="E2566" s="288"/>
      <c r="F2566" s="438"/>
      <c r="G2566" s="438"/>
      <c r="H2566" s="438"/>
      <c r="I2566" s="438"/>
      <c r="J2566" s="438"/>
    </row>
    <row r="2567" spans="1:10" x14ac:dyDescent="0.25">
      <c r="A2567" s="274"/>
      <c r="B2567" s="498"/>
      <c r="C2567" s="287"/>
      <c r="D2567" s="288"/>
      <c r="E2567" s="288"/>
      <c r="F2567" s="438"/>
      <c r="G2567" s="438"/>
      <c r="H2567" s="438"/>
      <c r="I2567" s="438"/>
      <c r="J2567" s="438"/>
    </row>
    <row r="2568" spans="1:10" x14ac:dyDescent="0.25">
      <c r="A2568" s="274"/>
      <c r="B2568" s="498"/>
      <c r="C2568" s="287"/>
      <c r="D2568" s="288"/>
      <c r="E2568" s="288"/>
      <c r="F2568" s="438"/>
      <c r="G2568" s="438"/>
      <c r="H2568" s="438"/>
      <c r="I2568" s="438"/>
      <c r="J2568" s="438"/>
    </row>
    <row r="2569" spans="1:10" x14ac:dyDescent="0.25">
      <c r="A2569" s="274"/>
      <c r="B2569" s="498"/>
      <c r="C2569" s="287"/>
      <c r="D2569" s="288"/>
      <c r="E2569" s="288"/>
      <c r="F2569" s="438"/>
      <c r="G2569" s="438"/>
      <c r="H2569" s="438"/>
      <c r="I2569" s="438"/>
      <c r="J2569" s="438"/>
    </row>
    <row r="2570" spans="1:10" x14ac:dyDescent="0.25">
      <c r="A2570" s="274"/>
      <c r="B2570" s="498"/>
      <c r="C2570" s="287"/>
      <c r="D2570" s="288"/>
      <c r="E2570" s="288"/>
      <c r="F2570" s="438"/>
      <c r="G2570" s="438"/>
      <c r="H2570" s="438"/>
      <c r="I2570" s="438"/>
      <c r="J2570" s="438"/>
    </row>
    <row r="2571" spans="1:10" x14ac:dyDescent="0.25">
      <c r="A2571" s="274"/>
      <c r="B2571" s="498"/>
      <c r="C2571" s="287"/>
      <c r="D2571" s="288"/>
      <c r="E2571" s="288"/>
      <c r="F2571" s="438"/>
      <c r="G2571" s="438"/>
      <c r="H2571" s="438"/>
      <c r="I2571" s="438"/>
      <c r="J2571" s="438"/>
    </row>
    <row r="2572" spans="1:10" x14ac:dyDescent="0.25">
      <c r="A2572" s="274"/>
      <c r="B2572" s="498"/>
      <c r="C2572" s="287"/>
      <c r="D2572" s="288"/>
      <c r="E2572" s="288"/>
      <c r="F2572" s="438"/>
      <c r="G2572" s="438"/>
      <c r="H2572" s="438"/>
      <c r="I2572" s="438"/>
      <c r="J2572" s="438"/>
    </row>
    <row r="2573" spans="1:10" x14ac:dyDescent="0.25">
      <c r="A2573" s="274"/>
      <c r="B2573" s="498"/>
      <c r="C2573" s="287"/>
      <c r="D2573" s="288"/>
      <c r="E2573" s="288"/>
      <c r="F2573" s="438"/>
      <c r="G2573" s="438"/>
      <c r="H2573" s="438"/>
      <c r="I2573" s="438"/>
      <c r="J2573" s="438"/>
    </row>
    <row r="2574" spans="1:10" x14ac:dyDescent="0.25">
      <c r="A2574" s="274"/>
      <c r="B2574" s="498"/>
      <c r="C2574" s="287"/>
      <c r="D2574" s="288"/>
      <c r="E2574" s="288"/>
      <c r="F2574" s="438"/>
      <c r="G2574" s="438"/>
      <c r="H2574" s="438"/>
      <c r="I2574" s="438"/>
      <c r="J2574" s="438"/>
    </row>
    <row r="2575" spans="1:10" x14ac:dyDescent="0.25">
      <c r="A2575" s="274"/>
      <c r="B2575" s="498"/>
      <c r="C2575" s="287"/>
      <c r="D2575" s="288"/>
      <c r="E2575" s="288"/>
      <c r="F2575" s="438"/>
      <c r="G2575" s="438"/>
      <c r="H2575" s="438"/>
      <c r="I2575" s="438"/>
      <c r="J2575" s="438"/>
    </row>
    <row r="2576" spans="1:10" x14ac:dyDescent="0.25">
      <c r="A2576" s="274"/>
      <c r="B2576" s="498"/>
      <c r="C2576" s="287"/>
      <c r="D2576" s="288"/>
      <c r="E2576" s="288"/>
      <c r="F2576" s="438"/>
      <c r="G2576" s="438"/>
      <c r="H2576" s="438"/>
      <c r="I2576" s="438"/>
      <c r="J2576" s="438"/>
    </row>
    <row r="2577" spans="1:10" x14ac:dyDescent="0.25">
      <c r="A2577" s="274"/>
      <c r="B2577" s="498"/>
      <c r="C2577" s="287"/>
      <c r="D2577" s="288"/>
      <c r="E2577" s="288"/>
      <c r="F2577" s="438"/>
      <c r="G2577" s="438"/>
      <c r="H2577" s="438"/>
      <c r="I2577" s="438"/>
      <c r="J2577" s="438"/>
    </row>
    <row r="2578" spans="1:10" x14ac:dyDescent="0.25">
      <c r="A2578" s="274"/>
      <c r="B2578" s="498"/>
      <c r="C2578" s="287"/>
      <c r="D2578" s="288"/>
      <c r="E2578" s="288"/>
      <c r="F2578" s="438"/>
      <c r="G2578" s="438"/>
      <c r="H2578" s="438"/>
      <c r="I2578" s="438"/>
      <c r="J2578" s="438"/>
    </row>
    <row r="2579" spans="1:10" x14ac:dyDescent="0.25">
      <c r="A2579" s="274"/>
      <c r="B2579" s="498"/>
      <c r="C2579" s="287"/>
      <c r="D2579" s="288"/>
      <c r="E2579" s="288"/>
      <c r="F2579" s="438"/>
      <c r="G2579" s="438"/>
      <c r="H2579" s="438"/>
      <c r="I2579" s="438"/>
      <c r="J2579" s="438"/>
    </row>
    <row r="2580" spans="1:10" x14ac:dyDescent="0.25">
      <c r="A2580" s="274"/>
      <c r="B2580" s="498"/>
      <c r="C2580" s="287"/>
      <c r="D2580" s="288"/>
      <c r="E2580" s="288"/>
      <c r="F2580" s="438"/>
      <c r="G2580" s="438"/>
      <c r="H2580" s="438"/>
      <c r="I2580" s="438"/>
      <c r="J2580" s="438"/>
    </row>
    <row r="2581" spans="1:10" x14ac:dyDescent="0.25">
      <c r="A2581" s="274"/>
      <c r="B2581" s="498"/>
      <c r="C2581" s="287"/>
      <c r="D2581" s="288"/>
      <c r="E2581" s="288"/>
      <c r="F2581" s="438"/>
      <c r="G2581" s="438"/>
      <c r="H2581" s="438"/>
      <c r="I2581" s="438"/>
      <c r="J2581" s="438"/>
    </row>
    <row r="2582" spans="1:10" x14ac:dyDescent="0.25">
      <c r="A2582" s="274"/>
      <c r="B2582" s="498"/>
      <c r="C2582" s="287"/>
      <c r="D2582" s="288"/>
      <c r="E2582" s="288"/>
      <c r="F2582" s="438"/>
      <c r="G2582" s="438"/>
      <c r="H2582" s="438"/>
      <c r="I2582" s="438"/>
      <c r="J2582" s="438"/>
    </row>
    <row r="2583" spans="1:10" x14ac:dyDescent="0.25">
      <c r="A2583" s="274"/>
      <c r="B2583" s="498"/>
      <c r="C2583" s="287"/>
      <c r="D2583" s="288"/>
      <c r="E2583" s="288"/>
      <c r="F2583" s="438"/>
      <c r="G2583" s="438"/>
      <c r="H2583" s="438"/>
      <c r="I2583" s="438"/>
      <c r="J2583" s="438"/>
    </row>
    <row r="2584" spans="1:10" x14ac:dyDescent="0.25">
      <c r="A2584" s="274"/>
      <c r="B2584" s="498"/>
      <c r="C2584" s="287"/>
      <c r="D2584" s="288"/>
      <c r="E2584" s="288"/>
      <c r="F2584" s="438"/>
      <c r="G2584" s="438"/>
      <c r="H2584" s="438"/>
      <c r="I2584" s="438"/>
      <c r="J2584" s="438"/>
    </row>
    <row r="2585" spans="1:10" x14ac:dyDescent="0.25">
      <c r="A2585" s="274"/>
      <c r="B2585" s="498"/>
      <c r="C2585" s="287"/>
      <c r="D2585" s="288"/>
      <c r="E2585" s="288"/>
      <c r="F2585" s="438"/>
      <c r="G2585" s="438"/>
      <c r="H2585" s="438"/>
      <c r="I2585" s="438"/>
      <c r="J2585" s="438"/>
    </row>
    <row r="2586" spans="1:10" x14ac:dyDescent="0.25">
      <c r="A2586" s="274"/>
      <c r="B2586" s="498"/>
      <c r="C2586" s="287"/>
      <c r="D2586" s="288"/>
      <c r="E2586" s="288"/>
      <c r="F2586" s="438"/>
      <c r="G2586" s="438"/>
      <c r="H2586" s="438"/>
      <c r="I2586" s="438"/>
      <c r="J2586" s="438"/>
    </row>
    <row r="2587" spans="1:10" x14ac:dyDescent="0.25">
      <c r="A2587" s="274"/>
      <c r="B2587" s="498"/>
      <c r="C2587" s="287"/>
      <c r="D2587" s="288"/>
      <c r="E2587" s="288"/>
      <c r="F2587" s="438"/>
      <c r="G2587" s="438"/>
      <c r="H2587" s="438"/>
      <c r="I2587" s="438"/>
      <c r="J2587" s="438"/>
    </row>
    <row r="2588" spans="1:10" x14ac:dyDescent="0.25">
      <c r="A2588" s="274"/>
      <c r="B2588" s="498"/>
      <c r="C2588" s="287"/>
      <c r="D2588" s="288"/>
      <c r="E2588" s="288"/>
      <c r="F2588" s="438"/>
      <c r="G2588" s="438"/>
      <c r="H2588" s="438"/>
      <c r="I2588" s="438"/>
      <c r="J2588" s="438"/>
    </row>
    <row r="2589" spans="1:10" x14ac:dyDescent="0.25">
      <c r="A2589" s="274"/>
      <c r="B2589" s="498"/>
      <c r="C2589" s="287"/>
      <c r="D2589" s="288"/>
      <c r="E2589" s="288"/>
      <c r="F2589" s="438"/>
      <c r="G2589" s="438"/>
      <c r="H2589" s="438"/>
      <c r="I2589" s="438"/>
      <c r="J2589" s="438"/>
    </row>
    <row r="2590" spans="1:10" x14ac:dyDescent="0.25">
      <c r="A2590" s="274"/>
      <c r="B2590" s="498"/>
      <c r="C2590" s="287"/>
      <c r="D2590" s="288"/>
      <c r="E2590" s="288"/>
      <c r="F2590" s="438"/>
      <c r="G2590" s="438"/>
      <c r="H2590" s="438"/>
      <c r="I2590" s="438"/>
      <c r="J2590" s="438"/>
    </row>
    <row r="2591" spans="1:10" x14ac:dyDescent="0.25">
      <c r="A2591" s="274"/>
      <c r="B2591" s="498"/>
      <c r="C2591" s="287"/>
      <c r="D2591" s="288"/>
      <c r="E2591" s="288"/>
      <c r="F2591" s="438"/>
      <c r="G2591" s="438"/>
      <c r="H2591" s="438"/>
      <c r="I2591" s="438"/>
      <c r="J2591" s="438"/>
    </row>
    <row r="2592" spans="1:10" x14ac:dyDescent="0.25">
      <c r="A2592" s="274"/>
      <c r="B2592" s="498"/>
      <c r="C2592" s="287"/>
      <c r="D2592" s="288"/>
      <c r="E2592" s="288"/>
      <c r="F2592" s="438"/>
      <c r="G2592" s="438"/>
      <c r="H2592" s="438"/>
      <c r="I2592" s="438"/>
      <c r="J2592" s="438"/>
    </row>
    <row r="2593" spans="1:10" x14ac:dyDescent="0.25">
      <c r="A2593" s="274"/>
      <c r="B2593" s="498"/>
      <c r="C2593" s="287"/>
      <c r="D2593" s="288"/>
      <c r="E2593" s="288"/>
      <c r="F2593" s="438"/>
      <c r="G2593" s="438"/>
      <c r="H2593" s="438"/>
      <c r="I2593" s="438"/>
      <c r="J2593" s="438"/>
    </row>
    <row r="2594" spans="1:10" x14ac:dyDescent="0.25">
      <c r="A2594" s="274"/>
      <c r="B2594" s="498"/>
      <c r="C2594" s="287"/>
      <c r="D2594" s="288"/>
      <c r="E2594" s="288"/>
      <c r="F2594" s="438"/>
      <c r="G2594" s="438"/>
      <c r="H2594" s="438"/>
      <c r="I2594" s="438"/>
      <c r="J2594" s="438"/>
    </row>
    <row r="2595" spans="1:10" x14ac:dyDescent="0.25">
      <c r="A2595" s="274"/>
      <c r="B2595" s="498"/>
      <c r="C2595" s="287"/>
      <c r="D2595" s="288"/>
      <c r="E2595" s="288"/>
      <c r="F2595" s="438"/>
      <c r="G2595" s="438"/>
      <c r="H2595" s="438"/>
      <c r="I2595" s="438"/>
      <c r="J2595" s="438"/>
    </row>
    <row r="2596" spans="1:10" x14ac:dyDescent="0.25">
      <c r="A2596" s="274"/>
      <c r="B2596" s="498"/>
      <c r="C2596" s="287"/>
      <c r="D2596" s="288"/>
      <c r="E2596" s="288"/>
      <c r="F2596" s="438"/>
      <c r="G2596" s="438"/>
      <c r="H2596" s="438"/>
      <c r="I2596" s="438"/>
      <c r="J2596" s="438"/>
    </row>
    <row r="2597" spans="1:10" x14ac:dyDescent="0.25">
      <c r="A2597" s="274"/>
      <c r="B2597" s="498"/>
      <c r="C2597" s="287"/>
      <c r="D2597" s="288"/>
      <c r="E2597" s="288"/>
      <c r="F2597" s="438"/>
      <c r="G2597" s="438"/>
      <c r="H2597" s="438"/>
      <c r="I2597" s="438"/>
      <c r="J2597" s="438"/>
    </row>
    <row r="2598" spans="1:10" x14ac:dyDescent="0.25">
      <c r="A2598" s="274"/>
      <c r="B2598" s="498"/>
      <c r="C2598" s="287"/>
      <c r="D2598" s="288"/>
      <c r="E2598" s="288"/>
      <c r="F2598" s="438"/>
      <c r="G2598" s="438"/>
      <c r="H2598" s="438"/>
      <c r="I2598" s="438"/>
      <c r="J2598" s="438"/>
    </row>
    <row r="2599" spans="1:10" x14ac:dyDescent="0.25">
      <c r="A2599" s="274"/>
      <c r="B2599" s="498"/>
      <c r="C2599" s="287"/>
      <c r="D2599" s="288"/>
      <c r="E2599" s="288"/>
      <c r="F2599" s="438"/>
      <c r="G2599" s="438"/>
      <c r="H2599" s="438"/>
      <c r="I2599" s="438"/>
      <c r="J2599" s="438"/>
    </row>
    <row r="2600" spans="1:10" x14ac:dyDescent="0.25">
      <c r="A2600" s="274"/>
      <c r="B2600" s="498"/>
      <c r="C2600" s="287"/>
      <c r="D2600" s="288"/>
      <c r="E2600" s="288"/>
      <c r="F2600" s="438"/>
      <c r="G2600" s="438"/>
      <c r="H2600" s="438"/>
      <c r="I2600" s="438"/>
      <c r="J2600" s="438"/>
    </row>
    <row r="2601" spans="1:10" x14ac:dyDescent="0.25">
      <c r="A2601" s="274"/>
      <c r="B2601" s="498"/>
      <c r="C2601" s="287"/>
      <c r="D2601" s="288"/>
      <c r="E2601" s="288"/>
      <c r="F2601" s="438"/>
      <c r="G2601" s="438"/>
      <c r="H2601" s="438"/>
      <c r="I2601" s="438"/>
      <c r="J2601" s="438"/>
    </row>
    <row r="2602" spans="1:10" x14ac:dyDescent="0.25">
      <c r="A2602" s="274"/>
      <c r="B2602" s="498"/>
      <c r="C2602" s="287"/>
      <c r="D2602" s="288"/>
      <c r="E2602" s="288"/>
      <c r="F2602" s="438"/>
      <c r="G2602" s="438"/>
      <c r="H2602" s="438"/>
      <c r="I2602" s="438"/>
      <c r="J2602" s="438"/>
    </row>
    <row r="2603" spans="1:10" x14ac:dyDescent="0.25">
      <c r="A2603" s="274"/>
      <c r="B2603" s="498"/>
      <c r="C2603" s="287"/>
      <c r="D2603" s="288"/>
      <c r="E2603" s="288"/>
      <c r="F2603" s="438"/>
      <c r="G2603" s="438"/>
      <c r="H2603" s="438"/>
      <c r="I2603" s="438"/>
      <c r="J2603" s="438"/>
    </row>
    <row r="2604" spans="1:10" x14ac:dyDescent="0.25">
      <c r="A2604" s="274"/>
      <c r="B2604" s="498"/>
      <c r="C2604" s="287"/>
      <c r="D2604" s="288"/>
      <c r="E2604" s="288"/>
      <c r="F2604" s="438"/>
      <c r="G2604" s="438"/>
      <c r="H2604" s="438"/>
      <c r="I2604" s="438"/>
      <c r="J2604" s="438"/>
    </row>
    <row r="2605" spans="1:10" x14ac:dyDescent="0.25">
      <c r="A2605" s="274"/>
      <c r="B2605" s="498"/>
      <c r="C2605" s="287"/>
      <c r="D2605" s="288"/>
      <c r="E2605" s="288"/>
      <c r="F2605" s="438"/>
      <c r="G2605" s="438"/>
      <c r="H2605" s="438"/>
      <c r="I2605" s="438"/>
      <c r="J2605" s="438"/>
    </row>
    <row r="2606" spans="1:10" x14ac:dyDescent="0.25">
      <c r="A2606" s="274"/>
      <c r="B2606" s="498"/>
      <c r="C2606" s="287"/>
      <c r="D2606" s="288"/>
      <c r="E2606" s="288"/>
      <c r="F2606" s="438"/>
      <c r="G2606" s="438"/>
      <c r="H2606" s="438"/>
      <c r="I2606" s="438"/>
      <c r="J2606" s="438"/>
    </row>
    <row r="2607" spans="1:10" x14ac:dyDescent="0.25">
      <c r="A2607" s="274"/>
      <c r="B2607" s="498"/>
      <c r="C2607" s="287"/>
      <c r="D2607" s="288"/>
      <c r="E2607" s="288"/>
      <c r="F2607" s="438"/>
      <c r="G2607" s="438"/>
      <c r="H2607" s="438"/>
      <c r="I2607" s="438"/>
      <c r="J2607" s="438"/>
    </row>
    <row r="2608" spans="1:10" x14ac:dyDescent="0.25">
      <c r="A2608" s="274"/>
      <c r="B2608" s="498"/>
      <c r="C2608" s="287"/>
      <c r="D2608" s="288"/>
      <c r="E2608" s="288"/>
      <c r="F2608" s="438"/>
      <c r="G2608" s="438"/>
      <c r="H2608" s="438"/>
      <c r="I2608" s="438"/>
      <c r="J2608" s="438"/>
    </row>
    <row r="2609" spans="1:10" x14ac:dyDescent="0.25">
      <c r="A2609" s="274"/>
      <c r="B2609" s="498"/>
      <c r="C2609" s="287"/>
      <c r="D2609" s="288"/>
      <c r="E2609" s="288"/>
      <c r="F2609" s="438"/>
      <c r="G2609" s="438"/>
      <c r="H2609" s="438"/>
      <c r="I2609" s="438"/>
      <c r="J2609" s="438"/>
    </row>
    <row r="2610" spans="1:10" x14ac:dyDescent="0.25">
      <c r="A2610" s="274"/>
      <c r="B2610" s="498"/>
      <c r="C2610" s="287"/>
      <c r="D2610" s="288"/>
      <c r="E2610" s="288"/>
      <c r="F2610" s="438"/>
      <c r="G2610" s="438"/>
      <c r="H2610" s="438"/>
      <c r="I2610" s="438"/>
      <c r="J2610" s="438"/>
    </row>
    <row r="2611" spans="1:10" x14ac:dyDescent="0.25">
      <c r="A2611" s="274"/>
      <c r="B2611" s="498"/>
      <c r="C2611" s="287"/>
      <c r="D2611" s="288"/>
      <c r="E2611" s="288"/>
      <c r="F2611" s="438"/>
      <c r="G2611" s="438"/>
      <c r="H2611" s="438"/>
      <c r="I2611" s="438"/>
      <c r="J2611" s="438"/>
    </row>
    <row r="2612" spans="1:10" x14ac:dyDescent="0.25">
      <c r="A2612" s="274"/>
      <c r="B2612" s="498"/>
      <c r="C2612" s="287"/>
      <c r="D2612" s="288"/>
      <c r="E2612" s="288"/>
      <c r="F2612" s="438"/>
      <c r="G2612" s="438"/>
      <c r="H2612" s="438"/>
      <c r="I2612" s="438"/>
      <c r="J2612" s="438"/>
    </row>
    <row r="2613" spans="1:10" x14ac:dyDescent="0.25">
      <c r="A2613" s="274"/>
      <c r="B2613" s="498"/>
      <c r="C2613" s="287"/>
      <c r="D2613" s="288"/>
      <c r="E2613" s="288"/>
      <c r="F2613" s="438"/>
      <c r="G2613" s="438"/>
      <c r="H2613" s="438"/>
      <c r="I2613" s="438"/>
      <c r="J2613" s="438"/>
    </row>
    <row r="2614" spans="1:10" x14ac:dyDescent="0.25">
      <c r="A2614" s="274"/>
      <c r="B2614" s="498"/>
      <c r="C2614" s="287"/>
      <c r="D2614" s="288"/>
      <c r="E2614" s="288"/>
      <c r="F2614" s="438"/>
      <c r="G2614" s="438"/>
      <c r="H2614" s="438"/>
      <c r="I2614" s="438"/>
      <c r="J2614" s="438"/>
    </row>
    <row r="2615" spans="1:10" x14ac:dyDescent="0.25">
      <c r="A2615" s="274"/>
      <c r="B2615" s="498"/>
      <c r="C2615" s="287"/>
      <c r="D2615" s="288"/>
      <c r="E2615" s="288"/>
      <c r="F2615" s="438"/>
      <c r="G2615" s="438"/>
      <c r="H2615" s="438"/>
      <c r="I2615" s="438"/>
      <c r="J2615" s="438"/>
    </row>
    <row r="2616" spans="1:10" x14ac:dyDescent="0.25">
      <c r="A2616" s="274"/>
      <c r="B2616" s="498"/>
      <c r="C2616" s="287"/>
      <c r="D2616" s="288"/>
      <c r="E2616" s="288"/>
      <c r="F2616" s="438"/>
      <c r="G2616" s="438"/>
      <c r="H2616" s="438"/>
      <c r="I2616" s="438"/>
      <c r="J2616" s="438"/>
    </row>
    <row r="2617" spans="1:10" x14ac:dyDescent="0.25">
      <c r="A2617" s="274"/>
      <c r="B2617" s="498"/>
      <c r="C2617" s="287"/>
      <c r="D2617" s="288"/>
      <c r="E2617" s="288"/>
      <c r="F2617" s="438"/>
      <c r="G2617" s="438"/>
      <c r="H2617" s="438"/>
      <c r="I2617" s="438"/>
      <c r="J2617" s="438"/>
    </row>
    <row r="2618" spans="1:10" x14ac:dyDescent="0.25">
      <c r="A2618" s="274"/>
      <c r="B2618" s="498"/>
      <c r="C2618" s="287"/>
      <c r="D2618" s="288"/>
      <c r="E2618" s="288"/>
      <c r="F2618" s="438"/>
      <c r="G2618" s="438"/>
      <c r="H2618" s="438"/>
      <c r="I2618" s="438"/>
      <c r="J2618" s="438"/>
    </row>
    <row r="2619" spans="1:10" x14ac:dyDescent="0.25">
      <c r="A2619" s="274"/>
      <c r="B2619" s="498"/>
      <c r="C2619" s="287"/>
      <c r="D2619" s="288"/>
      <c r="E2619" s="288"/>
      <c r="F2619" s="438"/>
      <c r="G2619" s="438"/>
      <c r="H2619" s="438"/>
      <c r="I2619" s="438"/>
      <c r="J2619" s="438"/>
    </row>
    <row r="2620" spans="1:10" x14ac:dyDescent="0.25">
      <c r="A2620" s="274"/>
      <c r="B2620" s="498"/>
      <c r="C2620" s="287"/>
      <c r="D2620" s="288"/>
      <c r="E2620" s="288"/>
      <c r="F2620" s="438"/>
      <c r="G2620" s="438"/>
      <c r="H2620" s="438"/>
      <c r="I2620" s="438"/>
      <c r="J2620" s="438"/>
    </row>
    <row r="2621" spans="1:10" x14ac:dyDescent="0.25">
      <c r="A2621" s="274"/>
      <c r="B2621" s="498"/>
      <c r="C2621" s="287"/>
      <c r="D2621" s="288"/>
      <c r="E2621" s="288"/>
      <c r="F2621" s="438"/>
      <c r="G2621" s="438"/>
      <c r="H2621" s="438"/>
      <c r="I2621" s="438"/>
      <c r="J2621" s="438"/>
    </row>
    <row r="2622" spans="1:10" x14ac:dyDescent="0.25">
      <c r="A2622" s="274"/>
      <c r="B2622" s="498"/>
      <c r="C2622" s="287"/>
      <c r="D2622" s="288"/>
      <c r="E2622" s="288"/>
      <c r="F2622" s="438"/>
      <c r="G2622" s="438"/>
      <c r="H2622" s="438"/>
      <c r="I2622" s="438"/>
      <c r="J2622" s="438"/>
    </row>
    <row r="2623" spans="1:10" x14ac:dyDescent="0.25">
      <c r="A2623" s="274"/>
      <c r="B2623" s="498"/>
      <c r="C2623" s="287"/>
      <c r="D2623" s="288"/>
      <c r="E2623" s="288"/>
      <c r="F2623" s="438"/>
      <c r="G2623" s="438"/>
      <c r="H2623" s="438"/>
      <c r="I2623" s="438"/>
      <c r="J2623" s="438"/>
    </row>
    <row r="2624" spans="1:10" x14ac:dyDescent="0.25">
      <c r="A2624" s="274"/>
      <c r="B2624" s="498"/>
      <c r="C2624" s="287"/>
      <c r="D2624" s="288"/>
      <c r="E2624" s="288"/>
      <c r="F2624" s="438"/>
      <c r="G2624" s="438"/>
      <c r="H2624" s="438"/>
      <c r="I2624" s="438"/>
      <c r="J2624" s="438"/>
    </row>
    <row r="2625" spans="1:10" x14ac:dyDescent="0.25">
      <c r="A2625" s="274"/>
      <c r="B2625" s="498"/>
      <c r="C2625" s="287"/>
      <c r="D2625" s="288"/>
      <c r="E2625" s="288"/>
      <c r="F2625" s="438"/>
      <c r="G2625" s="438"/>
      <c r="H2625" s="438"/>
      <c r="I2625" s="438"/>
      <c r="J2625" s="438"/>
    </row>
    <row r="2626" spans="1:10" x14ac:dyDescent="0.25">
      <c r="A2626" s="274"/>
      <c r="B2626" s="498"/>
      <c r="C2626" s="287"/>
      <c r="D2626" s="288"/>
      <c r="E2626" s="288"/>
      <c r="F2626" s="438"/>
      <c r="G2626" s="438"/>
      <c r="H2626" s="438"/>
      <c r="I2626" s="438"/>
      <c r="J2626" s="438"/>
    </row>
    <row r="2627" spans="1:10" x14ac:dyDescent="0.25">
      <c r="A2627" s="274"/>
      <c r="B2627" s="498"/>
      <c r="C2627" s="287"/>
      <c r="D2627" s="288"/>
      <c r="E2627" s="288"/>
      <c r="F2627" s="438"/>
      <c r="G2627" s="438"/>
      <c r="H2627" s="438"/>
      <c r="I2627" s="438"/>
      <c r="J2627" s="438"/>
    </row>
    <row r="2628" spans="1:10" x14ac:dyDescent="0.25">
      <c r="A2628" s="274"/>
      <c r="B2628" s="498"/>
      <c r="C2628" s="287"/>
      <c r="D2628" s="288"/>
      <c r="E2628" s="288"/>
      <c r="F2628" s="438"/>
      <c r="G2628" s="438"/>
      <c r="H2628" s="438"/>
      <c r="I2628" s="438"/>
      <c r="J2628" s="438"/>
    </row>
    <row r="2629" spans="1:10" x14ac:dyDescent="0.25">
      <c r="A2629" s="274"/>
      <c r="B2629" s="498"/>
      <c r="C2629" s="287"/>
      <c r="D2629" s="288"/>
      <c r="E2629" s="288"/>
      <c r="F2629" s="438"/>
      <c r="G2629" s="438"/>
      <c r="H2629" s="438"/>
      <c r="I2629" s="438"/>
      <c r="J2629" s="438"/>
    </row>
    <row r="2630" spans="1:10" x14ac:dyDescent="0.25">
      <c r="A2630" s="274"/>
      <c r="B2630" s="498"/>
      <c r="C2630" s="287"/>
      <c r="D2630" s="288"/>
      <c r="E2630" s="288"/>
      <c r="F2630" s="438"/>
      <c r="G2630" s="438"/>
      <c r="H2630" s="438"/>
      <c r="I2630" s="438"/>
      <c r="J2630" s="438"/>
    </row>
    <row r="2631" spans="1:10" x14ac:dyDescent="0.25">
      <c r="A2631" s="274"/>
      <c r="B2631" s="498"/>
      <c r="C2631" s="287"/>
      <c r="D2631" s="288"/>
      <c r="E2631" s="288"/>
      <c r="F2631" s="438"/>
      <c r="G2631" s="438"/>
      <c r="H2631" s="438"/>
      <c r="I2631" s="438"/>
      <c r="J2631" s="438"/>
    </row>
    <row r="2632" spans="1:10" x14ac:dyDescent="0.25">
      <c r="A2632" s="274"/>
      <c r="B2632" s="498"/>
      <c r="C2632" s="287"/>
      <c r="D2632" s="288"/>
      <c r="E2632" s="288"/>
      <c r="F2632" s="438"/>
      <c r="G2632" s="438"/>
      <c r="H2632" s="438"/>
      <c r="I2632" s="438"/>
      <c r="J2632" s="438"/>
    </row>
    <row r="2633" spans="1:10" x14ac:dyDescent="0.25">
      <c r="A2633" s="274"/>
      <c r="B2633" s="498"/>
      <c r="C2633" s="287"/>
      <c r="D2633" s="288"/>
      <c r="E2633" s="288"/>
      <c r="F2633" s="438"/>
      <c r="G2633" s="438"/>
      <c r="H2633" s="438"/>
      <c r="I2633" s="438"/>
      <c r="J2633" s="438"/>
    </row>
    <row r="2634" spans="1:10" x14ac:dyDescent="0.25">
      <c r="A2634" s="274"/>
      <c r="B2634" s="498"/>
      <c r="C2634" s="287"/>
      <c r="D2634" s="288"/>
      <c r="E2634" s="288"/>
      <c r="F2634" s="438"/>
      <c r="G2634" s="438"/>
      <c r="H2634" s="438"/>
      <c r="I2634" s="438"/>
      <c r="J2634" s="438"/>
    </row>
    <row r="2635" spans="1:10" x14ac:dyDescent="0.25">
      <c r="A2635" s="274"/>
      <c r="B2635" s="498"/>
      <c r="C2635" s="287"/>
      <c r="D2635" s="288"/>
      <c r="E2635" s="288"/>
      <c r="F2635" s="438"/>
      <c r="G2635" s="438"/>
      <c r="H2635" s="438"/>
      <c r="I2635" s="438"/>
      <c r="J2635" s="438"/>
    </row>
    <row r="2636" spans="1:10" x14ac:dyDescent="0.25">
      <c r="A2636" s="274"/>
      <c r="B2636" s="498"/>
      <c r="C2636" s="287"/>
      <c r="D2636" s="288"/>
      <c r="E2636" s="288"/>
      <c r="F2636" s="438"/>
      <c r="G2636" s="438"/>
      <c r="H2636" s="438"/>
      <c r="I2636" s="438"/>
      <c r="J2636" s="438"/>
    </row>
    <row r="2637" spans="1:10" x14ac:dyDescent="0.25">
      <c r="A2637" s="274"/>
      <c r="B2637" s="498"/>
      <c r="C2637" s="287"/>
      <c r="D2637" s="288"/>
      <c r="E2637" s="288"/>
      <c r="F2637" s="438"/>
      <c r="G2637" s="438"/>
      <c r="H2637" s="438"/>
      <c r="I2637" s="438"/>
      <c r="J2637" s="438"/>
    </row>
    <row r="2638" spans="1:10" x14ac:dyDescent="0.25">
      <c r="A2638" s="274"/>
      <c r="B2638" s="498"/>
      <c r="C2638" s="287"/>
      <c r="D2638" s="288"/>
      <c r="E2638" s="288"/>
      <c r="F2638" s="438"/>
      <c r="G2638" s="438"/>
      <c r="H2638" s="438"/>
      <c r="I2638" s="438"/>
      <c r="J2638" s="438"/>
    </row>
    <row r="2639" spans="1:10" x14ac:dyDescent="0.25">
      <c r="A2639" s="274"/>
      <c r="B2639" s="498"/>
      <c r="C2639" s="287"/>
      <c r="D2639" s="288"/>
      <c r="E2639" s="288"/>
      <c r="F2639" s="438"/>
      <c r="G2639" s="438"/>
      <c r="H2639" s="438"/>
      <c r="I2639" s="438"/>
      <c r="J2639" s="438"/>
    </row>
    <row r="2640" spans="1:10" x14ac:dyDescent="0.25">
      <c r="A2640" s="274"/>
      <c r="B2640" s="498"/>
      <c r="C2640" s="287"/>
      <c r="D2640" s="288"/>
      <c r="E2640" s="288"/>
      <c r="F2640" s="438"/>
      <c r="G2640" s="438"/>
      <c r="H2640" s="438"/>
      <c r="I2640" s="438"/>
      <c r="J2640" s="438"/>
    </row>
    <row r="2641" spans="1:10" x14ac:dyDescent="0.25">
      <c r="A2641" s="274"/>
      <c r="B2641" s="498"/>
      <c r="C2641" s="287"/>
      <c r="D2641" s="288"/>
      <c r="E2641" s="288"/>
      <c r="F2641" s="438"/>
      <c r="G2641" s="438"/>
      <c r="H2641" s="438"/>
      <c r="I2641" s="438"/>
      <c r="J2641" s="438"/>
    </row>
    <row r="2642" spans="1:10" x14ac:dyDescent="0.25">
      <c r="A2642" s="274"/>
      <c r="B2642" s="498"/>
      <c r="C2642" s="287"/>
      <c r="D2642" s="288"/>
      <c r="E2642" s="288"/>
      <c r="F2642" s="438"/>
      <c r="G2642" s="438"/>
      <c r="H2642" s="438"/>
      <c r="I2642" s="438"/>
      <c r="J2642" s="438"/>
    </row>
    <row r="2643" spans="1:10" x14ac:dyDescent="0.25">
      <c r="A2643" s="274"/>
      <c r="B2643" s="498"/>
      <c r="C2643" s="287"/>
      <c r="D2643" s="288"/>
      <c r="E2643" s="288"/>
      <c r="F2643" s="438"/>
      <c r="G2643" s="438"/>
      <c r="H2643" s="438"/>
      <c r="I2643" s="438"/>
      <c r="J2643" s="438"/>
    </row>
    <row r="2644" spans="1:10" x14ac:dyDescent="0.25">
      <c r="A2644" s="274"/>
      <c r="B2644" s="498"/>
      <c r="C2644" s="287"/>
      <c r="D2644" s="288"/>
      <c r="E2644" s="288"/>
      <c r="F2644" s="438"/>
      <c r="G2644" s="438"/>
      <c r="H2644" s="438"/>
      <c r="I2644" s="438"/>
      <c r="J2644" s="438"/>
    </row>
    <row r="2645" spans="1:10" x14ac:dyDescent="0.25">
      <c r="A2645" s="274"/>
      <c r="B2645" s="498"/>
      <c r="C2645" s="287"/>
      <c r="D2645" s="288"/>
      <c r="E2645" s="288"/>
      <c r="F2645" s="438"/>
      <c r="G2645" s="438"/>
      <c r="H2645" s="438"/>
      <c r="I2645" s="438"/>
      <c r="J2645" s="438"/>
    </row>
    <row r="2646" spans="1:10" x14ac:dyDescent="0.25">
      <c r="A2646" s="274"/>
      <c r="B2646" s="498"/>
      <c r="C2646" s="287"/>
      <c r="D2646" s="288"/>
      <c r="E2646" s="288"/>
      <c r="F2646" s="438"/>
      <c r="G2646" s="438"/>
      <c r="H2646" s="438"/>
      <c r="I2646" s="438"/>
      <c r="J2646" s="438"/>
    </row>
    <row r="2647" spans="1:10" x14ac:dyDescent="0.25">
      <c r="A2647" s="274"/>
      <c r="B2647" s="498"/>
      <c r="C2647" s="287"/>
      <c r="D2647" s="288"/>
      <c r="E2647" s="288"/>
      <c r="F2647" s="438"/>
      <c r="G2647" s="438"/>
      <c r="H2647" s="438"/>
      <c r="I2647" s="438"/>
      <c r="J2647" s="438"/>
    </row>
    <row r="2648" spans="1:10" x14ac:dyDescent="0.25">
      <c r="A2648" s="274"/>
      <c r="B2648" s="498"/>
      <c r="C2648" s="287"/>
      <c r="D2648" s="288"/>
      <c r="E2648" s="288"/>
      <c r="F2648" s="438"/>
      <c r="G2648" s="438"/>
      <c r="H2648" s="438"/>
      <c r="I2648" s="438"/>
      <c r="J2648" s="438"/>
    </row>
    <row r="2649" spans="1:10" x14ac:dyDescent="0.25">
      <c r="A2649" s="274"/>
      <c r="B2649" s="498"/>
      <c r="C2649" s="287"/>
      <c r="D2649" s="288"/>
      <c r="E2649" s="288"/>
      <c r="F2649" s="438"/>
      <c r="G2649" s="438"/>
      <c r="H2649" s="438"/>
      <c r="I2649" s="438"/>
      <c r="J2649" s="438"/>
    </row>
    <row r="2650" spans="1:10" x14ac:dyDescent="0.25">
      <c r="A2650" s="274"/>
      <c r="B2650" s="498"/>
      <c r="C2650" s="287"/>
      <c r="D2650" s="288"/>
      <c r="E2650" s="288"/>
      <c r="F2650" s="438"/>
      <c r="G2650" s="438"/>
      <c r="H2650" s="438"/>
      <c r="I2650" s="438"/>
      <c r="J2650" s="438"/>
    </row>
    <row r="2651" spans="1:10" x14ac:dyDescent="0.25">
      <c r="A2651" s="274"/>
      <c r="B2651" s="498"/>
      <c r="C2651" s="287"/>
      <c r="D2651" s="288"/>
      <c r="E2651" s="288"/>
      <c r="F2651" s="438"/>
      <c r="G2651" s="438"/>
      <c r="H2651" s="438"/>
      <c r="I2651" s="438"/>
      <c r="J2651" s="438"/>
    </row>
    <row r="2652" spans="1:10" x14ac:dyDescent="0.25">
      <c r="A2652" s="274"/>
      <c r="B2652" s="498"/>
      <c r="C2652" s="287"/>
      <c r="D2652" s="288"/>
      <c r="E2652" s="288"/>
      <c r="F2652" s="438"/>
      <c r="G2652" s="438"/>
      <c r="H2652" s="438"/>
      <c r="I2652" s="438"/>
      <c r="J2652" s="438"/>
    </row>
    <row r="2653" spans="1:10" x14ac:dyDescent="0.25">
      <c r="A2653" s="274"/>
      <c r="B2653" s="498"/>
      <c r="C2653" s="287"/>
      <c r="D2653" s="288"/>
      <c r="E2653" s="288"/>
      <c r="F2653" s="438"/>
      <c r="G2653" s="438"/>
      <c r="H2653" s="438"/>
      <c r="I2653" s="438"/>
      <c r="J2653" s="438"/>
    </row>
    <row r="2654" spans="1:10" x14ac:dyDescent="0.25">
      <c r="A2654" s="274"/>
      <c r="B2654" s="498"/>
      <c r="C2654" s="287"/>
      <c r="D2654" s="288"/>
      <c r="E2654" s="288"/>
      <c r="F2654" s="438"/>
      <c r="G2654" s="438"/>
      <c r="H2654" s="438"/>
      <c r="I2654" s="438"/>
      <c r="J2654" s="438"/>
    </row>
    <row r="2655" spans="1:10" x14ac:dyDescent="0.25">
      <c r="A2655" s="274"/>
      <c r="B2655" s="498"/>
      <c r="C2655" s="287"/>
      <c r="D2655" s="288"/>
      <c r="E2655" s="288"/>
      <c r="F2655" s="438"/>
      <c r="G2655" s="438"/>
      <c r="H2655" s="438"/>
      <c r="I2655" s="438"/>
      <c r="J2655" s="438"/>
    </row>
    <row r="2656" spans="1:10" x14ac:dyDescent="0.25">
      <c r="A2656" s="274"/>
      <c r="B2656" s="498"/>
      <c r="C2656" s="287"/>
      <c r="D2656" s="288"/>
      <c r="E2656" s="288"/>
      <c r="F2656" s="438"/>
      <c r="G2656" s="438"/>
      <c r="H2656" s="438"/>
      <c r="I2656" s="438"/>
      <c r="J2656" s="438"/>
    </row>
    <row r="2657" spans="1:10" x14ac:dyDescent="0.25">
      <c r="A2657" s="274"/>
      <c r="B2657" s="498"/>
      <c r="C2657" s="287"/>
      <c r="D2657" s="288"/>
      <c r="E2657" s="288"/>
      <c r="F2657" s="438"/>
      <c r="G2657" s="438"/>
      <c r="H2657" s="438"/>
      <c r="I2657" s="438"/>
      <c r="J2657" s="438"/>
    </row>
    <row r="2658" spans="1:10" x14ac:dyDescent="0.25">
      <c r="A2658" s="274"/>
      <c r="B2658" s="498"/>
      <c r="C2658" s="287"/>
      <c r="D2658" s="288"/>
      <c r="E2658" s="288"/>
      <c r="F2658" s="438"/>
      <c r="G2658" s="438"/>
      <c r="H2658" s="438"/>
      <c r="I2658" s="438"/>
      <c r="J2658" s="438"/>
    </row>
    <row r="2659" spans="1:10" x14ac:dyDescent="0.25">
      <c r="A2659" s="274"/>
      <c r="B2659" s="498"/>
      <c r="C2659" s="287"/>
      <c r="D2659" s="288"/>
      <c r="E2659" s="288"/>
      <c r="F2659" s="438"/>
      <c r="G2659" s="438"/>
      <c r="H2659" s="438"/>
      <c r="I2659" s="438"/>
      <c r="J2659" s="438"/>
    </row>
    <row r="2660" spans="1:10" x14ac:dyDescent="0.25">
      <c r="A2660" s="274"/>
      <c r="B2660" s="498"/>
      <c r="C2660" s="287"/>
      <c r="D2660" s="288"/>
      <c r="E2660" s="288"/>
      <c r="F2660" s="438"/>
      <c r="G2660" s="438"/>
      <c r="H2660" s="438"/>
      <c r="I2660" s="438"/>
      <c r="J2660" s="438"/>
    </row>
    <row r="2661" spans="1:10" x14ac:dyDescent="0.25">
      <c r="A2661" s="274"/>
      <c r="B2661" s="498"/>
      <c r="C2661" s="287"/>
      <c r="D2661" s="288"/>
      <c r="E2661" s="288"/>
      <c r="F2661" s="438"/>
      <c r="G2661" s="438"/>
      <c r="H2661" s="438"/>
      <c r="I2661" s="438"/>
      <c r="J2661" s="438"/>
    </row>
    <row r="2662" spans="1:10" x14ac:dyDescent="0.25">
      <c r="A2662" s="274"/>
      <c r="B2662" s="498"/>
      <c r="C2662" s="287"/>
      <c r="D2662" s="288"/>
      <c r="E2662" s="288"/>
      <c r="F2662" s="438"/>
      <c r="G2662" s="438"/>
      <c r="H2662" s="438"/>
      <c r="I2662" s="438"/>
      <c r="J2662" s="438"/>
    </row>
    <row r="2663" spans="1:10" x14ac:dyDescent="0.25">
      <c r="A2663" s="274"/>
      <c r="B2663" s="498"/>
      <c r="C2663" s="287"/>
      <c r="D2663" s="288"/>
      <c r="E2663" s="288"/>
      <c r="F2663" s="438"/>
      <c r="G2663" s="438"/>
      <c r="H2663" s="438"/>
      <c r="I2663" s="438"/>
      <c r="J2663" s="438"/>
    </row>
    <row r="2664" spans="1:10" x14ac:dyDescent="0.25">
      <c r="A2664" s="274"/>
      <c r="B2664" s="498"/>
      <c r="C2664" s="287"/>
      <c r="D2664" s="288"/>
      <c r="E2664" s="288"/>
      <c r="F2664" s="438"/>
      <c r="G2664" s="438"/>
      <c r="H2664" s="438"/>
      <c r="I2664" s="438"/>
      <c r="J2664" s="438"/>
    </row>
    <row r="2665" spans="1:10" x14ac:dyDescent="0.25">
      <c r="A2665" s="274"/>
      <c r="B2665" s="498"/>
      <c r="C2665" s="287"/>
      <c r="D2665" s="288"/>
      <c r="E2665" s="288"/>
      <c r="F2665" s="438"/>
      <c r="G2665" s="438"/>
      <c r="H2665" s="438"/>
      <c r="I2665" s="438"/>
      <c r="J2665" s="438"/>
    </row>
    <row r="2666" spans="1:10" x14ac:dyDescent="0.25">
      <c r="A2666" s="274"/>
      <c r="B2666" s="498"/>
      <c r="C2666" s="287"/>
      <c r="D2666" s="288"/>
      <c r="E2666" s="288"/>
      <c r="F2666" s="438"/>
      <c r="G2666" s="438"/>
      <c r="H2666" s="438"/>
      <c r="I2666" s="438"/>
      <c r="J2666" s="438"/>
    </row>
    <row r="2667" spans="1:10" x14ac:dyDescent="0.25">
      <c r="A2667" s="274"/>
      <c r="B2667" s="498"/>
      <c r="C2667" s="287"/>
      <c r="D2667" s="288"/>
      <c r="E2667" s="288"/>
      <c r="F2667" s="438"/>
      <c r="G2667" s="438"/>
      <c r="H2667" s="438"/>
      <c r="I2667" s="438"/>
      <c r="J2667" s="438"/>
    </row>
    <row r="2668" spans="1:10" x14ac:dyDescent="0.25">
      <c r="A2668" s="274"/>
      <c r="B2668" s="498"/>
      <c r="C2668" s="287"/>
      <c r="D2668" s="288"/>
      <c r="E2668" s="288"/>
      <c r="F2668" s="438"/>
      <c r="G2668" s="438"/>
      <c r="H2668" s="438"/>
      <c r="I2668" s="438"/>
      <c r="J2668" s="438"/>
    </row>
    <row r="2669" spans="1:10" x14ac:dyDescent="0.25">
      <c r="A2669" s="274"/>
      <c r="B2669" s="498"/>
      <c r="C2669" s="287"/>
      <c r="D2669" s="288"/>
      <c r="E2669" s="288"/>
      <c r="F2669" s="438"/>
      <c r="G2669" s="438"/>
      <c r="H2669" s="438"/>
      <c r="I2669" s="438"/>
      <c r="J2669" s="438"/>
    </row>
    <row r="2670" spans="1:10" x14ac:dyDescent="0.25">
      <c r="A2670" s="274"/>
      <c r="B2670" s="498"/>
      <c r="C2670" s="287"/>
      <c r="D2670" s="288"/>
      <c r="E2670" s="288"/>
      <c r="F2670" s="438"/>
      <c r="G2670" s="438"/>
      <c r="H2670" s="438"/>
      <c r="I2670" s="438"/>
      <c r="J2670" s="438"/>
    </row>
    <row r="2671" spans="1:10" x14ac:dyDescent="0.25">
      <c r="A2671" s="274"/>
      <c r="B2671" s="498"/>
      <c r="C2671" s="287"/>
      <c r="D2671" s="288"/>
      <c r="E2671" s="288"/>
      <c r="F2671" s="438"/>
      <c r="G2671" s="438"/>
      <c r="H2671" s="438"/>
      <c r="I2671" s="438"/>
      <c r="J2671" s="438"/>
    </row>
    <row r="2672" spans="1:10" x14ac:dyDescent="0.25">
      <c r="A2672" s="274"/>
      <c r="B2672" s="498"/>
      <c r="C2672" s="287"/>
      <c r="D2672" s="288"/>
      <c r="E2672" s="288"/>
      <c r="F2672" s="438"/>
      <c r="G2672" s="438"/>
      <c r="H2672" s="438"/>
      <c r="I2672" s="438"/>
      <c r="J2672" s="438"/>
    </row>
    <row r="2673" spans="1:10" x14ac:dyDescent="0.25">
      <c r="A2673" s="274"/>
      <c r="B2673" s="498"/>
      <c r="C2673" s="287"/>
      <c r="D2673" s="288"/>
      <c r="E2673" s="288"/>
      <c r="F2673" s="438"/>
      <c r="G2673" s="438"/>
      <c r="H2673" s="438"/>
      <c r="I2673" s="438"/>
      <c r="J2673" s="438"/>
    </row>
    <row r="2674" spans="1:10" x14ac:dyDescent="0.25">
      <c r="A2674" s="274"/>
      <c r="B2674" s="498"/>
      <c r="C2674" s="287"/>
      <c r="D2674" s="288"/>
      <c r="E2674" s="288"/>
      <c r="F2674" s="438"/>
      <c r="G2674" s="438"/>
      <c r="H2674" s="438"/>
      <c r="I2674" s="438"/>
      <c r="J2674" s="438"/>
    </row>
    <row r="2675" spans="1:10" x14ac:dyDescent="0.25">
      <c r="A2675" s="274"/>
      <c r="B2675" s="498"/>
      <c r="C2675" s="287"/>
      <c r="D2675" s="288"/>
      <c r="E2675" s="288"/>
      <c r="F2675" s="438"/>
      <c r="G2675" s="438"/>
      <c r="H2675" s="438"/>
      <c r="I2675" s="438"/>
      <c r="J2675" s="438"/>
    </row>
    <row r="2676" spans="1:10" x14ac:dyDescent="0.25">
      <c r="A2676" s="274"/>
      <c r="B2676" s="498"/>
      <c r="C2676" s="287"/>
      <c r="D2676" s="288"/>
      <c r="E2676" s="288"/>
      <c r="F2676" s="438"/>
      <c r="G2676" s="438"/>
      <c r="H2676" s="438"/>
      <c r="I2676" s="438"/>
      <c r="J2676" s="438"/>
    </row>
    <row r="2677" spans="1:10" x14ac:dyDescent="0.25">
      <c r="A2677" s="274"/>
      <c r="B2677" s="498"/>
      <c r="C2677" s="287"/>
      <c r="D2677" s="288"/>
      <c r="E2677" s="288"/>
      <c r="F2677" s="438"/>
      <c r="G2677" s="438"/>
      <c r="H2677" s="438"/>
      <c r="I2677" s="438"/>
      <c r="J2677" s="438"/>
    </row>
    <row r="2678" spans="1:10" x14ac:dyDescent="0.25">
      <c r="A2678" s="274"/>
      <c r="B2678" s="498"/>
      <c r="C2678" s="287"/>
      <c r="D2678" s="288"/>
      <c r="E2678" s="288"/>
      <c r="F2678" s="438"/>
      <c r="G2678" s="438"/>
      <c r="H2678" s="438"/>
      <c r="I2678" s="438"/>
      <c r="J2678" s="438"/>
    </row>
    <row r="2679" spans="1:10" x14ac:dyDescent="0.25">
      <c r="A2679" s="274"/>
      <c r="B2679" s="498"/>
      <c r="C2679" s="287"/>
      <c r="D2679" s="288"/>
      <c r="E2679" s="288"/>
      <c r="F2679" s="438"/>
      <c r="G2679" s="438"/>
      <c r="H2679" s="438"/>
      <c r="I2679" s="438"/>
      <c r="J2679" s="438"/>
    </row>
    <row r="2680" spans="1:10" x14ac:dyDescent="0.25">
      <c r="A2680" s="274"/>
      <c r="B2680" s="498"/>
      <c r="C2680" s="287"/>
      <c r="D2680" s="288"/>
      <c r="E2680" s="288"/>
      <c r="F2680" s="438"/>
      <c r="G2680" s="438"/>
      <c r="H2680" s="438"/>
      <c r="I2680" s="438"/>
      <c r="J2680" s="438"/>
    </row>
    <row r="2681" spans="1:10" x14ac:dyDescent="0.25">
      <c r="A2681" s="274"/>
      <c r="B2681" s="498"/>
      <c r="C2681" s="287"/>
      <c r="D2681" s="288"/>
      <c r="E2681" s="288"/>
      <c r="F2681" s="438"/>
      <c r="G2681" s="438"/>
      <c r="H2681" s="438"/>
      <c r="I2681" s="438"/>
      <c r="J2681" s="438"/>
    </row>
    <row r="2682" spans="1:10" x14ac:dyDescent="0.25">
      <c r="A2682" s="274"/>
      <c r="B2682" s="498"/>
      <c r="C2682" s="287"/>
      <c r="D2682" s="288"/>
      <c r="E2682" s="288"/>
      <c r="F2682" s="438"/>
      <c r="G2682" s="438"/>
      <c r="H2682" s="438"/>
      <c r="I2682" s="438"/>
      <c r="J2682" s="438"/>
    </row>
    <row r="2683" spans="1:10" x14ac:dyDescent="0.25">
      <c r="A2683" s="274"/>
      <c r="B2683" s="498"/>
      <c r="C2683" s="287"/>
      <c r="D2683" s="288"/>
      <c r="E2683" s="288"/>
      <c r="F2683" s="438"/>
      <c r="G2683" s="438"/>
      <c r="H2683" s="438"/>
      <c r="I2683" s="438"/>
      <c r="J2683" s="438"/>
    </row>
    <row r="2684" spans="1:10" x14ac:dyDescent="0.25">
      <c r="A2684" s="274"/>
      <c r="B2684" s="498"/>
      <c r="C2684" s="287"/>
      <c r="D2684" s="288"/>
      <c r="E2684" s="288"/>
      <c r="F2684" s="438"/>
      <c r="G2684" s="438"/>
      <c r="H2684" s="438"/>
      <c r="I2684" s="438"/>
      <c r="J2684" s="438"/>
    </row>
    <row r="2685" spans="1:10" x14ac:dyDescent="0.25">
      <c r="A2685" s="274"/>
      <c r="B2685" s="498"/>
      <c r="C2685" s="287"/>
      <c r="D2685" s="288"/>
      <c r="E2685" s="288"/>
      <c r="F2685" s="438"/>
      <c r="G2685" s="438"/>
      <c r="H2685" s="438"/>
      <c r="I2685" s="438"/>
      <c r="J2685" s="438"/>
    </row>
    <row r="2686" spans="1:10" x14ac:dyDescent="0.25">
      <c r="A2686" s="274"/>
      <c r="B2686" s="498"/>
      <c r="C2686" s="287"/>
      <c r="D2686" s="288"/>
      <c r="E2686" s="288"/>
      <c r="F2686" s="438"/>
      <c r="G2686" s="438"/>
      <c r="H2686" s="438"/>
      <c r="I2686" s="438"/>
      <c r="J2686" s="438"/>
    </row>
    <row r="2687" spans="1:10" x14ac:dyDescent="0.25">
      <c r="A2687" s="274"/>
      <c r="B2687" s="498"/>
      <c r="C2687" s="287"/>
      <c r="D2687" s="288"/>
      <c r="E2687" s="288"/>
      <c r="F2687" s="438"/>
      <c r="G2687" s="438"/>
      <c r="H2687" s="438"/>
      <c r="I2687" s="438"/>
      <c r="J2687" s="438"/>
    </row>
    <row r="2688" spans="1:10" x14ac:dyDescent="0.25">
      <c r="A2688" s="274"/>
      <c r="B2688" s="498"/>
      <c r="C2688" s="287"/>
      <c r="D2688" s="288"/>
      <c r="E2688" s="288"/>
    </row>
    <row r="2689" spans="1:5" x14ac:dyDescent="0.25">
      <c r="A2689" s="274"/>
      <c r="B2689" s="498"/>
      <c r="C2689" s="287"/>
      <c r="D2689" s="288"/>
      <c r="E2689" s="288"/>
    </row>
    <row r="2690" spans="1:5" x14ac:dyDescent="0.25">
      <c r="A2690" s="274"/>
      <c r="B2690" s="498"/>
      <c r="C2690" s="287"/>
      <c r="D2690" s="288"/>
      <c r="E2690" s="288"/>
    </row>
    <row r="2691" spans="1:5" x14ac:dyDescent="0.25">
      <c r="A2691" s="274"/>
      <c r="B2691" s="498"/>
      <c r="C2691" s="287"/>
      <c r="D2691" s="288"/>
      <c r="E2691" s="288"/>
    </row>
    <row r="2692" spans="1:5" x14ac:dyDescent="0.25">
      <c r="A2692" s="274"/>
      <c r="B2692" s="498"/>
      <c r="C2692" s="287"/>
      <c r="D2692" s="288"/>
      <c r="E2692" s="288"/>
    </row>
    <row r="2693" spans="1:5" x14ac:dyDescent="0.25">
      <c r="A2693" s="274"/>
      <c r="B2693" s="498"/>
      <c r="C2693" s="287"/>
      <c r="D2693" s="288"/>
      <c r="E2693" s="288"/>
    </row>
    <row r="2694" spans="1:5" x14ac:dyDescent="0.25">
      <c r="A2694" s="274"/>
      <c r="B2694" s="498"/>
      <c r="C2694" s="287"/>
      <c r="D2694" s="288"/>
      <c r="E2694" s="288"/>
    </row>
    <row r="2695" spans="1:5" x14ac:dyDescent="0.25">
      <c r="A2695" s="274"/>
      <c r="B2695" s="498"/>
      <c r="C2695" s="287"/>
      <c r="D2695" s="288"/>
      <c r="E2695" s="288"/>
    </row>
    <row r="2696" spans="1:5" x14ac:dyDescent="0.25">
      <c r="A2696" s="274"/>
      <c r="B2696" s="498"/>
      <c r="C2696" s="287"/>
      <c r="D2696" s="288"/>
      <c r="E2696" s="288"/>
    </row>
    <row r="2697" spans="1:5" x14ac:dyDescent="0.25">
      <c r="A2697" s="274"/>
      <c r="B2697" s="498"/>
      <c r="C2697" s="287"/>
      <c r="D2697" s="288"/>
      <c r="E2697" s="288"/>
    </row>
    <row r="2698" spans="1:5" x14ac:dyDescent="0.25">
      <c r="A2698" s="274"/>
      <c r="B2698" s="498"/>
      <c r="C2698" s="287"/>
      <c r="D2698" s="288"/>
      <c r="E2698" s="288"/>
    </row>
    <row r="2699" spans="1:5" x14ac:dyDescent="0.25">
      <c r="A2699" s="274"/>
      <c r="B2699" s="498"/>
      <c r="C2699" s="287"/>
      <c r="D2699" s="288"/>
      <c r="E2699" s="288"/>
    </row>
    <row r="2700" spans="1:5" x14ac:dyDescent="0.25">
      <c r="A2700" s="274"/>
      <c r="B2700" s="498"/>
      <c r="C2700" s="287"/>
      <c r="D2700" s="288"/>
      <c r="E2700" s="288"/>
    </row>
    <row r="2701" spans="1:5" x14ac:dyDescent="0.25">
      <c r="A2701" s="274"/>
      <c r="B2701" s="498"/>
      <c r="C2701" s="287"/>
      <c r="D2701" s="288"/>
      <c r="E2701" s="288"/>
    </row>
    <row r="2702" spans="1:5" x14ac:dyDescent="0.25">
      <c r="A2702" s="274"/>
      <c r="B2702" s="498"/>
      <c r="C2702" s="287"/>
      <c r="D2702" s="288"/>
      <c r="E2702" s="288"/>
    </row>
    <row r="2703" spans="1:5" x14ac:dyDescent="0.25">
      <c r="A2703" s="274"/>
      <c r="B2703" s="498"/>
      <c r="C2703" s="287"/>
      <c r="D2703" s="288"/>
      <c r="E2703" s="288"/>
    </row>
    <row r="2704" spans="1:5" x14ac:dyDescent="0.25">
      <c r="A2704" s="274"/>
      <c r="B2704" s="498"/>
      <c r="C2704" s="287"/>
      <c r="D2704" s="288"/>
      <c r="E2704" s="288"/>
    </row>
    <row r="2705" spans="1:5" x14ac:dyDescent="0.25">
      <c r="A2705" s="274"/>
      <c r="B2705" s="498"/>
      <c r="C2705" s="287"/>
      <c r="D2705" s="288"/>
      <c r="E2705" s="288"/>
    </row>
    <row r="2706" spans="1:5" x14ac:dyDescent="0.25">
      <c r="A2706" s="274"/>
      <c r="B2706" s="498"/>
      <c r="C2706" s="287"/>
      <c r="D2706" s="288"/>
      <c r="E2706" s="288"/>
    </row>
    <row r="2707" spans="1:5" x14ac:dyDescent="0.25">
      <c r="A2707" s="274"/>
      <c r="B2707" s="498"/>
      <c r="C2707" s="287"/>
      <c r="D2707" s="288"/>
      <c r="E2707" s="288"/>
    </row>
    <row r="2708" spans="1:5" x14ac:dyDescent="0.25">
      <c r="A2708" s="274"/>
      <c r="B2708" s="498"/>
      <c r="C2708" s="287"/>
      <c r="D2708" s="288"/>
      <c r="E2708" s="288"/>
    </row>
    <row r="2709" spans="1:5" x14ac:dyDescent="0.25">
      <c r="A2709" s="274"/>
      <c r="B2709" s="498"/>
      <c r="C2709" s="287"/>
      <c r="D2709" s="288"/>
      <c r="E2709" s="288"/>
    </row>
    <row r="2710" spans="1:5" x14ac:dyDescent="0.25">
      <c r="A2710" s="274"/>
      <c r="B2710" s="498"/>
      <c r="C2710" s="287"/>
      <c r="D2710" s="288"/>
      <c r="E2710" s="288"/>
    </row>
    <row r="2711" spans="1:5" x14ac:dyDescent="0.25">
      <c r="A2711" s="274"/>
      <c r="B2711" s="498"/>
      <c r="C2711" s="287"/>
      <c r="D2711" s="288"/>
      <c r="E2711" s="288"/>
    </row>
    <row r="2712" spans="1:5" x14ac:dyDescent="0.25">
      <c r="A2712" s="274"/>
      <c r="B2712" s="498"/>
      <c r="C2712" s="287"/>
      <c r="D2712" s="288"/>
      <c r="E2712" s="288"/>
    </row>
    <row r="2713" spans="1:5" x14ac:dyDescent="0.25">
      <c r="A2713" s="274"/>
      <c r="B2713" s="498"/>
      <c r="C2713" s="287"/>
      <c r="D2713" s="288"/>
      <c r="E2713" s="288"/>
    </row>
    <row r="2714" spans="1:5" x14ac:dyDescent="0.25">
      <c r="A2714" s="274"/>
      <c r="B2714" s="498"/>
      <c r="C2714" s="287"/>
      <c r="D2714" s="288"/>
      <c r="E2714" s="288"/>
    </row>
    <row r="2715" spans="1:5" x14ac:dyDescent="0.25">
      <c r="A2715" s="274"/>
      <c r="B2715" s="498"/>
      <c r="C2715" s="287"/>
      <c r="D2715" s="288"/>
      <c r="E2715" s="288"/>
    </row>
    <row r="2716" spans="1:5" x14ac:dyDescent="0.25">
      <c r="A2716" s="274"/>
      <c r="B2716" s="498"/>
      <c r="C2716" s="287"/>
      <c r="D2716" s="288"/>
      <c r="E2716" s="288"/>
    </row>
    <row r="2717" spans="1:5" x14ac:dyDescent="0.25">
      <c r="A2717" s="274"/>
      <c r="B2717" s="498"/>
      <c r="C2717" s="287"/>
      <c r="D2717" s="288"/>
      <c r="E2717" s="288"/>
    </row>
    <row r="2718" spans="1:5" x14ac:dyDescent="0.25">
      <c r="A2718" s="274"/>
      <c r="B2718" s="498"/>
      <c r="C2718" s="287"/>
      <c r="D2718" s="288"/>
      <c r="E2718" s="288"/>
    </row>
    <row r="2719" spans="1:5" x14ac:dyDescent="0.25">
      <c r="A2719" s="274"/>
      <c r="B2719" s="498"/>
      <c r="C2719" s="287"/>
      <c r="D2719" s="288"/>
      <c r="E2719" s="288"/>
    </row>
    <row r="2720" spans="1:5" x14ac:dyDescent="0.25">
      <c r="A2720" s="274"/>
      <c r="B2720" s="498"/>
      <c r="C2720" s="287"/>
      <c r="D2720" s="288"/>
      <c r="E2720" s="288"/>
    </row>
    <row r="2721" spans="1:5" x14ac:dyDescent="0.25">
      <c r="A2721" s="274"/>
      <c r="B2721" s="498"/>
      <c r="C2721" s="287"/>
      <c r="D2721" s="288"/>
      <c r="E2721" s="288"/>
    </row>
    <row r="2722" spans="1:5" x14ac:dyDescent="0.25">
      <c r="A2722" s="274"/>
      <c r="B2722" s="498"/>
      <c r="C2722" s="287"/>
      <c r="D2722" s="288"/>
      <c r="E2722" s="288"/>
    </row>
    <row r="2723" spans="1:5" x14ac:dyDescent="0.25">
      <c r="A2723" s="274"/>
      <c r="B2723" s="498"/>
      <c r="C2723" s="287"/>
      <c r="D2723" s="288"/>
      <c r="E2723" s="288"/>
    </row>
    <row r="2724" spans="1:5" x14ac:dyDescent="0.25">
      <c r="A2724" s="274"/>
      <c r="B2724" s="498"/>
      <c r="C2724" s="287"/>
      <c r="D2724" s="288"/>
      <c r="E2724" s="288"/>
    </row>
    <row r="2725" spans="1:5" x14ac:dyDescent="0.25">
      <c r="A2725" s="274"/>
      <c r="B2725" s="498"/>
      <c r="C2725" s="287"/>
      <c r="D2725" s="288"/>
      <c r="E2725" s="288"/>
    </row>
    <row r="2726" spans="1:5" x14ac:dyDescent="0.25">
      <c r="A2726" s="274"/>
      <c r="B2726" s="498"/>
      <c r="C2726" s="287"/>
      <c r="D2726" s="288"/>
      <c r="E2726" s="288"/>
    </row>
    <row r="2727" spans="1:5" x14ac:dyDescent="0.25">
      <c r="A2727" s="274"/>
      <c r="B2727" s="498"/>
      <c r="C2727" s="287"/>
      <c r="D2727" s="288"/>
      <c r="E2727" s="288"/>
    </row>
    <row r="2728" spans="1:5" x14ac:dyDescent="0.25">
      <c r="A2728" s="274"/>
      <c r="B2728" s="498"/>
      <c r="C2728" s="287"/>
      <c r="D2728" s="288"/>
      <c r="E2728" s="288"/>
    </row>
    <row r="2729" spans="1:5" x14ac:dyDescent="0.25">
      <c r="A2729" s="274"/>
      <c r="B2729" s="498"/>
      <c r="C2729" s="287"/>
      <c r="D2729" s="288"/>
      <c r="E2729" s="288"/>
    </row>
    <row r="2730" spans="1:5" x14ac:dyDescent="0.25">
      <c r="A2730" s="274"/>
      <c r="B2730" s="498"/>
      <c r="C2730" s="287"/>
      <c r="D2730" s="288"/>
      <c r="E2730" s="288"/>
    </row>
    <row r="2731" spans="1:5" x14ac:dyDescent="0.25">
      <c r="A2731" s="274"/>
      <c r="B2731" s="498"/>
      <c r="C2731" s="287"/>
      <c r="D2731" s="288"/>
      <c r="E2731" s="288"/>
    </row>
    <row r="2732" spans="1:5" x14ac:dyDescent="0.25">
      <c r="A2732" s="274"/>
      <c r="B2732" s="498"/>
      <c r="C2732" s="287"/>
      <c r="D2732" s="288"/>
      <c r="E2732" s="288"/>
    </row>
    <row r="2733" spans="1:5" x14ac:dyDescent="0.25">
      <c r="A2733" s="274"/>
      <c r="B2733" s="498"/>
      <c r="C2733" s="287"/>
      <c r="D2733" s="288"/>
      <c r="E2733" s="288"/>
    </row>
    <row r="2734" spans="1:5" x14ac:dyDescent="0.25">
      <c r="A2734" s="274"/>
      <c r="B2734" s="498"/>
      <c r="C2734" s="287"/>
      <c r="D2734" s="288"/>
      <c r="E2734" s="288"/>
    </row>
    <row r="2735" spans="1:5" x14ac:dyDescent="0.25">
      <c r="A2735" s="274"/>
      <c r="B2735" s="498"/>
      <c r="C2735" s="287"/>
      <c r="D2735" s="288"/>
      <c r="E2735" s="288"/>
    </row>
    <row r="2736" spans="1:5" x14ac:dyDescent="0.25">
      <c r="A2736" s="274"/>
      <c r="B2736" s="498"/>
      <c r="C2736" s="287"/>
      <c r="D2736" s="288"/>
      <c r="E2736" s="288"/>
    </row>
    <row r="2737" spans="1:5" x14ac:dyDescent="0.25">
      <c r="A2737" s="274"/>
      <c r="B2737" s="498"/>
      <c r="C2737" s="287"/>
      <c r="D2737" s="288"/>
      <c r="E2737" s="288"/>
    </row>
    <row r="2738" spans="1:5" x14ac:dyDescent="0.25">
      <c r="A2738" s="274"/>
      <c r="B2738" s="498"/>
      <c r="C2738" s="287"/>
      <c r="D2738" s="288"/>
      <c r="E2738" s="288"/>
    </row>
    <row r="2739" spans="1:5" x14ac:dyDescent="0.25">
      <c r="A2739" s="274"/>
      <c r="B2739" s="498"/>
      <c r="C2739" s="287"/>
      <c r="D2739" s="288"/>
      <c r="E2739" s="288"/>
    </row>
    <row r="2740" spans="1:5" x14ac:dyDescent="0.25">
      <c r="A2740" s="274"/>
      <c r="B2740" s="498"/>
      <c r="C2740" s="287"/>
      <c r="D2740" s="288"/>
      <c r="E2740" s="288"/>
    </row>
    <row r="2741" spans="1:5" x14ac:dyDescent="0.25">
      <c r="A2741" s="274"/>
      <c r="B2741" s="498"/>
      <c r="C2741" s="287"/>
      <c r="D2741" s="288"/>
      <c r="E2741" s="288"/>
    </row>
    <row r="2742" spans="1:5" x14ac:dyDescent="0.25">
      <c r="A2742" s="274"/>
      <c r="B2742" s="498"/>
      <c r="C2742" s="287"/>
      <c r="D2742" s="288"/>
      <c r="E2742" s="288"/>
    </row>
    <row r="2743" spans="1:5" x14ac:dyDescent="0.25">
      <c r="A2743" s="274"/>
      <c r="B2743" s="498"/>
      <c r="C2743" s="287"/>
      <c r="D2743" s="288"/>
      <c r="E2743" s="288"/>
    </row>
    <row r="2744" spans="1:5" x14ac:dyDescent="0.25">
      <c r="A2744" s="274"/>
      <c r="B2744" s="498"/>
      <c r="C2744" s="287"/>
      <c r="D2744" s="288"/>
      <c r="E2744" s="288"/>
    </row>
    <row r="2745" spans="1:5" x14ac:dyDescent="0.25">
      <c r="A2745" s="274"/>
      <c r="B2745" s="498"/>
      <c r="C2745" s="287"/>
      <c r="D2745" s="288"/>
      <c r="E2745" s="288"/>
    </row>
    <row r="2746" spans="1:5" x14ac:dyDescent="0.25">
      <c r="A2746" s="274"/>
      <c r="B2746" s="498"/>
      <c r="C2746" s="287"/>
      <c r="D2746" s="288"/>
      <c r="E2746" s="288"/>
    </row>
    <row r="2747" spans="1:5" x14ac:dyDescent="0.25">
      <c r="A2747" s="274"/>
      <c r="B2747" s="498"/>
      <c r="C2747" s="287"/>
      <c r="D2747" s="288"/>
      <c r="E2747" s="288"/>
    </row>
    <row r="2748" spans="1:5" x14ac:dyDescent="0.25">
      <c r="A2748" s="274"/>
      <c r="B2748" s="498"/>
      <c r="C2748" s="287"/>
      <c r="D2748" s="288"/>
      <c r="E2748" s="288"/>
    </row>
    <row r="2749" spans="1:5" x14ac:dyDescent="0.25">
      <c r="A2749" s="274"/>
      <c r="B2749" s="498"/>
      <c r="C2749" s="287"/>
      <c r="D2749" s="288"/>
      <c r="E2749" s="288"/>
    </row>
    <row r="2750" spans="1:5" x14ac:dyDescent="0.25">
      <c r="A2750" s="274"/>
      <c r="B2750" s="498"/>
      <c r="C2750" s="287"/>
      <c r="D2750" s="288"/>
      <c r="E2750" s="288"/>
    </row>
    <row r="2751" spans="1:5" x14ac:dyDescent="0.25">
      <c r="A2751" s="274"/>
      <c r="B2751" s="498"/>
      <c r="C2751" s="287"/>
      <c r="D2751" s="288"/>
      <c r="E2751" s="288"/>
    </row>
    <row r="2752" spans="1:5" x14ac:dyDescent="0.25">
      <c r="A2752" s="274"/>
      <c r="B2752" s="498"/>
      <c r="C2752" s="287"/>
      <c r="D2752" s="288"/>
      <c r="E2752" s="288"/>
    </row>
    <row r="2753" spans="1:5" x14ac:dyDescent="0.25">
      <c r="A2753" s="274"/>
      <c r="B2753" s="498"/>
      <c r="C2753" s="287"/>
      <c r="D2753" s="288"/>
      <c r="E2753" s="288"/>
    </row>
    <row r="2754" spans="1:5" x14ac:dyDescent="0.25">
      <c r="A2754" s="274"/>
      <c r="B2754" s="498"/>
      <c r="C2754" s="287"/>
      <c r="D2754" s="288"/>
      <c r="E2754" s="288"/>
    </row>
    <row r="2755" spans="1:5" x14ac:dyDescent="0.25">
      <c r="A2755" s="274"/>
      <c r="B2755" s="498"/>
      <c r="C2755" s="287"/>
      <c r="D2755" s="288"/>
      <c r="E2755" s="288"/>
    </row>
    <row r="2756" spans="1:5" x14ac:dyDescent="0.25">
      <c r="A2756" s="274"/>
      <c r="B2756" s="498"/>
      <c r="C2756" s="287"/>
      <c r="D2756" s="288"/>
      <c r="E2756" s="288"/>
    </row>
    <row r="2757" spans="1:5" x14ac:dyDescent="0.25">
      <c r="A2757" s="274"/>
      <c r="B2757" s="498"/>
      <c r="C2757" s="287"/>
      <c r="D2757" s="288"/>
      <c r="E2757" s="288"/>
    </row>
    <row r="2758" spans="1:5" x14ac:dyDescent="0.25">
      <c r="A2758" s="274"/>
      <c r="B2758" s="498"/>
      <c r="C2758" s="287"/>
      <c r="D2758" s="288"/>
      <c r="E2758" s="288"/>
    </row>
    <row r="2759" spans="1:5" x14ac:dyDescent="0.25">
      <c r="A2759" s="274"/>
      <c r="B2759" s="498"/>
      <c r="C2759" s="287"/>
      <c r="D2759" s="288"/>
      <c r="E2759" s="288"/>
    </row>
    <row r="2760" spans="1:5" x14ac:dyDescent="0.25">
      <c r="A2760" s="274"/>
      <c r="B2760" s="498"/>
      <c r="C2760" s="287"/>
      <c r="D2760" s="288"/>
      <c r="E2760" s="288"/>
    </row>
    <row r="2761" spans="1:5" x14ac:dyDescent="0.25">
      <c r="A2761" s="274"/>
      <c r="B2761" s="498"/>
      <c r="C2761" s="287"/>
      <c r="D2761" s="288"/>
      <c r="E2761" s="288"/>
    </row>
    <row r="2762" spans="1:5" x14ac:dyDescent="0.25">
      <c r="A2762" s="274"/>
      <c r="B2762" s="498"/>
      <c r="C2762" s="287"/>
      <c r="D2762" s="288"/>
      <c r="E2762" s="288"/>
    </row>
    <row r="2763" spans="1:5" x14ac:dyDescent="0.25">
      <c r="A2763" s="274"/>
      <c r="B2763" s="498"/>
      <c r="C2763" s="287"/>
      <c r="D2763" s="288"/>
      <c r="E2763" s="288"/>
    </row>
    <row r="2764" spans="1:5" x14ac:dyDescent="0.25">
      <c r="A2764" s="274"/>
      <c r="B2764" s="498"/>
      <c r="C2764" s="287"/>
      <c r="D2764" s="288"/>
      <c r="E2764" s="288"/>
    </row>
    <row r="2765" spans="1:5" x14ac:dyDescent="0.25">
      <c r="A2765" s="274"/>
      <c r="B2765" s="498"/>
      <c r="C2765" s="287"/>
      <c r="D2765" s="288"/>
      <c r="E2765" s="288"/>
    </row>
    <row r="2766" spans="1:5" x14ac:dyDescent="0.25">
      <c r="A2766" s="274"/>
      <c r="B2766" s="498"/>
      <c r="C2766" s="287"/>
      <c r="D2766" s="288"/>
      <c r="E2766" s="288"/>
    </row>
    <row r="2767" spans="1:5" x14ac:dyDescent="0.25">
      <c r="A2767" s="274"/>
      <c r="B2767" s="498"/>
      <c r="C2767" s="287"/>
      <c r="D2767" s="288"/>
      <c r="E2767" s="288"/>
    </row>
    <row r="2768" spans="1:5" x14ac:dyDescent="0.25">
      <c r="A2768" s="274"/>
      <c r="B2768" s="498"/>
      <c r="C2768" s="287"/>
      <c r="D2768" s="288"/>
      <c r="E2768" s="288"/>
    </row>
    <row r="2769" spans="1:5" x14ac:dyDescent="0.25">
      <c r="A2769" s="274"/>
      <c r="B2769" s="498"/>
      <c r="C2769" s="287"/>
      <c r="D2769" s="288"/>
      <c r="E2769" s="288"/>
    </row>
    <row r="2770" spans="1:5" x14ac:dyDescent="0.25">
      <c r="A2770" s="274"/>
      <c r="B2770" s="498"/>
      <c r="C2770" s="287"/>
      <c r="D2770" s="288"/>
      <c r="E2770" s="288"/>
    </row>
    <row r="2771" spans="1:5" x14ac:dyDescent="0.25">
      <c r="A2771" s="274"/>
      <c r="B2771" s="498"/>
      <c r="C2771" s="287"/>
      <c r="D2771" s="288"/>
      <c r="E2771" s="288"/>
    </row>
    <row r="2772" spans="1:5" x14ac:dyDescent="0.25">
      <c r="A2772" s="274"/>
      <c r="B2772" s="498"/>
      <c r="C2772" s="287"/>
      <c r="D2772" s="288"/>
      <c r="E2772" s="288"/>
    </row>
    <row r="2773" spans="1:5" x14ac:dyDescent="0.25">
      <c r="A2773" s="274"/>
      <c r="B2773" s="498"/>
      <c r="C2773" s="287"/>
      <c r="D2773" s="288"/>
      <c r="E2773" s="288"/>
    </row>
    <row r="2774" spans="1:5" x14ac:dyDescent="0.25">
      <c r="A2774" s="274"/>
      <c r="B2774" s="498"/>
      <c r="C2774" s="287"/>
      <c r="D2774" s="288"/>
      <c r="E2774" s="288"/>
    </row>
    <row r="2775" spans="1:5" x14ac:dyDescent="0.25">
      <c r="A2775" s="274"/>
      <c r="B2775" s="498"/>
      <c r="C2775" s="287"/>
      <c r="D2775" s="288"/>
      <c r="E2775" s="288"/>
    </row>
    <row r="2776" spans="1:5" x14ac:dyDescent="0.25">
      <c r="A2776" s="274"/>
      <c r="B2776" s="498"/>
      <c r="C2776" s="287"/>
      <c r="D2776" s="288"/>
      <c r="E2776" s="288"/>
    </row>
    <row r="2777" spans="1:5" x14ac:dyDescent="0.25">
      <c r="A2777" s="274"/>
      <c r="B2777" s="498"/>
      <c r="C2777" s="287"/>
      <c r="D2777" s="288"/>
      <c r="E2777" s="288"/>
    </row>
    <row r="2778" spans="1:5" x14ac:dyDescent="0.25">
      <c r="A2778" s="274"/>
      <c r="B2778" s="498"/>
      <c r="C2778" s="287"/>
      <c r="D2778" s="288"/>
      <c r="E2778" s="288"/>
    </row>
    <row r="2779" spans="1:5" x14ac:dyDescent="0.25">
      <c r="A2779" s="274"/>
      <c r="B2779" s="498"/>
      <c r="C2779" s="287"/>
      <c r="D2779" s="288"/>
      <c r="E2779" s="288"/>
    </row>
    <row r="2780" spans="1:5" x14ac:dyDescent="0.25">
      <c r="A2780" s="274"/>
      <c r="B2780" s="498"/>
      <c r="C2780" s="287"/>
      <c r="D2780" s="288"/>
      <c r="E2780" s="288"/>
    </row>
    <row r="2781" spans="1:5" x14ac:dyDescent="0.25">
      <c r="A2781" s="274"/>
      <c r="B2781" s="498"/>
      <c r="C2781" s="287"/>
      <c r="D2781" s="288"/>
      <c r="E2781" s="288"/>
    </row>
    <row r="2782" spans="1:5" x14ac:dyDescent="0.25">
      <c r="A2782" s="274"/>
      <c r="B2782" s="498"/>
      <c r="C2782" s="287"/>
      <c r="D2782" s="288"/>
      <c r="E2782" s="288"/>
    </row>
    <row r="2783" spans="1:5" x14ac:dyDescent="0.25">
      <c r="A2783" s="274"/>
      <c r="B2783" s="498"/>
      <c r="C2783" s="287"/>
      <c r="D2783" s="288"/>
      <c r="E2783" s="288"/>
    </row>
    <row r="2784" spans="1:5" x14ac:dyDescent="0.25">
      <c r="A2784" s="274"/>
      <c r="B2784" s="498"/>
      <c r="C2784" s="287"/>
      <c r="D2784" s="288"/>
      <c r="E2784" s="288"/>
    </row>
    <row r="2785" spans="1:5" x14ac:dyDescent="0.25">
      <c r="A2785" s="274"/>
      <c r="B2785" s="498"/>
      <c r="C2785" s="287"/>
      <c r="D2785" s="288"/>
      <c r="E2785" s="288"/>
    </row>
    <row r="2786" spans="1:5" x14ac:dyDescent="0.25">
      <c r="A2786" s="274"/>
      <c r="B2786" s="498"/>
      <c r="C2786" s="287"/>
      <c r="D2786" s="288"/>
      <c r="E2786" s="288"/>
    </row>
    <row r="2787" spans="1:5" x14ac:dyDescent="0.25">
      <c r="A2787" s="274"/>
      <c r="B2787" s="498"/>
      <c r="C2787" s="287"/>
      <c r="D2787" s="288"/>
      <c r="E2787" s="288"/>
    </row>
    <row r="2788" spans="1:5" x14ac:dyDescent="0.25">
      <c r="A2788" s="274"/>
      <c r="B2788" s="498"/>
      <c r="C2788" s="287"/>
      <c r="D2788" s="288"/>
      <c r="E2788" s="288"/>
    </row>
    <row r="2789" spans="1:5" x14ac:dyDescent="0.25">
      <c r="A2789" s="274"/>
      <c r="B2789" s="498"/>
      <c r="C2789" s="287"/>
      <c r="D2789" s="288"/>
      <c r="E2789" s="288"/>
    </row>
    <row r="2790" spans="1:5" x14ac:dyDescent="0.25">
      <c r="A2790" s="274"/>
      <c r="B2790" s="498"/>
      <c r="C2790" s="287"/>
      <c r="D2790" s="288"/>
      <c r="E2790" s="288"/>
    </row>
    <row r="2791" spans="1:5" x14ac:dyDescent="0.25">
      <c r="A2791" s="274"/>
      <c r="B2791" s="498"/>
      <c r="C2791" s="287"/>
      <c r="D2791" s="288"/>
      <c r="E2791" s="288"/>
    </row>
    <row r="2792" spans="1:5" x14ac:dyDescent="0.25">
      <c r="A2792" s="274"/>
      <c r="B2792" s="498"/>
      <c r="C2792" s="287"/>
      <c r="D2792" s="288"/>
      <c r="E2792" s="288"/>
    </row>
    <row r="2793" spans="1:5" x14ac:dyDescent="0.25">
      <c r="A2793" s="274"/>
      <c r="B2793" s="498"/>
      <c r="C2793" s="287"/>
      <c r="D2793" s="288"/>
      <c r="E2793" s="288"/>
    </row>
    <row r="2794" spans="1:5" x14ac:dyDescent="0.25">
      <c r="A2794" s="274"/>
      <c r="B2794" s="498"/>
      <c r="C2794" s="287"/>
      <c r="D2794" s="288"/>
      <c r="E2794" s="288"/>
    </row>
    <row r="2795" spans="1:5" x14ac:dyDescent="0.25">
      <c r="A2795" s="274"/>
      <c r="B2795" s="498"/>
      <c r="C2795" s="287"/>
      <c r="D2795" s="288"/>
      <c r="E2795" s="288"/>
    </row>
    <row r="2796" spans="1:5" x14ac:dyDescent="0.25">
      <c r="A2796" s="274"/>
      <c r="B2796" s="498"/>
      <c r="C2796" s="287"/>
      <c r="D2796" s="288"/>
      <c r="E2796" s="288"/>
    </row>
    <row r="2797" spans="1:5" x14ac:dyDescent="0.25">
      <c r="A2797" s="274"/>
      <c r="B2797" s="498"/>
      <c r="C2797" s="287"/>
      <c r="D2797" s="288"/>
      <c r="E2797" s="288"/>
    </row>
    <row r="2798" spans="1:5" x14ac:dyDescent="0.25">
      <c r="A2798" s="274"/>
      <c r="B2798" s="498"/>
      <c r="C2798" s="287"/>
      <c r="D2798" s="288"/>
      <c r="E2798" s="288"/>
    </row>
    <row r="2799" spans="1:5" x14ac:dyDescent="0.25">
      <c r="A2799" s="274"/>
      <c r="B2799" s="498"/>
      <c r="C2799" s="287"/>
      <c r="D2799" s="288"/>
      <c r="E2799" s="288"/>
    </row>
    <row r="2800" spans="1:5" x14ac:dyDescent="0.25">
      <c r="A2800" s="274"/>
      <c r="B2800" s="498"/>
      <c r="C2800" s="287"/>
      <c r="D2800" s="288"/>
      <c r="E2800" s="288"/>
    </row>
    <row r="2801" spans="1:5" x14ac:dyDescent="0.25">
      <c r="A2801" s="274"/>
      <c r="B2801" s="498"/>
      <c r="C2801" s="287"/>
      <c r="D2801" s="288"/>
      <c r="E2801" s="288"/>
    </row>
    <row r="2802" spans="1:5" x14ac:dyDescent="0.25">
      <c r="A2802" s="274"/>
      <c r="B2802" s="498"/>
      <c r="C2802" s="287"/>
      <c r="D2802" s="288"/>
      <c r="E2802" s="288"/>
    </row>
    <row r="2803" spans="1:5" x14ac:dyDescent="0.25">
      <c r="A2803" s="274"/>
      <c r="B2803" s="498"/>
      <c r="C2803" s="287"/>
      <c r="D2803" s="288"/>
      <c r="E2803" s="288"/>
    </row>
    <row r="2804" spans="1:5" x14ac:dyDescent="0.25">
      <c r="A2804" s="274"/>
      <c r="B2804" s="498"/>
      <c r="C2804" s="287"/>
      <c r="D2804" s="288"/>
      <c r="E2804" s="288"/>
    </row>
    <row r="2805" spans="1:5" x14ac:dyDescent="0.25">
      <c r="A2805" s="274"/>
      <c r="B2805" s="498"/>
      <c r="C2805" s="287"/>
      <c r="D2805" s="288"/>
      <c r="E2805" s="288"/>
    </row>
    <row r="2806" spans="1:5" x14ac:dyDescent="0.25">
      <c r="A2806" s="274"/>
      <c r="B2806" s="498"/>
      <c r="C2806" s="287"/>
      <c r="D2806" s="288"/>
      <c r="E2806" s="288"/>
    </row>
    <row r="2807" spans="1:5" x14ac:dyDescent="0.25">
      <c r="A2807" s="274"/>
      <c r="B2807" s="498"/>
      <c r="C2807" s="287"/>
      <c r="D2807" s="288"/>
      <c r="E2807" s="288"/>
    </row>
    <row r="2808" spans="1:5" x14ac:dyDescent="0.25">
      <c r="A2808" s="274"/>
      <c r="B2808" s="498"/>
      <c r="C2808" s="287"/>
      <c r="D2808" s="288"/>
      <c r="E2808" s="288"/>
    </row>
    <row r="2809" spans="1:5" x14ac:dyDescent="0.25">
      <c r="A2809" s="274"/>
      <c r="B2809" s="498"/>
      <c r="C2809" s="287"/>
      <c r="D2809" s="288"/>
      <c r="E2809" s="288"/>
    </row>
    <row r="2810" spans="1:5" x14ac:dyDescent="0.25">
      <c r="A2810" s="274"/>
      <c r="B2810" s="498"/>
      <c r="C2810" s="287"/>
      <c r="D2810" s="288"/>
      <c r="E2810" s="288"/>
    </row>
    <row r="2811" spans="1:5" x14ac:dyDescent="0.25">
      <c r="A2811" s="274"/>
      <c r="B2811" s="498"/>
      <c r="C2811" s="287"/>
      <c r="D2811" s="288"/>
      <c r="E2811" s="288"/>
    </row>
    <row r="2812" spans="1:5" x14ac:dyDescent="0.25">
      <c r="A2812" s="274"/>
      <c r="B2812" s="498"/>
      <c r="C2812" s="287"/>
      <c r="D2812" s="288"/>
      <c r="E2812" s="288"/>
    </row>
    <row r="2813" spans="1:5" x14ac:dyDescent="0.25">
      <c r="A2813" s="274"/>
      <c r="B2813" s="498"/>
      <c r="C2813" s="287"/>
      <c r="D2813" s="288"/>
      <c r="E2813" s="288"/>
    </row>
    <row r="2814" spans="1:5" x14ac:dyDescent="0.25">
      <c r="A2814" s="274"/>
      <c r="B2814" s="498"/>
      <c r="C2814" s="287"/>
      <c r="D2814" s="288"/>
      <c r="E2814" s="288"/>
    </row>
    <row r="2815" spans="1:5" x14ac:dyDescent="0.25">
      <c r="A2815" s="274"/>
      <c r="B2815" s="498"/>
      <c r="C2815" s="287"/>
      <c r="D2815" s="288"/>
      <c r="E2815" s="288"/>
    </row>
    <row r="2816" spans="1:5" x14ac:dyDescent="0.25">
      <c r="A2816" s="274"/>
      <c r="B2816" s="498"/>
      <c r="C2816" s="287"/>
      <c r="D2816" s="288"/>
      <c r="E2816" s="288"/>
    </row>
    <row r="2817" spans="1:5" x14ac:dyDescent="0.25">
      <c r="A2817" s="274"/>
      <c r="B2817" s="498"/>
      <c r="C2817" s="287"/>
      <c r="D2817" s="288"/>
      <c r="E2817" s="288"/>
    </row>
    <row r="2818" spans="1:5" x14ac:dyDescent="0.25">
      <c r="A2818" s="274"/>
      <c r="B2818" s="498"/>
      <c r="C2818" s="287"/>
      <c r="D2818" s="288"/>
      <c r="E2818" s="288"/>
    </row>
    <row r="2819" spans="1:5" x14ac:dyDescent="0.25">
      <c r="A2819" s="274"/>
      <c r="B2819" s="498"/>
      <c r="C2819" s="287"/>
      <c r="D2819" s="288"/>
      <c r="E2819" s="288"/>
    </row>
    <row r="2820" spans="1:5" x14ac:dyDescent="0.25">
      <c r="A2820" s="274"/>
      <c r="B2820" s="498"/>
      <c r="C2820" s="287"/>
      <c r="D2820" s="288"/>
      <c r="E2820" s="288"/>
    </row>
    <row r="2821" spans="1:5" x14ac:dyDescent="0.25">
      <c r="A2821" s="274"/>
      <c r="B2821" s="498"/>
      <c r="C2821" s="287"/>
      <c r="D2821" s="288"/>
      <c r="E2821" s="288"/>
    </row>
    <row r="2822" spans="1:5" x14ac:dyDescent="0.25">
      <c r="A2822" s="274"/>
      <c r="B2822" s="498"/>
      <c r="C2822" s="287"/>
      <c r="D2822" s="288"/>
      <c r="E2822" s="288"/>
    </row>
    <row r="2823" spans="1:5" x14ac:dyDescent="0.25">
      <c r="A2823" s="274"/>
      <c r="B2823" s="498"/>
      <c r="C2823" s="287"/>
      <c r="D2823" s="288"/>
      <c r="E2823" s="288"/>
    </row>
    <row r="2824" spans="1:5" x14ac:dyDescent="0.25">
      <c r="A2824" s="274"/>
      <c r="B2824" s="498"/>
      <c r="C2824" s="287"/>
      <c r="D2824" s="288"/>
      <c r="E2824" s="288"/>
    </row>
    <row r="2825" spans="1:5" x14ac:dyDescent="0.25">
      <c r="A2825" s="274"/>
      <c r="B2825" s="498"/>
      <c r="C2825" s="287"/>
      <c r="D2825" s="288"/>
      <c r="E2825" s="288"/>
    </row>
    <row r="2826" spans="1:5" x14ac:dyDescent="0.25">
      <c r="A2826" s="274"/>
      <c r="B2826" s="498"/>
      <c r="C2826" s="287"/>
      <c r="D2826" s="288"/>
      <c r="E2826" s="288"/>
    </row>
    <row r="2827" spans="1:5" x14ac:dyDescent="0.25">
      <c r="A2827" s="274"/>
      <c r="B2827" s="498"/>
      <c r="C2827" s="287"/>
      <c r="D2827" s="288"/>
      <c r="E2827" s="288"/>
    </row>
    <row r="2828" spans="1:5" x14ac:dyDescent="0.25">
      <c r="A2828" s="274"/>
      <c r="B2828" s="498"/>
      <c r="C2828" s="287"/>
      <c r="D2828" s="288"/>
      <c r="E2828" s="288"/>
    </row>
    <row r="2829" spans="1:5" x14ac:dyDescent="0.25">
      <c r="A2829" s="274"/>
      <c r="B2829" s="498"/>
      <c r="C2829" s="287"/>
      <c r="D2829" s="288"/>
      <c r="E2829" s="288"/>
    </row>
    <row r="2830" spans="1:5" x14ac:dyDescent="0.25">
      <c r="A2830" s="274"/>
      <c r="B2830" s="498"/>
      <c r="C2830" s="287"/>
      <c r="D2830" s="288"/>
      <c r="E2830" s="288"/>
    </row>
    <row r="2831" spans="1:5" x14ac:dyDescent="0.25">
      <c r="A2831" s="274"/>
      <c r="B2831" s="498"/>
      <c r="C2831" s="287"/>
      <c r="D2831" s="288"/>
      <c r="E2831" s="288"/>
    </row>
    <row r="2832" spans="1:5" x14ac:dyDescent="0.25">
      <c r="A2832" s="274"/>
      <c r="B2832" s="498"/>
      <c r="C2832" s="287"/>
      <c r="D2832" s="288"/>
      <c r="E2832" s="288"/>
    </row>
    <row r="2833" spans="1:5" x14ac:dyDescent="0.25">
      <c r="A2833" s="274"/>
      <c r="B2833" s="498"/>
      <c r="C2833" s="287"/>
      <c r="D2833" s="288"/>
      <c r="E2833" s="288"/>
    </row>
    <row r="2834" spans="1:5" x14ac:dyDescent="0.25">
      <c r="A2834" s="274"/>
      <c r="B2834" s="498"/>
      <c r="C2834" s="287"/>
      <c r="D2834" s="288"/>
      <c r="E2834" s="288"/>
    </row>
    <row r="2835" spans="1:5" x14ac:dyDescent="0.25">
      <c r="A2835" s="274"/>
      <c r="B2835" s="498"/>
      <c r="C2835" s="287"/>
      <c r="D2835" s="288"/>
      <c r="E2835" s="288"/>
    </row>
    <row r="2836" spans="1:5" x14ac:dyDescent="0.25">
      <c r="A2836" s="274"/>
      <c r="B2836" s="498"/>
      <c r="C2836" s="287"/>
      <c r="D2836" s="288"/>
      <c r="E2836" s="288"/>
    </row>
    <row r="2837" spans="1:5" x14ac:dyDescent="0.25">
      <c r="A2837" s="274"/>
      <c r="B2837" s="498"/>
      <c r="C2837" s="287"/>
      <c r="D2837" s="288"/>
      <c r="E2837" s="288"/>
    </row>
    <row r="2838" spans="1:5" x14ac:dyDescent="0.25">
      <c r="A2838" s="274"/>
      <c r="B2838" s="498"/>
      <c r="C2838" s="287"/>
      <c r="D2838" s="288"/>
      <c r="E2838" s="288"/>
    </row>
    <row r="2839" spans="1:5" x14ac:dyDescent="0.25">
      <c r="A2839" s="274"/>
      <c r="B2839" s="498"/>
      <c r="C2839" s="287"/>
      <c r="D2839" s="288"/>
      <c r="E2839" s="288"/>
    </row>
    <row r="2840" spans="1:5" x14ac:dyDescent="0.25">
      <c r="A2840" s="274"/>
      <c r="B2840" s="498"/>
      <c r="C2840" s="287"/>
      <c r="D2840" s="288"/>
      <c r="E2840" s="288"/>
    </row>
    <row r="2841" spans="1:5" x14ac:dyDescent="0.25">
      <c r="A2841" s="274"/>
      <c r="B2841" s="498"/>
      <c r="C2841" s="287"/>
      <c r="D2841" s="288"/>
      <c r="E2841" s="288"/>
    </row>
    <row r="2842" spans="1:5" x14ac:dyDescent="0.25">
      <c r="A2842" s="274"/>
      <c r="B2842" s="498"/>
      <c r="C2842" s="287"/>
      <c r="D2842" s="288"/>
      <c r="E2842" s="288"/>
    </row>
    <row r="2843" spans="1:5" x14ac:dyDescent="0.25">
      <c r="A2843" s="274"/>
      <c r="B2843" s="498"/>
      <c r="C2843" s="287"/>
      <c r="D2843" s="288"/>
      <c r="E2843" s="288"/>
    </row>
    <row r="2844" spans="1:5" x14ac:dyDescent="0.25">
      <c r="A2844" s="274"/>
      <c r="B2844" s="498"/>
      <c r="C2844" s="287"/>
      <c r="D2844" s="288"/>
      <c r="E2844" s="288"/>
    </row>
    <row r="2845" spans="1:5" x14ac:dyDescent="0.25">
      <c r="A2845" s="274"/>
      <c r="B2845" s="498"/>
      <c r="C2845" s="287"/>
      <c r="D2845" s="288"/>
      <c r="E2845" s="288"/>
    </row>
    <row r="2846" spans="1:5" x14ac:dyDescent="0.25">
      <c r="A2846" s="274"/>
      <c r="B2846" s="498"/>
      <c r="C2846" s="287"/>
      <c r="D2846" s="288"/>
      <c r="E2846" s="288"/>
    </row>
    <row r="2847" spans="1:5" x14ac:dyDescent="0.25">
      <c r="A2847" s="274"/>
      <c r="B2847" s="498"/>
      <c r="C2847" s="287"/>
      <c r="D2847" s="288"/>
      <c r="E2847" s="288"/>
    </row>
    <row r="2848" spans="1:5" x14ac:dyDescent="0.25">
      <c r="A2848" s="274"/>
      <c r="B2848" s="498"/>
      <c r="C2848" s="287"/>
      <c r="D2848" s="288"/>
      <c r="E2848" s="288"/>
    </row>
    <row r="2849" spans="1:5" x14ac:dyDescent="0.25">
      <c r="A2849" s="274"/>
      <c r="B2849" s="498"/>
      <c r="C2849" s="287"/>
      <c r="D2849" s="288"/>
      <c r="E2849" s="288"/>
    </row>
    <row r="2850" spans="1:5" x14ac:dyDescent="0.25">
      <c r="A2850" s="274"/>
      <c r="B2850" s="498"/>
      <c r="C2850" s="287"/>
      <c r="D2850" s="288"/>
      <c r="E2850" s="288"/>
    </row>
    <row r="2851" spans="1:5" x14ac:dyDescent="0.25">
      <c r="A2851" s="274"/>
      <c r="B2851" s="498"/>
      <c r="C2851" s="287"/>
      <c r="D2851" s="288"/>
      <c r="E2851" s="288"/>
    </row>
    <row r="2852" spans="1:5" x14ac:dyDescent="0.25">
      <c r="A2852" s="274"/>
      <c r="B2852" s="498"/>
      <c r="C2852" s="287"/>
      <c r="D2852" s="288"/>
      <c r="E2852" s="288"/>
    </row>
    <row r="2853" spans="1:5" x14ac:dyDescent="0.25">
      <c r="A2853" s="274"/>
      <c r="B2853" s="498"/>
      <c r="C2853" s="287"/>
      <c r="D2853" s="288"/>
      <c r="E2853" s="288"/>
    </row>
    <row r="2854" spans="1:5" x14ac:dyDescent="0.25">
      <c r="A2854" s="274"/>
      <c r="B2854" s="498"/>
      <c r="C2854" s="287"/>
      <c r="D2854" s="288"/>
      <c r="E2854" s="288"/>
    </row>
    <row r="2855" spans="1:5" x14ac:dyDescent="0.25">
      <c r="A2855" s="274"/>
      <c r="B2855" s="498"/>
      <c r="C2855" s="287"/>
      <c r="D2855" s="288"/>
      <c r="E2855" s="288"/>
    </row>
    <row r="2856" spans="1:5" x14ac:dyDescent="0.25">
      <c r="A2856" s="274"/>
      <c r="B2856" s="498"/>
      <c r="C2856" s="287"/>
      <c r="D2856" s="288"/>
      <c r="E2856" s="288"/>
    </row>
    <row r="2857" spans="1:5" x14ac:dyDescent="0.25">
      <c r="A2857" s="274"/>
      <c r="B2857" s="498"/>
      <c r="C2857" s="287"/>
      <c r="D2857" s="288"/>
      <c r="E2857" s="288"/>
    </row>
    <row r="2858" spans="1:5" x14ac:dyDescent="0.25">
      <c r="A2858" s="274"/>
      <c r="B2858" s="498"/>
      <c r="C2858" s="287"/>
      <c r="D2858" s="288"/>
      <c r="E2858" s="288"/>
    </row>
    <row r="2859" spans="1:5" x14ac:dyDescent="0.25">
      <c r="A2859" s="274"/>
      <c r="B2859" s="498"/>
      <c r="C2859" s="287"/>
      <c r="D2859" s="288"/>
      <c r="E2859" s="288"/>
    </row>
    <row r="2860" spans="1:5" x14ac:dyDescent="0.25">
      <c r="A2860" s="274"/>
      <c r="B2860" s="498"/>
      <c r="C2860" s="287"/>
      <c r="D2860" s="288"/>
      <c r="E2860" s="288"/>
    </row>
    <row r="2861" spans="1:5" x14ac:dyDescent="0.25">
      <c r="A2861" s="274"/>
      <c r="B2861" s="498"/>
      <c r="C2861" s="287"/>
      <c r="D2861" s="288"/>
      <c r="E2861" s="288"/>
    </row>
    <row r="2862" spans="1:5" x14ac:dyDescent="0.25">
      <c r="A2862" s="274"/>
      <c r="B2862" s="498"/>
      <c r="C2862" s="287"/>
      <c r="D2862" s="288"/>
      <c r="E2862" s="288"/>
    </row>
    <row r="2863" spans="1:5" x14ac:dyDescent="0.25">
      <c r="A2863" s="274"/>
      <c r="B2863" s="498"/>
      <c r="C2863" s="287"/>
      <c r="D2863" s="288"/>
      <c r="E2863" s="288"/>
    </row>
    <row r="2864" spans="1:5" x14ac:dyDescent="0.25">
      <c r="A2864" s="274"/>
      <c r="B2864" s="498"/>
      <c r="C2864" s="287"/>
      <c r="D2864" s="288"/>
      <c r="E2864" s="288"/>
    </row>
    <row r="2865" spans="1:5" x14ac:dyDescent="0.25">
      <c r="A2865" s="274"/>
      <c r="B2865" s="498"/>
      <c r="C2865" s="287"/>
      <c r="D2865" s="288"/>
      <c r="E2865" s="288"/>
    </row>
    <row r="2866" spans="1:5" x14ac:dyDescent="0.25">
      <c r="A2866" s="274"/>
      <c r="B2866" s="498"/>
      <c r="C2866" s="287"/>
      <c r="D2866" s="288"/>
      <c r="E2866" s="288"/>
    </row>
    <row r="2867" spans="1:5" x14ac:dyDescent="0.25">
      <c r="A2867" s="274"/>
      <c r="B2867" s="498"/>
      <c r="C2867" s="287"/>
      <c r="D2867" s="288"/>
      <c r="E2867" s="288"/>
    </row>
    <row r="2868" spans="1:5" x14ac:dyDescent="0.25">
      <c r="A2868" s="274"/>
      <c r="B2868" s="498"/>
      <c r="C2868" s="287"/>
      <c r="D2868" s="288"/>
      <c r="E2868" s="288"/>
    </row>
    <row r="2869" spans="1:5" x14ac:dyDescent="0.25">
      <c r="A2869" s="274"/>
      <c r="B2869" s="498"/>
      <c r="C2869" s="287"/>
      <c r="D2869" s="288"/>
      <c r="E2869" s="288"/>
    </row>
    <row r="2870" spans="1:5" x14ac:dyDescent="0.25">
      <c r="A2870" s="274"/>
      <c r="B2870" s="498"/>
      <c r="C2870" s="287"/>
      <c r="D2870" s="288"/>
      <c r="E2870" s="288"/>
    </row>
    <row r="2871" spans="1:5" x14ac:dyDescent="0.25">
      <c r="A2871" s="274"/>
      <c r="B2871" s="498"/>
      <c r="C2871" s="287"/>
      <c r="D2871" s="288"/>
      <c r="E2871" s="288"/>
    </row>
    <row r="2872" spans="1:5" x14ac:dyDescent="0.25">
      <c r="A2872" s="274"/>
      <c r="B2872" s="498"/>
      <c r="C2872" s="287"/>
      <c r="D2872" s="288"/>
      <c r="E2872" s="288"/>
    </row>
    <row r="2873" spans="1:5" x14ac:dyDescent="0.25">
      <c r="A2873" s="274"/>
      <c r="B2873" s="498"/>
      <c r="C2873" s="287"/>
      <c r="D2873" s="288"/>
      <c r="E2873" s="288"/>
    </row>
    <row r="2874" spans="1:5" x14ac:dyDescent="0.25">
      <c r="A2874" s="274"/>
      <c r="B2874" s="498"/>
      <c r="C2874" s="287"/>
      <c r="D2874" s="288"/>
      <c r="E2874" s="288"/>
    </row>
    <row r="2875" spans="1:5" x14ac:dyDescent="0.25">
      <c r="A2875" s="274"/>
      <c r="B2875" s="498"/>
      <c r="C2875" s="287"/>
      <c r="D2875" s="288"/>
      <c r="E2875" s="288"/>
    </row>
    <row r="2876" spans="1:5" x14ac:dyDescent="0.25">
      <c r="A2876" s="274"/>
      <c r="B2876" s="498"/>
      <c r="C2876" s="287"/>
      <c r="D2876" s="288"/>
      <c r="E2876" s="288"/>
    </row>
    <row r="2877" spans="1:5" x14ac:dyDescent="0.25">
      <c r="A2877" s="274"/>
      <c r="B2877" s="498"/>
      <c r="C2877" s="287"/>
      <c r="D2877" s="288"/>
      <c r="E2877" s="288"/>
    </row>
    <row r="2878" spans="1:5" x14ac:dyDescent="0.25">
      <c r="A2878" s="274"/>
      <c r="B2878" s="498"/>
      <c r="C2878" s="287"/>
      <c r="D2878" s="288"/>
      <c r="E2878" s="288"/>
    </row>
    <row r="2879" spans="1:5" x14ac:dyDescent="0.25">
      <c r="A2879" s="274"/>
      <c r="B2879" s="498"/>
      <c r="C2879" s="287"/>
      <c r="D2879" s="288"/>
      <c r="E2879" s="288"/>
    </row>
    <row r="2880" spans="1:5" x14ac:dyDescent="0.25">
      <c r="A2880" s="274"/>
      <c r="B2880" s="498"/>
      <c r="C2880" s="287"/>
      <c r="D2880" s="288"/>
      <c r="E2880" s="288"/>
    </row>
    <row r="2881" spans="1:5" x14ac:dyDescent="0.25">
      <c r="A2881" s="274"/>
      <c r="B2881" s="498"/>
      <c r="C2881" s="287"/>
      <c r="D2881" s="288"/>
      <c r="E2881" s="288"/>
    </row>
    <row r="2882" spans="1:5" x14ac:dyDescent="0.25">
      <c r="A2882" s="274"/>
      <c r="B2882" s="498"/>
      <c r="C2882" s="287"/>
      <c r="D2882" s="288"/>
      <c r="E2882" s="288"/>
    </row>
    <row r="2883" spans="1:5" x14ac:dyDescent="0.25">
      <c r="A2883" s="274"/>
      <c r="B2883" s="498"/>
      <c r="C2883" s="287"/>
      <c r="D2883" s="288"/>
      <c r="E2883" s="288"/>
    </row>
    <row r="2884" spans="1:5" x14ac:dyDescent="0.25">
      <c r="A2884" s="274"/>
      <c r="B2884" s="498"/>
      <c r="C2884" s="287"/>
      <c r="D2884" s="288"/>
      <c r="E2884" s="288"/>
    </row>
    <row r="2885" spans="1:5" x14ac:dyDescent="0.25">
      <c r="A2885" s="274"/>
      <c r="B2885" s="498"/>
      <c r="C2885" s="287"/>
      <c r="D2885" s="288"/>
      <c r="E2885" s="288"/>
    </row>
    <row r="2886" spans="1:5" x14ac:dyDescent="0.25">
      <c r="A2886" s="274"/>
      <c r="B2886" s="498"/>
      <c r="C2886" s="287"/>
      <c r="D2886" s="288"/>
      <c r="E2886" s="288"/>
    </row>
    <row r="2887" spans="1:5" x14ac:dyDescent="0.25">
      <c r="A2887" s="274"/>
      <c r="B2887" s="498"/>
      <c r="C2887" s="287"/>
      <c r="D2887" s="288"/>
      <c r="E2887" s="288"/>
    </row>
    <row r="2888" spans="1:5" x14ac:dyDescent="0.25">
      <c r="A2888" s="274"/>
      <c r="B2888" s="498"/>
      <c r="C2888" s="287"/>
      <c r="D2888" s="288"/>
      <c r="E2888" s="288"/>
    </row>
    <row r="2889" spans="1:5" x14ac:dyDescent="0.25">
      <c r="A2889" s="274"/>
      <c r="B2889" s="498"/>
      <c r="C2889" s="287"/>
      <c r="D2889" s="288"/>
      <c r="E2889" s="288"/>
    </row>
    <row r="2890" spans="1:5" x14ac:dyDescent="0.25">
      <c r="A2890" s="274"/>
      <c r="B2890" s="498"/>
      <c r="C2890" s="287"/>
      <c r="D2890" s="288"/>
      <c r="E2890" s="288"/>
    </row>
    <row r="2891" spans="1:5" x14ac:dyDescent="0.25">
      <c r="A2891" s="274"/>
      <c r="B2891" s="498"/>
      <c r="C2891" s="287"/>
      <c r="D2891" s="288"/>
      <c r="E2891" s="288"/>
    </row>
    <row r="2892" spans="1:5" x14ac:dyDescent="0.25">
      <c r="A2892" s="274"/>
      <c r="B2892" s="498"/>
      <c r="C2892" s="287"/>
      <c r="D2892" s="288"/>
      <c r="E2892" s="288"/>
    </row>
    <row r="2893" spans="1:5" x14ac:dyDescent="0.25">
      <c r="A2893" s="274"/>
      <c r="B2893" s="498"/>
      <c r="C2893" s="287"/>
      <c r="D2893" s="288"/>
      <c r="E2893" s="288"/>
    </row>
    <row r="2894" spans="1:5" x14ac:dyDescent="0.25">
      <c r="A2894" s="274"/>
      <c r="B2894" s="498"/>
      <c r="C2894" s="287"/>
      <c r="D2894" s="288"/>
      <c r="E2894" s="288"/>
    </row>
    <row r="2895" spans="1:5" x14ac:dyDescent="0.25">
      <c r="A2895" s="274"/>
      <c r="B2895" s="498"/>
      <c r="C2895" s="287"/>
      <c r="D2895" s="288"/>
      <c r="E2895" s="288"/>
    </row>
    <row r="2896" spans="1:5" x14ac:dyDescent="0.25">
      <c r="A2896" s="274"/>
      <c r="B2896" s="498"/>
      <c r="C2896" s="287"/>
      <c r="D2896" s="288"/>
      <c r="E2896" s="288"/>
    </row>
    <row r="2897" spans="1:5" x14ac:dyDescent="0.25">
      <c r="A2897" s="274"/>
      <c r="B2897" s="498"/>
      <c r="C2897" s="287"/>
      <c r="D2897" s="288"/>
      <c r="E2897" s="288"/>
    </row>
    <row r="2898" spans="1:5" x14ac:dyDescent="0.25">
      <c r="A2898" s="274"/>
      <c r="B2898" s="498"/>
      <c r="C2898" s="287"/>
      <c r="D2898" s="288"/>
      <c r="E2898" s="288"/>
    </row>
    <row r="2899" spans="1:5" x14ac:dyDescent="0.25">
      <c r="A2899" s="274"/>
      <c r="B2899" s="498"/>
      <c r="C2899" s="287"/>
      <c r="D2899" s="288"/>
      <c r="E2899" s="288"/>
    </row>
    <row r="2900" spans="1:5" x14ac:dyDescent="0.25">
      <c r="A2900" s="274"/>
      <c r="B2900" s="498"/>
      <c r="C2900" s="287"/>
      <c r="D2900" s="288"/>
      <c r="E2900" s="288"/>
    </row>
    <row r="2901" spans="1:5" x14ac:dyDescent="0.25">
      <c r="A2901" s="274"/>
      <c r="B2901" s="498"/>
      <c r="C2901" s="287"/>
      <c r="D2901" s="288"/>
      <c r="E2901" s="288"/>
    </row>
    <row r="2902" spans="1:5" x14ac:dyDescent="0.25">
      <c r="A2902" s="274"/>
      <c r="B2902" s="498"/>
      <c r="C2902" s="287"/>
      <c r="D2902" s="288"/>
      <c r="E2902" s="288"/>
    </row>
    <row r="2903" spans="1:5" x14ac:dyDescent="0.25">
      <c r="A2903" s="274"/>
      <c r="B2903" s="498"/>
      <c r="C2903" s="287"/>
      <c r="D2903" s="288"/>
      <c r="E2903" s="288"/>
    </row>
    <row r="2904" spans="1:5" x14ac:dyDescent="0.25">
      <c r="A2904" s="274"/>
      <c r="B2904" s="498"/>
      <c r="C2904" s="287"/>
      <c r="D2904" s="288"/>
      <c r="E2904" s="288"/>
    </row>
    <row r="2905" spans="1:5" x14ac:dyDescent="0.25">
      <c r="A2905" s="274"/>
      <c r="B2905" s="498"/>
      <c r="C2905" s="287"/>
      <c r="D2905" s="288"/>
      <c r="E2905" s="288"/>
    </row>
    <row r="2906" spans="1:5" x14ac:dyDescent="0.25">
      <c r="A2906" s="274"/>
      <c r="B2906" s="498"/>
      <c r="C2906" s="287"/>
      <c r="D2906" s="288"/>
      <c r="E2906" s="288"/>
    </row>
    <row r="2907" spans="1:5" x14ac:dyDescent="0.25">
      <c r="A2907" s="274"/>
      <c r="B2907" s="498"/>
      <c r="C2907" s="287"/>
      <c r="D2907" s="288"/>
      <c r="E2907" s="288"/>
    </row>
    <row r="2908" spans="1:5" x14ac:dyDescent="0.25">
      <c r="A2908" s="274"/>
      <c r="B2908" s="498"/>
      <c r="C2908" s="287"/>
      <c r="D2908" s="288"/>
      <c r="E2908" s="288"/>
    </row>
    <row r="2909" spans="1:5" x14ac:dyDescent="0.25">
      <c r="A2909" s="274"/>
      <c r="B2909" s="498"/>
      <c r="C2909" s="287"/>
      <c r="D2909" s="288"/>
      <c r="E2909" s="288"/>
    </row>
    <row r="2910" spans="1:5" x14ac:dyDescent="0.25">
      <c r="A2910" s="274"/>
      <c r="B2910" s="498"/>
      <c r="C2910" s="287"/>
      <c r="D2910" s="288"/>
      <c r="E2910" s="288"/>
    </row>
    <row r="2911" spans="1:5" x14ac:dyDescent="0.25">
      <c r="A2911" s="274"/>
      <c r="B2911" s="498"/>
      <c r="C2911" s="287"/>
      <c r="D2911" s="288"/>
      <c r="E2911" s="288"/>
    </row>
    <row r="2912" spans="1:5" x14ac:dyDescent="0.25">
      <c r="A2912" s="274"/>
      <c r="B2912" s="498"/>
      <c r="C2912" s="287"/>
      <c r="D2912" s="288"/>
      <c r="E2912" s="288"/>
    </row>
    <row r="2913" spans="1:5" x14ac:dyDescent="0.25">
      <c r="A2913" s="274"/>
      <c r="B2913" s="498"/>
      <c r="C2913" s="287"/>
      <c r="D2913" s="288"/>
      <c r="E2913" s="288"/>
    </row>
    <row r="2914" spans="1:5" x14ac:dyDescent="0.25">
      <c r="A2914" s="274"/>
      <c r="B2914" s="498"/>
      <c r="C2914" s="287"/>
      <c r="D2914" s="288"/>
      <c r="E2914" s="288"/>
    </row>
    <row r="2915" spans="1:5" x14ac:dyDescent="0.25">
      <c r="A2915" s="274"/>
      <c r="B2915" s="498"/>
      <c r="C2915" s="287"/>
      <c r="D2915" s="288"/>
      <c r="E2915" s="288"/>
    </row>
    <row r="2916" spans="1:5" x14ac:dyDescent="0.25">
      <c r="A2916" s="274"/>
      <c r="B2916" s="498"/>
      <c r="C2916" s="287"/>
      <c r="D2916" s="288"/>
      <c r="E2916" s="288"/>
    </row>
    <row r="2917" spans="1:5" x14ac:dyDescent="0.25">
      <c r="A2917" s="274"/>
      <c r="B2917" s="498"/>
      <c r="C2917" s="287"/>
      <c r="D2917" s="288"/>
      <c r="E2917" s="288"/>
    </row>
    <row r="2918" spans="1:5" x14ac:dyDescent="0.25">
      <c r="A2918" s="274"/>
      <c r="B2918" s="498"/>
      <c r="C2918" s="287"/>
      <c r="D2918" s="288"/>
      <c r="E2918" s="288"/>
    </row>
    <row r="2919" spans="1:5" x14ac:dyDescent="0.25">
      <c r="A2919" s="274"/>
      <c r="B2919" s="498"/>
      <c r="C2919" s="287"/>
      <c r="D2919" s="288"/>
      <c r="E2919" s="288"/>
    </row>
    <row r="2920" spans="1:5" x14ac:dyDescent="0.25">
      <c r="A2920" s="274"/>
      <c r="B2920" s="498"/>
      <c r="C2920" s="287"/>
      <c r="D2920" s="288"/>
      <c r="E2920" s="288"/>
    </row>
    <row r="2921" spans="1:5" x14ac:dyDescent="0.25">
      <c r="A2921" s="274"/>
      <c r="B2921" s="498"/>
      <c r="C2921" s="287"/>
      <c r="D2921" s="288"/>
      <c r="E2921" s="288"/>
    </row>
    <row r="2922" spans="1:5" x14ac:dyDescent="0.25">
      <c r="A2922" s="274"/>
      <c r="B2922" s="498"/>
      <c r="C2922" s="287"/>
      <c r="D2922" s="288"/>
      <c r="E2922" s="288"/>
    </row>
    <row r="2923" spans="1:5" x14ac:dyDescent="0.25">
      <c r="A2923" s="274"/>
      <c r="B2923" s="498"/>
      <c r="C2923" s="287"/>
      <c r="D2923" s="288"/>
      <c r="E2923" s="288"/>
    </row>
    <row r="2924" spans="1:5" x14ac:dyDescent="0.25">
      <c r="A2924" s="274"/>
      <c r="B2924" s="498"/>
      <c r="C2924" s="287"/>
      <c r="D2924" s="288"/>
      <c r="E2924" s="288"/>
    </row>
    <row r="2925" spans="1:5" x14ac:dyDescent="0.25">
      <c r="A2925" s="274"/>
      <c r="B2925" s="498"/>
      <c r="C2925" s="287"/>
      <c r="D2925" s="288"/>
      <c r="E2925" s="288"/>
    </row>
    <row r="2926" spans="1:5" x14ac:dyDescent="0.25">
      <c r="A2926" s="274"/>
      <c r="B2926" s="498"/>
      <c r="C2926" s="287"/>
      <c r="D2926" s="288"/>
      <c r="E2926" s="288"/>
    </row>
    <row r="2927" spans="1:5" x14ac:dyDescent="0.25">
      <c r="A2927" s="274"/>
      <c r="B2927" s="498"/>
      <c r="C2927" s="287"/>
      <c r="D2927" s="288"/>
      <c r="E2927" s="288"/>
    </row>
    <row r="2928" spans="1:5" x14ac:dyDescent="0.25">
      <c r="A2928" s="274"/>
      <c r="B2928" s="498"/>
      <c r="C2928" s="287"/>
      <c r="D2928" s="288"/>
      <c r="E2928" s="288"/>
    </row>
    <row r="2929" spans="1:5" x14ac:dyDescent="0.25">
      <c r="A2929" s="274"/>
      <c r="B2929" s="498"/>
      <c r="C2929" s="287"/>
      <c r="D2929" s="288"/>
      <c r="E2929" s="288"/>
    </row>
    <row r="2930" spans="1:5" x14ac:dyDescent="0.25">
      <c r="A2930" s="274"/>
      <c r="B2930" s="498"/>
      <c r="C2930" s="287"/>
      <c r="D2930" s="288"/>
      <c r="E2930" s="288"/>
    </row>
    <row r="2931" spans="1:5" x14ac:dyDescent="0.25">
      <c r="A2931" s="274"/>
      <c r="B2931" s="498"/>
      <c r="C2931" s="287"/>
      <c r="D2931" s="288"/>
      <c r="E2931" s="288"/>
    </row>
    <row r="2932" spans="1:5" x14ac:dyDescent="0.25">
      <c r="A2932" s="274"/>
      <c r="B2932" s="498"/>
      <c r="C2932" s="287"/>
      <c r="D2932" s="288"/>
      <c r="E2932" s="288"/>
    </row>
    <row r="2933" spans="1:5" x14ac:dyDescent="0.25">
      <c r="A2933" s="274"/>
      <c r="B2933" s="498"/>
      <c r="C2933" s="287"/>
      <c r="D2933" s="288"/>
      <c r="E2933" s="288"/>
    </row>
    <row r="2934" spans="1:5" x14ac:dyDescent="0.25">
      <c r="A2934" s="274"/>
      <c r="B2934" s="498"/>
      <c r="C2934" s="287"/>
      <c r="D2934" s="288"/>
      <c r="E2934" s="288"/>
    </row>
    <row r="2935" spans="1:5" x14ac:dyDescent="0.25">
      <c r="A2935" s="274"/>
      <c r="B2935" s="498"/>
      <c r="C2935" s="287"/>
      <c r="D2935" s="288"/>
      <c r="E2935" s="288"/>
    </row>
    <row r="2936" spans="1:5" x14ac:dyDescent="0.25">
      <c r="A2936" s="274"/>
      <c r="B2936" s="498"/>
      <c r="C2936" s="287"/>
      <c r="D2936" s="288"/>
      <c r="E2936" s="288"/>
    </row>
    <row r="2937" spans="1:5" x14ac:dyDescent="0.25">
      <c r="A2937" s="274"/>
      <c r="B2937" s="498"/>
      <c r="C2937" s="287"/>
      <c r="D2937" s="288"/>
      <c r="E2937" s="288"/>
    </row>
    <row r="2938" spans="1:5" x14ac:dyDescent="0.25">
      <c r="A2938" s="274"/>
      <c r="B2938" s="498"/>
      <c r="C2938" s="287"/>
      <c r="D2938" s="288"/>
      <c r="E2938" s="288"/>
    </row>
    <row r="2939" spans="1:5" x14ac:dyDescent="0.25">
      <c r="A2939" s="274"/>
      <c r="B2939" s="498"/>
      <c r="C2939" s="287"/>
      <c r="D2939" s="288"/>
      <c r="E2939" s="288"/>
    </row>
    <row r="2940" spans="1:5" x14ac:dyDescent="0.25">
      <c r="A2940" s="274"/>
      <c r="B2940" s="498"/>
      <c r="C2940" s="287"/>
      <c r="D2940" s="288"/>
      <c r="E2940" s="288"/>
    </row>
    <row r="2941" spans="1:5" x14ac:dyDescent="0.25">
      <c r="A2941" s="274"/>
      <c r="B2941" s="498"/>
      <c r="C2941" s="287"/>
      <c r="D2941" s="288"/>
      <c r="E2941" s="288"/>
    </row>
    <row r="2942" spans="1:5" x14ac:dyDescent="0.25">
      <c r="A2942" s="274"/>
      <c r="B2942" s="498"/>
      <c r="C2942" s="287"/>
      <c r="D2942" s="288"/>
      <c r="E2942" s="288"/>
    </row>
    <row r="2943" spans="1:5" x14ac:dyDescent="0.25">
      <c r="A2943" s="274"/>
      <c r="B2943" s="498"/>
      <c r="C2943" s="287"/>
      <c r="D2943" s="288"/>
      <c r="E2943" s="288"/>
    </row>
    <row r="2944" spans="1:5" x14ac:dyDescent="0.25">
      <c r="A2944" s="274"/>
      <c r="B2944" s="498"/>
      <c r="C2944" s="287"/>
      <c r="D2944" s="288"/>
      <c r="E2944" s="288"/>
    </row>
    <row r="2945" spans="1:5" x14ac:dyDescent="0.25">
      <c r="A2945" s="274"/>
      <c r="B2945" s="498"/>
      <c r="C2945" s="287"/>
      <c r="D2945" s="288"/>
      <c r="E2945" s="288"/>
    </row>
    <row r="2946" spans="1:5" x14ac:dyDescent="0.25">
      <c r="A2946" s="274"/>
      <c r="B2946" s="498"/>
      <c r="C2946" s="287"/>
      <c r="D2946" s="288"/>
      <c r="E2946" s="288"/>
    </row>
    <row r="2947" spans="1:5" x14ac:dyDescent="0.25">
      <c r="A2947" s="274"/>
      <c r="B2947" s="498"/>
      <c r="C2947" s="287"/>
      <c r="D2947" s="288"/>
      <c r="E2947" s="288"/>
    </row>
    <row r="2948" spans="1:5" x14ac:dyDescent="0.25">
      <c r="A2948" s="274"/>
      <c r="B2948" s="498"/>
      <c r="C2948" s="287"/>
      <c r="D2948" s="288"/>
      <c r="E2948" s="288"/>
    </row>
    <row r="2949" spans="1:5" x14ac:dyDescent="0.25">
      <c r="A2949" s="274"/>
      <c r="B2949" s="498"/>
      <c r="C2949" s="287"/>
      <c r="D2949" s="288"/>
      <c r="E2949" s="288"/>
    </row>
    <row r="2950" spans="1:5" x14ac:dyDescent="0.25">
      <c r="A2950" s="274"/>
      <c r="B2950" s="498"/>
      <c r="C2950" s="287"/>
      <c r="D2950" s="288"/>
      <c r="E2950" s="288"/>
    </row>
    <row r="2951" spans="1:5" x14ac:dyDescent="0.25">
      <c r="A2951" s="274"/>
      <c r="B2951" s="498"/>
      <c r="C2951" s="287"/>
      <c r="D2951" s="288"/>
      <c r="E2951" s="288"/>
    </row>
    <row r="2952" spans="1:5" x14ac:dyDescent="0.25">
      <c r="A2952" s="274"/>
      <c r="B2952" s="498"/>
      <c r="C2952" s="287"/>
      <c r="D2952" s="288"/>
      <c r="E2952" s="288"/>
    </row>
    <row r="2953" spans="1:5" x14ac:dyDescent="0.25">
      <c r="A2953" s="274"/>
      <c r="B2953" s="498"/>
      <c r="C2953" s="287"/>
      <c r="D2953" s="288"/>
      <c r="E2953" s="288"/>
    </row>
    <row r="2954" spans="1:5" x14ac:dyDescent="0.25">
      <c r="A2954" s="274"/>
      <c r="B2954" s="498"/>
      <c r="C2954" s="287"/>
      <c r="D2954" s="288"/>
      <c r="E2954" s="288"/>
    </row>
    <row r="2955" spans="1:5" x14ac:dyDescent="0.25">
      <c r="A2955" s="274"/>
      <c r="B2955" s="498"/>
      <c r="C2955" s="287"/>
      <c r="D2955" s="288"/>
      <c r="E2955" s="288"/>
    </row>
    <row r="2956" spans="1:5" x14ac:dyDescent="0.25">
      <c r="A2956" s="274"/>
      <c r="B2956" s="498"/>
      <c r="C2956" s="287"/>
      <c r="D2956" s="288"/>
      <c r="E2956" s="288"/>
    </row>
    <row r="2957" spans="1:5" x14ac:dyDescent="0.25">
      <c r="A2957" s="274"/>
      <c r="B2957" s="498"/>
      <c r="C2957" s="287"/>
      <c r="D2957" s="288"/>
      <c r="E2957" s="288"/>
    </row>
    <row r="2958" spans="1:5" x14ac:dyDescent="0.25">
      <c r="A2958" s="274"/>
      <c r="B2958" s="498"/>
      <c r="C2958" s="287"/>
      <c r="D2958" s="288"/>
      <c r="E2958" s="288"/>
    </row>
    <row r="2959" spans="1:5" x14ac:dyDescent="0.25">
      <c r="A2959" s="274"/>
      <c r="B2959" s="498"/>
      <c r="C2959" s="287"/>
      <c r="D2959" s="288"/>
      <c r="E2959" s="288"/>
    </row>
    <row r="2960" spans="1:5" x14ac:dyDescent="0.25">
      <c r="A2960" s="274"/>
      <c r="B2960" s="498"/>
      <c r="C2960" s="287"/>
      <c r="D2960" s="288"/>
      <c r="E2960" s="288"/>
    </row>
    <row r="2961" spans="1:5" x14ac:dyDescent="0.25">
      <c r="A2961" s="274"/>
      <c r="B2961" s="498"/>
      <c r="C2961" s="287"/>
      <c r="D2961" s="288"/>
      <c r="E2961" s="288"/>
    </row>
    <row r="2962" spans="1:5" x14ac:dyDescent="0.25">
      <c r="A2962" s="274"/>
      <c r="B2962" s="498"/>
      <c r="C2962" s="287"/>
      <c r="D2962" s="288"/>
      <c r="E2962" s="288"/>
    </row>
    <row r="2963" spans="1:5" x14ac:dyDescent="0.25">
      <c r="A2963" s="274"/>
      <c r="B2963" s="498"/>
      <c r="C2963" s="287"/>
      <c r="D2963" s="288"/>
      <c r="E2963" s="288"/>
    </row>
    <row r="2964" spans="1:5" x14ac:dyDescent="0.25">
      <c r="A2964" s="274"/>
      <c r="B2964" s="498"/>
      <c r="C2964" s="287"/>
      <c r="D2964" s="288"/>
      <c r="E2964" s="288"/>
    </row>
    <row r="2965" spans="1:5" x14ac:dyDescent="0.25">
      <c r="A2965" s="274"/>
      <c r="B2965" s="498"/>
      <c r="C2965" s="287"/>
      <c r="D2965" s="288"/>
      <c r="E2965" s="288"/>
    </row>
    <row r="2966" spans="1:5" x14ac:dyDescent="0.25">
      <c r="A2966" s="274"/>
      <c r="B2966" s="498"/>
      <c r="C2966" s="287"/>
      <c r="D2966" s="288"/>
      <c r="E2966" s="288"/>
    </row>
    <row r="2967" spans="1:5" x14ac:dyDescent="0.25">
      <c r="A2967" s="274"/>
      <c r="B2967" s="498"/>
      <c r="C2967" s="287"/>
      <c r="D2967" s="288"/>
      <c r="E2967" s="288"/>
    </row>
    <row r="2968" spans="1:5" x14ac:dyDescent="0.25">
      <c r="A2968" s="274"/>
      <c r="B2968" s="498"/>
      <c r="C2968" s="287"/>
      <c r="D2968" s="288"/>
      <c r="E2968" s="288"/>
    </row>
    <row r="2969" spans="1:5" x14ac:dyDescent="0.25">
      <c r="A2969" s="274"/>
      <c r="B2969" s="498"/>
      <c r="C2969" s="287"/>
      <c r="D2969" s="288"/>
      <c r="E2969" s="288"/>
    </row>
    <row r="2970" spans="1:5" x14ac:dyDescent="0.25">
      <c r="A2970" s="274"/>
      <c r="B2970" s="498"/>
      <c r="C2970" s="287"/>
      <c r="D2970" s="288"/>
      <c r="E2970" s="288"/>
    </row>
    <row r="2971" spans="1:5" x14ac:dyDescent="0.25">
      <c r="A2971" s="274"/>
      <c r="B2971" s="498"/>
      <c r="C2971" s="287"/>
      <c r="D2971" s="288"/>
      <c r="E2971" s="288"/>
    </row>
    <row r="2972" spans="1:5" x14ac:dyDescent="0.25">
      <c r="A2972" s="274"/>
      <c r="B2972" s="498"/>
      <c r="C2972" s="287"/>
      <c r="D2972" s="288"/>
      <c r="E2972" s="288"/>
    </row>
    <row r="2973" spans="1:5" x14ac:dyDescent="0.25">
      <c r="A2973" s="274"/>
      <c r="B2973" s="498"/>
      <c r="C2973" s="287"/>
      <c r="D2973" s="288"/>
      <c r="E2973" s="288"/>
    </row>
    <row r="2974" spans="1:5" x14ac:dyDescent="0.25">
      <c r="A2974" s="274"/>
      <c r="B2974" s="498"/>
      <c r="C2974" s="287"/>
      <c r="D2974" s="288"/>
      <c r="E2974" s="288"/>
    </row>
    <row r="2975" spans="1:5" x14ac:dyDescent="0.25">
      <c r="A2975" s="274"/>
      <c r="B2975" s="498"/>
      <c r="C2975" s="287"/>
      <c r="D2975" s="288"/>
      <c r="E2975" s="288"/>
    </row>
    <row r="2976" spans="1:5" x14ac:dyDescent="0.25">
      <c r="A2976" s="274"/>
      <c r="B2976" s="498"/>
      <c r="C2976" s="287"/>
      <c r="D2976" s="288"/>
      <c r="E2976" s="288"/>
    </row>
    <row r="2977" spans="1:5" x14ac:dyDescent="0.25">
      <c r="A2977" s="274"/>
      <c r="B2977" s="498"/>
      <c r="C2977" s="287"/>
      <c r="D2977" s="288"/>
      <c r="E2977" s="288"/>
    </row>
    <row r="2978" spans="1:5" x14ac:dyDescent="0.25">
      <c r="A2978" s="274"/>
      <c r="B2978" s="498"/>
      <c r="C2978" s="287"/>
      <c r="D2978" s="288"/>
      <c r="E2978" s="288"/>
    </row>
    <row r="2979" spans="1:5" x14ac:dyDescent="0.25">
      <c r="A2979" s="274"/>
      <c r="B2979" s="498"/>
      <c r="C2979" s="287"/>
      <c r="D2979" s="288"/>
      <c r="E2979" s="288"/>
    </row>
    <row r="2980" spans="1:5" x14ac:dyDescent="0.25">
      <c r="A2980" s="274"/>
      <c r="B2980" s="498"/>
      <c r="C2980" s="287"/>
      <c r="D2980" s="288"/>
      <c r="E2980" s="288"/>
    </row>
    <row r="2981" spans="1:5" x14ac:dyDescent="0.25">
      <c r="A2981" s="274"/>
      <c r="B2981" s="498"/>
      <c r="C2981" s="287"/>
      <c r="D2981" s="288"/>
      <c r="E2981" s="288"/>
    </row>
    <row r="2982" spans="1:5" x14ac:dyDescent="0.25">
      <c r="A2982" s="274"/>
      <c r="B2982" s="498"/>
      <c r="C2982" s="287"/>
      <c r="D2982" s="288"/>
      <c r="E2982" s="288"/>
    </row>
    <row r="2983" spans="1:5" x14ac:dyDescent="0.25">
      <c r="A2983" s="274"/>
      <c r="B2983" s="498"/>
      <c r="C2983" s="287"/>
      <c r="D2983" s="288"/>
      <c r="E2983" s="288"/>
    </row>
    <row r="2984" spans="1:5" x14ac:dyDescent="0.25">
      <c r="A2984" s="274"/>
      <c r="B2984" s="498"/>
      <c r="C2984" s="287"/>
      <c r="D2984" s="288"/>
      <c r="E2984" s="288"/>
    </row>
    <row r="2985" spans="1:5" x14ac:dyDescent="0.25">
      <c r="A2985" s="274"/>
      <c r="B2985" s="498"/>
      <c r="C2985" s="287"/>
      <c r="D2985" s="288"/>
      <c r="E2985" s="288"/>
    </row>
    <row r="2986" spans="1:5" x14ac:dyDescent="0.25">
      <c r="A2986" s="274"/>
      <c r="B2986" s="498"/>
      <c r="C2986" s="287"/>
      <c r="D2986" s="288"/>
      <c r="E2986" s="288"/>
    </row>
    <row r="2987" spans="1:5" x14ac:dyDescent="0.25">
      <c r="A2987" s="274"/>
      <c r="B2987" s="498"/>
      <c r="C2987" s="287"/>
      <c r="D2987" s="288"/>
      <c r="E2987" s="288"/>
    </row>
    <row r="2988" spans="1:5" x14ac:dyDescent="0.25">
      <c r="A2988" s="274"/>
      <c r="B2988" s="498"/>
      <c r="C2988" s="287"/>
      <c r="D2988" s="288"/>
      <c r="E2988" s="288"/>
    </row>
    <row r="2989" spans="1:5" x14ac:dyDescent="0.25">
      <c r="A2989" s="274"/>
      <c r="B2989" s="498"/>
      <c r="C2989" s="287"/>
      <c r="D2989" s="288"/>
      <c r="E2989" s="288"/>
    </row>
    <row r="2990" spans="1:5" x14ac:dyDescent="0.25">
      <c r="A2990" s="274"/>
      <c r="B2990" s="498"/>
      <c r="C2990" s="287"/>
      <c r="D2990" s="288"/>
      <c r="E2990" s="288"/>
    </row>
    <row r="2991" spans="1:5" x14ac:dyDescent="0.25">
      <c r="A2991" s="274"/>
      <c r="B2991" s="498"/>
      <c r="C2991" s="287"/>
      <c r="D2991" s="288"/>
      <c r="E2991" s="288"/>
    </row>
    <row r="2992" spans="1:5" x14ac:dyDescent="0.25">
      <c r="A2992" s="274"/>
      <c r="B2992" s="498"/>
      <c r="C2992" s="287"/>
      <c r="D2992" s="288"/>
      <c r="E2992" s="288"/>
    </row>
    <row r="2993" spans="1:5" x14ac:dyDescent="0.25">
      <c r="A2993" s="274"/>
      <c r="B2993" s="498"/>
      <c r="C2993" s="287"/>
      <c r="D2993" s="288"/>
      <c r="E2993" s="288"/>
    </row>
    <row r="2994" spans="1:5" x14ac:dyDescent="0.25">
      <c r="A2994" s="274"/>
      <c r="B2994" s="498"/>
      <c r="C2994" s="287"/>
      <c r="D2994" s="288"/>
      <c r="E2994" s="288"/>
    </row>
    <row r="2995" spans="1:5" x14ac:dyDescent="0.25">
      <c r="A2995" s="274"/>
      <c r="B2995" s="498"/>
      <c r="C2995" s="287"/>
      <c r="D2995" s="288"/>
      <c r="E2995" s="288"/>
    </row>
    <row r="2996" spans="1:5" x14ac:dyDescent="0.25">
      <c r="A2996" s="274"/>
      <c r="B2996" s="498"/>
      <c r="C2996" s="287"/>
      <c r="D2996" s="288"/>
      <c r="E2996" s="288"/>
    </row>
    <row r="2997" spans="1:5" x14ac:dyDescent="0.25">
      <c r="A2997" s="274"/>
      <c r="B2997" s="498"/>
      <c r="C2997" s="287"/>
      <c r="D2997" s="288"/>
      <c r="E2997" s="288"/>
    </row>
    <row r="2998" spans="1:5" x14ac:dyDescent="0.25">
      <c r="A2998" s="274"/>
      <c r="B2998" s="498"/>
      <c r="C2998" s="287"/>
      <c r="D2998" s="288"/>
      <c r="E2998" s="288"/>
    </row>
    <row r="2999" spans="1:5" x14ac:dyDescent="0.25">
      <c r="A2999" s="274"/>
      <c r="B2999" s="498"/>
      <c r="C2999" s="287"/>
      <c r="D2999" s="288"/>
      <c r="E2999" s="288"/>
    </row>
    <row r="3000" spans="1:5" x14ac:dyDescent="0.25">
      <c r="A3000" s="274"/>
      <c r="B3000" s="498"/>
      <c r="C3000" s="287"/>
      <c r="D3000" s="288"/>
      <c r="E3000" s="288"/>
    </row>
    <row r="3001" spans="1:5" x14ac:dyDescent="0.25">
      <c r="A3001" s="274"/>
      <c r="B3001" s="498"/>
      <c r="C3001" s="287"/>
      <c r="D3001" s="288"/>
      <c r="E3001" s="288"/>
    </row>
    <row r="3002" spans="1:5" x14ac:dyDescent="0.25">
      <c r="A3002" s="274"/>
      <c r="B3002" s="498"/>
      <c r="C3002" s="287"/>
      <c r="D3002" s="288"/>
      <c r="E3002" s="288"/>
    </row>
    <row r="3003" spans="1:5" x14ac:dyDescent="0.25">
      <c r="A3003" s="274"/>
      <c r="B3003" s="498"/>
      <c r="C3003" s="287"/>
      <c r="D3003" s="288"/>
      <c r="E3003" s="288"/>
    </row>
    <row r="3004" spans="1:5" x14ac:dyDescent="0.25">
      <c r="A3004" s="274"/>
      <c r="B3004" s="498"/>
      <c r="C3004" s="287"/>
      <c r="D3004" s="288"/>
      <c r="E3004" s="288"/>
    </row>
    <row r="3005" spans="1:5" x14ac:dyDescent="0.25">
      <c r="A3005" s="274"/>
      <c r="B3005" s="498"/>
      <c r="C3005" s="287"/>
      <c r="D3005" s="288"/>
      <c r="E3005" s="288"/>
    </row>
    <row r="3006" spans="1:5" x14ac:dyDescent="0.25">
      <c r="A3006" s="274"/>
      <c r="B3006" s="498"/>
      <c r="C3006" s="287"/>
      <c r="D3006" s="288"/>
      <c r="E3006" s="288"/>
    </row>
    <row r="3007" spans="1:5" x14ac:dyDescent="0.25">
      <c r="A3007" s="274"/>
      <c r="B3007" s="498"/>
      <c r="C3007" s="287"/>
      <c r="D3007" s="288"/>
      <c r="E3007" s="288"/>
    </row>
    <row r="3008" spans="1:5" x14ac:dyDescent="0.25">
      <c r="A3008" s="274"/>
      <c r="B3008" s="498"/>
      <c r="C3008" s="287"/>
      <c r="D3008" s="288"/>
      <c r="E3008" s="288"/>
    </row>
    <row r="3009" spans="1:5" x14ac:dyDescent="0.25">
      <c r="A3009" s="274"/>
      <c r="B3009" s="498"/>
      <c r="C3009" s="287"/>
      <c r="D3009" s="288"/>
      <c r="E3009" s="288"/>
    </row>
    <row r="3010" spans="1:5" x14ac:dyDescent="0.25">
      <c r="A3010" s="274"/>
      <c r="B3010" s="498"/>
      <c r="C3010" s="287"/>
      <c r="D3010" s="288"/>
      <c r="E3010" s="288"/>
    </row>
    <row r="3011" spans="1:5" x14ac:dyDescent="0.25">
      <c r="A3011" s="274"/>
      <c r="B3011" s="498"/>
      <c r="C3011" s="287"/>
      <c r="D3011" s="288"/>
      <c r="E3011" s="288"/>
    </row>
    <row r="3012" spans="1:5" x14ac:dyDescent="0.25">
      <c r="A3012" s="274"/>
      <c r="B3012" s="498"/>
      <c r="C3012" s="287"/>
      <c r="D3012" s="288"/>
      <c r="E3012" s="288"/>
    </row>
    <row r="3013" spans="1:5" x14ac:dyDescent="0.25">
      <c r="A3013" s="274"/>
      <c r="B3013" s="498"/>
      <c r="C3013" s="287"/>
      <c r="D3013" s="288"/>
      <c r="E3013" s="288"/>
    </row>
    <row r="3014" spans="1:5" x14ac:dyDescent="0.25">
      <c r="A3014" s="274"/>
      <c r="B3014" s="498"/>
      <c r="C3014" s="287"/>
      <c r="D3014" s="288"/>
      <c r="E3014" s="288"/>
    </row>
    <row r="3015" spans="1:5" x14ac:dyDescent="0.25">
      <c r="A3015" s="274"/>
      <c r="B3015" s="498"/>
      <c r="C3015" s="287"/>
      <c r="D3015" s="288"/>
      <c r="E3015" s="288"/>
    </row>
    <row r="3016" spans="1:5" x14ac:dyDescent="0.25">
      <c r="A3016" s="274"/>
      <c r="B3016" s="498"/>
      <c r="C3016" s="287"/>
      <c r="D3016" s="288"/>
      <c r="E3016" s="288"/>
    </row>
    <row r="3017" spans="1:5" x14ac:dyDescent="0.25">
      <c r="A3017" s="274"/>
      <c r="B3017" s="498"/>
      <c r="C3017" s="287"/>
      <c r="D3017" s="288"/>
      <c r="E3017" s="288"/>
    </row>
    <row r="3018" spans="1:5" x14ac:dyDescent="0.25">
      <c r="A3018" s="274"/>
      <c r="B3018" s="498"/>
      <c r="C3018" s="287"/>
      <c r="D3018" s="288"/>
      <c r="E3018" s="288"/>
    </row>
    <row r="3019" spans="1:5" x14ac:dyDescent="0.25">
      <c r="A3019" s="274"/>
      <c r="B3019" s="498"/>
      <c r="C3019" s="287"/>
      <c r="D3019" s="288"/>
      <c r="E3019" s="288"/>
    </row>
    <row r="3020" spans="1:5" x14ac:dyDescent="0.25">
      <c r="A3020" s="274"/>
      <c r="B3020" s="498"/>
      <c r="C3020" s="287"/>
      <c r="D3020" s="288"/>
      <c r="E3020" s="288"/>
    </row>
    <row r="3021" spans="1:5" x14ac:dyDescent="0.25">
      <c r="A3021" s="274"/>
      <c r="B3021" s="498"/>
      <c r="C3021" s="287"/>
      <c r="D3021" s="288"/>
      <c r="E3021" s="288"/>
    </row>
    <row r="3022" spans="1:5" x14ac:dyDescent="0.25">
      <c r="A3022" s="274"/>
      <c r="B3022" s="498"/>
      <c r="C3022" s="287"/>
      <c r="D3022" s="288"/>
      <c r="E3022" s="288"/>
    </row>
    <row r="3023" spans="1:5" x14ac:dyDescent="0.25">
      <c r="A3023" s="274"/>
      <c r="B3023" s="498"/>
      <c r="C3023" s="287"/>
      <c r="D3023" s="288"/>
      <c r="E3023" s="288"/>
    </row>
    <row r="3024" spans="1:5" x14ac:dyDescent="0.25">
      <c r="A3024" s="274"/>
      <c r="B3024" s="498"/>
      <c r="C3024" s="287"/>
      <c r="D3024" s="288"/>
      <c r="E3024" s="288"/>
    </row>
    <row r="3025" spans="1:5" x14ac:dyDescent="0.25">
      <c r="A3025" s="274"/>
      <c r="B3025" s="498"/>
      <c r="C3025" s="287"/>
      <c r="D3025" s="288"/>
      <c r="E3025" s="288"/>
    </row>
    <row r="3026" spans="1:5" x14ac:dyDescent="0.25">
      <c r="A3026" s="274"/>
      <c r="B3026" s="498"/>
      <c r="C3026" s="287"/>
      <c r="D3026" s="288"/>
      <c r="E3026" s="288"/>
    </row>
    <row r="3027" spans="1:5" x14ac:dyDescent="0.25">
      <c r="A3027" s="274"/>
      <c r="B3027" s="498"/>
      <c r="C3027" s="287"/>
      <c r="D3027" s="288"/>
      <c r="E3027" s="288"/>
    </row>
    <row r="3028" spans="1:5" x14ac:dyDescent="0.25">
      <c r="A3028" s="274"/>
      <c r="B3028" s="498"/>
      <c r="C3028" s="287"/>
      <c r="D3028" s="288"/>
      <c r="E3028" s="288"/>
    </row>
    <row r="3029" spans="1:5" x14ac:dyDescent="0.25">
      <c r="A3029" s="274"/>
      <c r="B3029" s="498"/>
      <c r="C3029" s="287"/>
      <c r="D3029" s="288"/>
      <c r="E3029" s="288"/>
    </row>
    <row r="3030" spans="1:5" x14ac:dyDescent="0.25">
      <c r="A3030" s="274"/>
      <c r="B3030" s="498"/>
      <c r="C3030" s="287"/>
      <c r="D3030" s="288"/>
      <c r="E3030" s="288"/>
    </row>
    <row r="3031" spans="1:5" x14ac:dyDescent="0.25">
      <c r="A3031" s="274"/>
      <c r="B3031" s="498"/>
      <c r="C3031" s="287"/>
      <c r="D3031" s="288"/>
      <c r="E3031" s="288"/>
    </row>
    <row r="3032" spans="1:5" x14ac:dyDescent="0.25">
      <c r="A3032" s="274"/>
      <c r="B3032" s="498"/>
      <c r="C3032" s="287"/>
      <c r="D3032" s="288"/>
      <c r="E3032" s="288"/>
    </row>
    <row r="3033" spans="1:5" x14ac:dyDescent="0.25">
      <c r="A3033" s="274"/>
      <c r="B3033" s="498"/>
      <c r="C3033" s="287"/>
      <c r="D3033" s="288"/>
      <c r="E3033" s="288"/>
    </row>
    <row r="3034" spans="1:5" x14ac:dyDescent="0.25">
      <c r="A3034" s="274"/>
      <c r="B3034" s="498"/>
      <c r="C3034" s="287"/>
      <c r="D3034" s="288"/>
      <c r="E3034" s="288"/>
    </row>
    <row r="3035" spans="1:5" x14ac:dyDescent="0.25">
      <c r="A3035" s="274"/>
      <c r="B3035" s="498"/>
      <c r="C3035" s="287"/>
      <c r="D3035" s="288"/>
      <c r="E3035" s="288"/>
    </row>
    <row r="3036" spans="1:5" x14ac:dyDescent="0.25">
      <c r="A3036" s="274"/>
      <c r="B3036" s="498"/>
      <c r="C3036" s="287"/>
      <c r="D3036" s="288"/>
      <c r="E3036" s="288"/>
    </row>
    <row r="3037" spans="1:5" x14ac:dyDescent="0.25">
      <c r="A3037" s="274"/>
      <c r="B3037" s="498"/>
      <c r="C3037" s="287"/>
      <c r="D3037" s="288"/>
      <c r="E3037" s="288"/>
    </row>
    <row r="3038" spans="1:5" x14ac:dyDescent="0.25">
      <c r="A3038" s="274"/>
      <c r="B3038" s="498"/>
      <c r="C3038" s="287"/>
      <c r="D3038" s="288"/>
      <c r="E3038" s="288"/>
    </row>
    <row r="3039" spans="1:5" x14ac:dyDescent="0.25">
      <c r="A3039" s="274"/>
      <c r="B3039" s="498"/>
      <c r="C3039" s="287"/>
      <c r="D3039" s="288"/>
      <c r="E3039" s="288"/>
    </row>
    <row r="3040" spans="1:5" x14ac:dyDescent="0.25">
      <c r="A3040" s="274"/>
      <c r="B3040" s="498"/>
      <c r="C3040" s="287"/>
      <c r="D3040" s="288"/>
      <c r="E3040" s="288"/>
    </row>
    <row r="3041" spans="1:5" x14ac:dyDescent="0.25">
      <c r="A3041" s="274"/>
      <c r="B3041" s="498"/>
      <c r="C3041" s="287"/>
      <c r="D3041" s="288"/>
      <c r="E3041" s="288"/>
    </row>
    <row r="3042" spans="1:5" x14ac:dyDescent="0.25">
      <c r="A3042" s="274"/>
      <c r="B3042" s="498"/>
      <c r="C3042" s="287"/>
      <c r="D3042" s="288"/>
      <c r="E3042" s="288"/>
    </row>
    <row r="3043" spans="1:5" x14ac:dyDescent="0.25">
      <c r="A3043" s="274"/>
      <c r="B3043" s="498"/>
      <c r="C3043" s="287"/>
      <c r="D3043" s="288"/>
      <c r="E3043" s="288"/>
    </row>
    <row r="3044" spans="1:5" x14ac:dyDescent="0.25">
      <c r="A3044" s="274"/>
      <c r="B3044" s="498"/>
      <c r="C3044" s="287"/>
      <c r="D3044" s="288"/>
      <c r="E3044" s="288"/>
    </row>
    <row r="3045" spans="1:5" x14ac:dyDescent="0.25">
      <c r="A3045" s="274"/>
      <c r="B3045" s="498"/>
      <c r="C3045" s="287"/>
      <c r="D3045" s="288"/>
      <c r="E3045" s="288"/>
    </row>
    <row r="3046" spans="1:5" x14ac:dyDescent="0.25">
      <c r="A3046" s="274"/>
      <c r="B3046" s="498"/>
      <c r="C3046" s="287"/>
      <c r="D3046" s="288"/>
      <c r="E3046" s="288"/>
    </row>
    <row r="3047" spans="1:5" x14ac:dyDescent="0.25">
      <c r="A3047" s="274"/>
      <c r="B3047" s="498"/>
      <c r="C3047" s="287"/>
      <c r="D3047" s="288"/>
      <c r="E3047" s="288"/>
    </row>
    <row r="3048" spans="1:5" x14ac:dyDescent="0.25">
      <c r="A3048" s="274"/>
      <c r="B3048" s="498"/>
      <c r="C3048" s="287"/>
      <c r="D3048" s="288"/>
      <c r="E3048" s="288"/>
    </row>
    <row r="3049" spans="1:5" x14ac:dyDescent="0.25">
      <c r="A3049" s="274"/>
      <c r="B3049" s="498"/>
      <c r="C3049" s="287"/>
      <c r="D3049" s="288"/>
      <c r="E3049" s="288"/>
    </row>
    <row r="3050" spans="1:5" x14ac:dyDescent="0.25">
      <c r="A3050" s="274"/>
      <c r="B3050" s="498"/>
      <c r="C3050" s="287"/>
      <c r="D3050" s="288"/>
      <c r="E3050" s="288"/>
    </row>
    <row r="3051" spans="1:5" x14ac:dyDescent="0.25">
      <c r="A3051" s="274"/>
      <c r="B3051" s="498"/>
      <c r="C3051" s="287"/>
      <c r="D3051" s="288"/>
      <c r="E3051" s="288"/>
    </row>
    <row r="3052" spans="1:5" x14ac:dyDescent="0.25">
      <c r="A3052" s="274"/>
      <c r="B3052" s="498"/>
      <c r="C3052" s="287"/>
      <c r="D3052" s="288"/>
      <c r="E3052" s="288"/>
    </row>
    <row r="3053" spans="1:5" x14ac:dyDescent="0.25">
      <c r="A3053" s="274"/>
      <c r="B3053" s="498"/>
      <c r="C3053" s="287"/>
      <c r="D3053" s="288"/>
      <c r="E3053" s="288"/>
    </row>
    <row r="3054" spans="1:5" x14ac:dyDescent="0.25">
      <c r="A3054" s="274"/>
      <c r="B3054" s="498"/>
      <c r="C3054" s="287"/>
      <c r="D3054" s="288"/>
      <c r="E3054" s="288"/>
    </row>
    <row r="3055" spans="1:5" x14ac:dyDescent="0.25">
      <c r="A3055" s="274"/>
      <c r="B3055" s="498"/>
      <c r="C3055" s="287"/>
      <c r="D3055" s="288"/>
      <c r="E3055" s="288"/>
    </row>
    <row r="3056" spans="1:5" x14ac:dyDescent="0.25">
      <c r="A3056" s="274"/>
      <c r="B3056" s="498"/>
      <c r="C3056" s="287"/>
      <c r="D3056" s="288"/>
      <c r="E3056" s="288"/>
    </row>
    <row r="3057" spans="1:5" x14ac:dyDescent="0.25">
      <c r="A3057" s="274"/>
      <c r="B3057" s="498"/>
      <c r="C3057" s="287"/>
      <c r="D3057" s="288"/>
      <c r="E3057" s="288"/>
    </row>
    <row r="3058" spans="1:5" x14ac:dyDescent="0.25">
      <c r="A3058" s="274"/>
      <c r="B3058" s="498"/>
      <c r="C3058" s="287"/>
      <c r="D3058" s="288"/>
      <c r="E3058" s="288"/>
    </row>
    <row r="3059" spans="1:5" x14ac:dyDescent="0.25">
      <c r="A3059" s="274"/>
      <c r="B3059" s="498"/>
      <c r="C3059" s="287"/>
      <c r="D3059" s="288"/>
      <c r="E3059" s="288"/>
    </row>
    <row r="3060" spans="1:5" x14ac:dyDescent="0.25">
      <c r="A3060" s="274"/>
      <c r="B3060" s="498"/>
      <c r="C3060" s="287"/>
      <c r="D3060" s="288"/>
      <c r="E3060" s="288"/>
    </row>
    <row r="3061" spans="1:5" x14ac:dyDescent="0.25">
      <c r="A3061" s="274"/>
      <c r="B3061" s="498"/>
      <c r="C3061" s="287"/>
      <c r="D3061" s="288"/>
      <c r="E3061" s="288"/>
    </row>
    <row r="3062" spans="1:5" x14ac:dyDescent="0.25">
      <c r="A3062" s="274"/>
      <c r="B3062" s="498"/>
      <c r="C3062" s="287"/>
      <c r="D3062" s="288"/>
      <c r="E3062" s="288"/>
    </row>
    <row r="3063" spans="1:5" x14ac:dyDescent="0.25">
      <c r="A3063" s="274"/>
      <c r="B3063" s="498"/>
      <c r="C3063" s="287"/>
      <c r="D3063" s="288"/>
      <c r="E3063" s="288"/>
    </row>
    <row r="3064" spans="1:5" x14ac:dyDescent="0.25">
      <c r="A3064" s="274"/>
      <c r="B3064" s="498"/>
      <c r="C3064" s="287"/>
      <c r="D3064" s="288"/>
      <c r="E3064" s="288"/>
    </row>
    <row r="3065" spans="1:5" x14ac:dyDescent="0.25">
      <c r="A3065" s="274"/>
      <c r="B3065" s="498"/>
      <c r="C3065" s="287"/>
      <c r="D3065" s="288"/>
      <c r="E3065" s="288"/>
    </row>
    <row r="3066" spans="1:5" x14ac:dyDescent="0.25">
      <c r="A3066" s="274"/>
      <c r="B3066" s="498"/>
      <c r="C3066" s="287"/>
      <c r="D3066" s="288"/>
      <c r="E3066" s="288"/>
    </row>
    <row r="3067" spans="1:5" x14ac:dyDescent="0.25">
      <c r="A3067" s="274"/>
      <c r="B3067" s="498"/>
      <c r="C3067" s="287"/>
      <c r="D3067" s="288"/>
      <c r="E3067" s="288"/>
    </row>
    <row r="3068" spans="1:5" x14ac:dyDescent="0.25">
      <c r="A3068" s="274"/>
      <c r="B3068" s="498"/>
      <c r="C3068" s="287"/>
      <c r="D3068" s="288"/>
      <c r="E3068" s="288"/>
    </row>
    <row r="3069" spans="1:5" x14ac:dyDescent="0.25">
      <c r="A3069" s="274"/>
      <c r="B3069" s="498"/>
      <c r="C3069" s="287"/>
      <c r="D3069" s="288"/>
      <c r="E3069" s="288"/>
    </row>
    <row r="3070" spans="1:5" x14ac:dyDescent="0.25">
      <c r="A3070" s="274"/>
      <c r="B3070" s="498"/>
      <c r="C3070" s="287"/>
      <c r="D3070" s="288"/>
      <c r="E3070" s="288"/>
    </row>
    <row r="3071" spans="1:5" x14ac:dyDescent="0.25">
      <c r="A3071" s="274"/>
      <c r="B3071" s="498"/>
      <c r="C3071" s="287"/>
      <c r="D3071" s="288"/>
      <c r="E3071" s="288"/>
    </row>
    <row r="3072" spans="1:5" x14ac:dyDescent="0.25">
      <c r="A3072" s="274"/>
      <c r="B3072" s="498"/>
      <c r="C3072" s="287"/>
      <c r="D3072" s="288"/>
      <c r="E3072" s="288"/>
    </row>
    <row r="3073" spans="1:5" x14ac:dyDescent="0.25">
      <c r="A3073" s="274"/>
      <c r="B3073" s="498"/>
      <c r="C3073" s="287"/>
      <c r="D3073" s="288"/>
      <c r="E3073" s="288"/>
    </row>
    <row r="3074" spans="1:5" x14ac:dyDescent="0.25">
      <c r="A3074" s="274"/>
      <c r="B3074" s="498"/>
      <c r="C3074" s="287"/>
      <c r="D3074" s="288"/>
      <c r="E3074" s="288"/>
    </row>
    <row r="3075" spans="1:5" x14ac:dyDescent="0.25">
      <c r="A3075" s="274"/>
      <c r="B3075" s="498"/>
      <c r="C3075" s="287"/>
      <c r="D3075" s="288"/>
      <c r="E3075" s="288"/>
    </row>
    <row r="3076" spans="1:5" x14ac:dyDescent="0.25">
      <c r="A3076" s="274"/>
      <c r="B3076" s="498"/>
      <c r="C3076" s="287"/>
      <c r="D3076" s="288"/>
      <c r="E3076" s="288"/>
    </row>
    <row r="3077" spans="1:5" x14ac:dyDescent="0.25">
      <c r="A3077" s="274"/>
      <c r="B3077" s="498"/>
      <c r="C3077" s="287"/>
      <c r="D3077" s="288"/>
      <c r="E3077" s="288"/>
    </row>
    <row r="3078" spans="1:5" x14ac:dyDescent="0.25">
      <c r="A3078" s="274"/>
      <c r="B3078" s="498"/>
      <c r="C3078" s="287"/>
      <c r="D3078" s="288"/>
      <c r="E3078" s="288"/>
    </row>
    <row r="3079" spans="1:5" x14ac:dyDescent="0.25">
      <c r="A3079" s="274"/>
      <c r="B3079" s="498"/>
      <c r="C3079" s="287"/>
      <c r="D3079" s="288"/>
      <c r="E3079" s="288"/>
    </row>
    <row r="3080" spans="1:5" x14ac:dyDescent="0.25">
      <c r="A3080" s="274"/>
      <c r="B3080" s="498"/>
      <c r="C3080" s="287"/>
      <c r="D3080" s="288"/>
      <c r="E3080" s="288"/>
    </row>
    <row r="3081" spans="1:5" x14ac:dyDescent="0.25">
      <c r="A3081" s="274"/>
      <c r="B3081" s="498"/>
      <c r="C3081" s="287"/>
      <c r="D3081" s="288"/>
      <c r="E3081" s="288"/>
    </row>
    <row r="3082" spans="1:5" x14ac:dyDescent="0.25">
      <c r="A3082" s="274"/>
      <c r="B3082" s="498"/>
      <c r="C3082" s="287"/>
      <c r="D3082" s="288"/>
      <c r="E3082" s="288"/>
    </row>
    <row r="3083" spans="1:5" x14ac:dyDescent="0.25">
      <c r="A3083" s="274"/>
      <c r="B3083" s="498"/>
      <c r="C3083" s="287"/>
      <c r="D3083" s="288"/>
      <c r="E3083" s="288"/>
    </row>
    <row r="3084" spans="1:5" x14ac:dyDescent="0.25">
      <c r="A3084" s="274"/>
      <c r="B3084" s="498"/>
      <c r="C3084" s="287"/>
      <c r="D3084" s="288"/>
      <c r="E3084" s="288"/>
    </row>
    <row r="3085" spans="1:5" x14ac:dyDescent="0.25">
      <c r="A3085" s="274"/>
      <c r="B3085" s="498"/>
      <c r="C3085" s="287"/>
      <c r="D3085" s="288"/>
      <c r="E3085" s="288"/>
    </row>
    <row r="3086" spans="1:5" x14ac:dyDescent="0.25">
      <c r="A3086" s="274"/>
      <c r="B3086" s="498"/>
      <c r="C3086" s="287"/>
      <c r="D3086" s="288"/>
      <c r="E3086" s="288"/>
    </row>
    <row r="3087" spans="1:5" x14ac:dyDescent="0.25">
      <c r="A3087" s="274"/>
      <c r="B3087" s="498"/>
      <c r="C3087" s="287"/>
      <c r="D3087" s="288"/>
      <c r="E3087" s="288"/>
    </row>
    <row r="3088" spans="1:5" x14ac:dyDescent="0.25">
      <c r="A3088" s="274"/>
      <c r="B3088" s="498"/>
      <c r="C3088" s="287"/>
      <c r="D3088" s="288"/>
      <c r="E3088" s="288"/>
    </row>
    <row r="3089" spans="1:5" x14ac:dyDescent="0.25">
      <c r="A3089" s="274"/>
      <c r="B3089" s="498"/>
      <c r="C3089" s="287"/>
      <c r="D3089" s="288"/>
      <c r="E3089" s="288"/>
    </row>
    <row r="3090" spans="1:5" x14ac:dyDescent="0.25">
      <c r="A3090" s="274"/>
      <c r="B3090" s="498"/>
      <c r="C3090" s="287"/>
      <c r="D3090" s="288"/>
      <c r="E3090" s="288"/>
    </row>
    <row r="3091" spans="1:5" x14ac:dyDescent="0.25">
      <c r="A3091" s="274"/>
      <c r="B3091" s="498"/>
      <c r="C3091" s="287"/>
      <c r="D3091" s="288"/>
      <c r="E3091" s="288"/>
    </row>
    <row r="3092" spans="1:5" x14ac:dyDescent="0.25">
      <c r="A3092" s="274"/>
      <c r="B3092" s="498"/>
      <c r="C3092" s="287"/>
      <c r="D3092" s="288"/>
      <c r="E3092" s="288"/>
    </row>
    <row r="3093" spans="1:5" x14ac:dyDescent="0.25">
      <c r="A3093" s="274"/>
      <c r="B3093" s="498"/>
      <c r="C3093" s="287"/>
      <c r="D3093" s="288"/>
      <c r="E3093" s="288"/>
    </row>
    <row r="3094" spans="1:5" x14ac:dyDescent="0.25">
      <c r="A3094" s="274"/>
      <c r="B3094" s="498"/>
      <c r="C3094" s="287"/>
      <c r="D3094" s="288"/>
      <c r="E3094" s="288"/>
    </row>
    <row r="3095" spans="1:5" x14ac:dyDescent="0.25">
      <c r="A3095" s="274"/>
      <c r="B3095" s="498"/>
      <c r="C3095" s="287"/>
      <c r="D3095" s="288"/>
      <c r="E3095" s="288"/>
    </row>
    <row r="3096" spans="1:5" x14ac:dyDescent="0.25">
      <c r="A3096" s="274"/>
      <c r="B3096" s="498"/>
      <c r="C3096" s="287"/>
      <c r="D3096" s="288"/>
      <c r="E3096" s="288"/>
    </row>
    <row r="3097" spans="1:5" x14ac:dyDescent="0.25">
      <c r="A3097" s="274"/>
      <c r="B3097" s="498"/>
      <c r="C3097" s="287"/>
      <c r="D3097" s="288"/>
      <c r="E3097" s="288"/>
    </row>
    <row r="3098" spans="1:5" x14ac:dyDescent="0.25">
      <c r="A3098" s="274"/>
      <c r="B3098" s="498"/>
      <c r="C3098" s="287"/>
      <c r="D3098" s="288"/>
      <c r="E3098" s="288"/>
    </row>
    <row r="3099" spans="1:5" x14ac:dyDescent="0.25">
      <c r="A3099" s="274"/>
      <c r="B3099" s="498"/>
      <c r="C3099" s="287"/>
      <c r="D3099" s="288"/>
      <c r="E3099" s="288"/>
    </row>
    <row r="3100" spans="1:5" x14ac:dyDescent="0.25">
      <c r="A3100" s="274"/>
      <c r="B3100" s="498"/>
      <c r="C3100" s="287"/>
      <c r="D3100" s="288"/>
      <c r="E3100" s="288"/>
    </row>
    <row r="3101" spans="1:5" x14ac:dyDescent="0.25">
      <c r="A3101" s="274"/>
      <c r="B3101" s="498"/>
      <c r="C3101" s="287"/>
      <c r="D3101" s="288"/>
      <c r="E3101" s="288"/>
    </row>
    <row r="3102" spans="1:5" x14ac:dyDescent="0.25">
      <c r="A3102" s="274"/>
      <c r="B3102" s="498"/>
      <c r="C3102" s="287"/>
      <c r="D3102" s="288"/>
      <c r="E3102" s="288"/>
    </row>
    <row r="3103" spans="1:5" x14ac:dyDescent="0.25">
      <c r="A3103" s="274"/>
      <c r="B3103" s="498"/>
      <c r="C3103" s="287"/>
      <c r="D3103" s="288"/>
      <c r="E3103" s="288"/>
    </row>
    <row r="3104" spans="1:5" x14ac:dyDescent="0.25">
      <c r="A3104" s="274"/>
      <c r="B3104" s="498"/>
      <c r="C3104" s="287"/>
      <c r="D3104" s="288"/>
      <c r="E3104" s="288"/>
    </row>
    <row r="3105" spans="1:5" x14ac:dyDescent="0.25">
      <c r="A3105" s="274"/>
      <c r="B3105" s="498"/>
      <c r="C3105" s="287"/>
      <c r="D3105" s="288"/>
      <c r="E3105" s="288"/>
    </row>
    <row r="3106" spans="1:5" x14ac:dyDescent="0.25">
      <c r="A3106" s="274"/>
      <c r="B3106" s="498"/>
      <c r="C3106" s="287"/>
      <c r="D3106" s="288"/>
      <c r="E3106" s="288"/>
    </row>
    <row r="3107" spans="1:5" x14ac:dyDescent="0.25">
      <c r="A3107" s="274"/>
      <c r="B3107" s="498"/>
      <c r="C3107" s="287"/>
      <c r="D3107" s="288"/>
      <c r="E3107" s="288"/>
    </row>
    <row r="3108" spans="1:5" x14ac:dyDescent="0.25">
      <c r="A3108" s="274"/>
      <c r="B3108" s="498"/>
      <c r="C3108" s="287"/>
      <c r="D3108" s="288"/>
      <c r="E3108" s="288"/>
    </row>
    <row r="3109" spans="1:5" x14ac:dyDescent="0.25">
      <c r="A3109" s="274"/>
      <c r="B3109" s="498"/>
      <c r="C3109" s="287"/>
      <c r="D3109" s="288"/>
      <c r="E3109" s="288"/>
    </row>
    <row r="3110" spans="1:5" x14ac:dyDescent="0.25">
      <c r="A3110" s="274"/>
      <c r="B3110" s="498"/>
      <c r="C3110" s="287"/>
      <c r="D3110" s="288"/>
      <c r="E3110" s="288"/>
    </row>
    <row r="3111" spans="1:5" x14ac:dyDescent="0.25">
      <c r="A3111" s="274"/>
      <c r="B3111" s="498"/>
      <c r="C3111" s="287"/>
      <c r="D3111" s="288"/>
      <c r="E3111" s="288"/>
    </row>
    <row r="3112" spans="1:5" x14ac:dyDescent="0.25">
      <c r="A3112" s="274"/>
      <c r="B3112" s="498"/>
      <c r="C3112" s="287"/>
      <c r="D3112" s="288"/>
      <c r="E3112" s="288"/>
    </row>
    <row r="3113" spans="1:5" x14ac:dyDescent="0.25">
      <c r="A3113" s="274"/>
      <c r="B3113" s="498"/>
      <c r="C3113" s="287"/>
      <c r="D3113" s="288"/>
      <c r="E3113" s="288"/>
    </row>
    <row r="3114" spans="1:5" x14ac:dyDescent="0.25">
      <c r="A3114" s="274"/>
      <c r="B3114" s="498"/>
      <c r="C3114" s="287"/>
      <c r="D3114" s="288"/>
      <c r="E3114" s="288"/>
    </row>
    <row r="3115" spans="1:5" x14ac:dyDescent="0.25">
      <c r="A3115" s="274"/>
      <c r="B3115" s="498"/>
      <c r="C3115" s="287"/>
      <c r="D3115" s="288"/>
      <c r="E3115" s="288"/>
    </row>
    <row r="3116" spans="1:5" x14ac:dyDescent="0.25">
      <c r="A3116" s="274"/>
      <c r="B3116" s="498"/>
      <c r="C3116" s="287"/>
      <c r="D3116" s="288"/>
      <c r="E3116" s="288"/>
    </row>
    <row r="3117" spans="1:5" x14ac:dyDescent="0.25">
      <c r="A3117" s="274"/>
      <c r="B3117" s="498"/>
      <c r="C3117" s="287"/>
      <c r="D3117" s="288"/>
      <c r="E3117" s="288"/>
    </row>
    <row r="3118" spans="1:5" x14ac:dyDescent="0.25">
      <c r="A3118" s="274"/>
      <c r="B3118" s="498"/>
      <c r="C3118" s="287"/>
      <c r="D3118" s="288"/>
      <c r="E3118" s="288"/>
    </row>
    <row r="3119" spans="1:5" x14ac:dyDescent="0.25">
      <c r="A3119" s="274"/>
      <c r="B3119" s="498"/>
      <c r="C3119" s="287"/>
      <c r="D3119" s="288"/>
      <c r="E3119" s="288"/>
    </row>
    <row r="3120" spans="1:5" x14ac:dyDescent="0.25">
      <c r="A3120" s="274"/>
      <c r="B3120" s="498"/>
      <c r="C3120" s="287"/>
      <c r="D3120" s="288"/>
      <c r="E3120" s="288"/>
    </row>
    <row r="3121" spans="1:5" x14ac:dyDescent="0.25">
      <c r="A3121" s="274"/>
      <c r="B3121" s="498"/>
      <c r="C3121" s="287"/>
      <c r="D3121" s="288"/>
      <c r="E3121" s="288"/>
    </row>
    <row r="3122" spans="1:5" x14ac:dyDescent="0.25">
      <c r="A3122" s="274"/>
      <c r="B3122" s="498"/>
      <c r="C3122" s="287"/>
      <c r="D3122" s="288"/>
      <c r="E3122" s="288"/>
    </row>
    <row r="3123" spans="1:5" x14ac:dyDescent="0.25">
      <c r="A3123" s="274"/>
      <c r="B3123" s="498"/>
      <c r="C3123" s="287"/>
      <c r="D3123" s="288"/>
      <c r="E3123" s="288"/>
    </row>
    <row r="3124" spans="1:5" x14ac:dyDescent="0.25">
      <c r="A3124" s="274"/>
      <c r="B3124" s="498"/>
      <c r="C3124" s="287"/>
      <c r="D3124" s="288"/>
      <c r="E3124" s="288"/>
    </row>
    <row r="3125" spans="1:5" x14ac:dyDescent="0.25">
      <c r="A3125" s="274"/>
      <c r="B3125" s="498"/>
      <c r="C3125" s="287"/>
      <c r="D3125" s="288"/>
      <c r="E3125" s="288"/>
    </row>
    <row r="3126" spans="1:5" x14ac:dyDescent="0.25">
      <c r="A3126" s="274"/>
      <c r="B3126" s="498"/>
      <c r="C3126" s="287"/>
      <c r="D3126" s="288"/>
      <c r="E3126" s="288"/>
    </row>
    <row r="3127" spans="1:5" x14ac:dyDescent="0.25">
      <c r="A3127" s="274"/>
      <c r="B3127" s="498"/>
      <c r="C3127" s="287"/>
      <c r="D3127" s="288"/>
      <c r="E3127" s="288"/>
    </row>
    <row r="3128" spans="1:5" x14ac:dyDescent="0.25">
      <c r="A3128" s="274"/>
      <c r="B3128" s="498"/>
      <c r="C3128" s="287"/>
      <c r="D3128" s="288"/>
      <c r="E3128" s="288"/>
    </row>
    <row r="3129" spans="1:5" x14ac:dyDescent="0.25">
      <c r="A3129" s="274"/>
      <c r="B3129" s="498"/>
      <c r="C3129" s="287"/>
      <c r="D3129" s="288"/>
      <c r="E3129" s="288"/>
    </row>
    <row r="3130" spans="1:5" x14ac:dyDescent="0.25">
      <c r="A3130" s="274"/>
      <c r="B3130" s="498"/>
      <c r="C3130" s="287"/>
      <c r="D3130" s="288"/>
      <c r="E3130" s="288"/>
    </row>
    <row r="3131" spans="1:5" x14ac:dyDescent="0.25">
      <c r="A3131" s="274"/>
      <c r="B3131" s="498"/>
      <c r="C3131" s="287"/>
      <c r="D3131" s="288"/>
      <c r="E3131" s="288"/>
    </row>
    <row r="3132" spans="1:5" x14ac:dyDescent="0.25">
      <c r="A3132" s="274"/>
      <c r="B3132" s="498"/>
      <c r="C3132" s="287"/>
      <c r="D3132" s="288"/>
      <c r="E3132" s="288"/>
    </row>
    <row r="3133" spans="1:5" x14ac:dyDescent="0.25">
      <c r="A3133" s="274"/>
      <c r="B3133" s="498"/>
      <c r="C3133" s="287"/>
      <c r="D3133" s="288"/>
      <c r="E3133" s="288"/>
    </row>
    <row r="3134" spans="1:5" x14ac:dyDescent="0.25">
      <c r="A3134" s="274"/>
      <c r="B3134" s="498"/>
      <c r="C3134" s="287"/>
      <c r="D3134" s="288"/>
      <c r="E3134" s="288"/>
    </row>
    <row r="3135" spans="1:5" x14ac:dyDescent="0.25">
      <c r="A3135" s="274"/>
      <c r="B3135" s="498"/>
      <c r="C3135" s="287"/>
      <c r="D3135" s="288"/>
      <c r="E3135" s="288"/>
    </row>
    <row r="3136" spans="1:5" x14ac:dyDescent="0.25">
      <c r="A3136" s="274"/>
      <c r="B3136" s="498"/>
      <c r="C3136" s="287"/>
      <c r="D3136" s="288"/>
      <c r="E3136" s="288"/>
    </row>
    <row r="3137" spans="1:5" x14ac:dyDescent="0.25">
      <c r="A3137" s="274"/>
      <c r="B3137" s="498"/>
      <c r="C3137" s="287"/>
      <c r="D3137" s="288"/>
      <c r="E3137" s="288"/>
    </row>
    <row r="3138" spans="1:5" x14ac:dyDescent="0.25">
      <c r="A3138" s="274"/>
      <c r="B3138" s="498"/>
      <c r="C3138" s="287"/>
      <c r="D3138" s="288"/>
      <c r="E3138" s="288"/>
    </row>
    <row r="3139" spans="1:5" x14ac:dyDescent="0.25">
      <c r="A3139" s="274"/>
      <c r="B3139" s="498"/>
      <c r="C3139" s="287"/>
      <c r="D3139" s="288"/>
      <c r="E3139" s="288"/>
    </row>
    <row r="3140" spans="1:5" x14ac:dyDescent="0.25">
      <c r="A3140" s="274"/>
      <c r="B3140" s="498"/>
      <c r="C3140" s="287"/>
      <c r="D3140" s="288"/>
      <c r="E3140" s="288"/>
    </row>
    <row r="3141" spans="1:5" x14ac:dyDescent="0.25">
      <c r="A3141" s="274"/>
      <c r="B3141" s="498"/>
      <c r="C3141" s="287"/>
      <c r="D3141" s="288"/>
      <c r="E3141" s="288"/>
    </row>
    <row r="3142" spans="1:5" x14ac:dyDescent="0.25">
      <c r="A3142" s="274"/>
      <c r="B3142" s="498"/>
      <c r="C3142" s="287"/>
      <c r="D3142" s="288"/>
      <c r="E3142" s="288"/>
    </row>
    <row r="3143" spans="1:5" x14ac:dyDescent="0.25">
      <c r="A3143" s="274"/>
      <c r="B3143" s="498"/>
      <c r="C3143" s="287"/>
      <c r="D3143" s="288"/>
      <c r="E3143" s="288"/>
    </row>
    <row r="3144" spans="1:5" x14ac:dyDescent="0.25">
      <c r="A3144" s="274"/>
      <c r="B3144" s="498"/>
      <c r="C3144" s="287"/>
      <c r="D3144" s="288"/>
      <c r="E3144" s="288"/>
    </row>
    <row r="3145" spans="1:5" x14ac:dyDescent="0.25">
      <c r="A3145" s="274"/>
      <c r="B3145" s="498"/>
      <c r="C3145" s="287"/>
      <c r="D3145" s="288"/>
      <c r="E3145" s="288"/>
    </row>
    <row r="3146" spans="1:5" x14ac:dyDescent="0.25">
      <c r="A3146" s="274"/>
      <c r="B3146" s="498"/>
      <c r="C3146" s="287"/>
      <c r="D3146" s="288"/>
      <c r="E3146" s="288"/>
    </row>
    <row r="3147" spans="1:5" x14ac:dyDescent="0.25">
      <c r="A3147" s="274"/>
      <c r="B3147" s="498"/>
      <c r="C3147" s="287"/>
      <c r="D3147" s="288"/>
      <c r="E3147" s="288"/>
    </row>
    <row r="3148" spans="1:5" x14ac:dyDescent="0.25">
      <c r="A3148" s="274"/>
      <c r="B3148" s="498"/>
      <c r="C3148" s="287"/>
      <c r="D3148" s="288"/>
      <c r="E3148" s="288"/>
    </row>
    <row r="3149" spans="1:5" x14ac:dyDescent="0.25">
      <c r="A3149" s="274"/>
      <c r="B3149" s="498"/>
      <c r="C3149" s="287"/>
      <c r="D3149" s="288"/>
      <c r="E3149" s="288"/>
    </row>
    <row r="3150" spans="1:5" x14ac:dyDescent="0.25">
      <c r="A3150" s="274"/>
      <c r="B3150" s="498"/>
      <c r="C3150" s="287"/>
      <c r="D3150" s="288"/>
      <c r="E3150" s="288"/>
    </row>
    <row r="3151" spans="1:5" x14ac:dyDescent="0.25">
      <c r="A3151" s="274"/>
      <c r="B3151" s="498"/>
      <c r="C3151" s="287"/>
      <c r="D3151" s="288"/>
      <c r="E3151" s="288"/>
    </row>
    <row r="3152" spans="1:5" x14ac:dyDescent="0.25">
      <c r="A3152" s="274"/>
      <c r="B3152" s="498"/>
      <c r="C3152" s="287"/>
      <c r="D3152" s="288"/>
      <c r="E3152" s="288"/>
    </row>
    <row r="3153" spans="1:5" x14ac:dyDescent="0.25">
      <c r="A3153" s="274"/>
      <c r="B3153" s="498"/>
      <c r="C3153" s="287"/>
      <c r="D3153" s="288"/>
      <c r="E3153" s="288"/>
    </row>
    <row r="3154" spans="1:5" x14ac:dyDescent="0.25">
      <c r="A3154" s="274"/>
      <c r="B3154" s="498"/>
      <c r="C3154" s="287"/>
      <c r="D3154" s="288"/>
      <c r="E3154" s="288"/>
    </row>
    <row r="3155" spans="1:5" x14ac:dyDescent="0.25">
      <c r="A3155" s="274"/>
      <c r="B3155" s="498"/>
      <c r="C3155" s="287"/>
      <c r="D3155" s="288"/>
      <c r="E3155" s="288"/>
    </row>
    <row r="3156" spans="1:5" x14ac:dyDescent="0.25">
      <c r="A3156" s="274"/>
      <c r="B3156" s="498"/>
      <c r="C3156" s="287"/>
      <c r="D3156" s="288"/>
      <c r="E3156" s="288"/>
    </row>
    <row r="3157" spans="1:5" x14ac:dyDescent="0.25">
      <c r="A3157" s="274"/>
      <c r="B3157" s="498"/>
      <c r="C3157" s="287"/>
      <c r="D3157" s="288"/>
      <c r="E3157" s="288"/>
    </row>
    <row r="3158" spans="1:5" x14ac:dyDescent="0.25">
      <c r="A3158" s="274"/>
      <c r="B3158" s="498"/>
      <c r="C3158" s="287"/>
      <c r="D3158" s="288"/>
      <c r="E3158" s="288"/>
    </row>
    <row r="3159" spans="1:5" x14ac:dyDescent="0.25">
      <c r="A3159" s="274"/>
      <c r="B3159" s="498"/>
      <c r="C3159" s="287"/>
      <c r="D3159" s="288"/>
      <c r="E3159" s="288"/>
    </row>
    <row r="3160" spans="1:5" x14ac:dyDescent="0.25">
      <c r="A3160" s="274"/>
      <c r="B3160" s="498"/>
      <c r="C3160" s="287"/>
      <c r="D3160" s="288"/>
      <c r="E3160" s="288"/>
    </row>
    <row r="3161" spans="1:5" x14ac:dyDescent="0.25">
      <c r="A3161" s="274"/>
      <c r="B3161" s="498"/>
      <c r="C3161" s="287"/>
      <c r="D3161" s="288"/>
      <c r="E3161" s="288"/>
    </row>
    <row r="3162" spans="1:5" x14ac:dyDescent="0.25">
      <c r="A3162" s="274"/>
      <c r="B3162" s="498"/>
      <c r="C3162" s="287"/>
      <c r="D3162" s="288"/>
      <c r="E3162" s="288"/>
    </row>
    <row r="3163" spans="1:5" x14ac:dyDescent="0.25">
      <c r="A3163" s="274"/>
      <c r="B3163" s="498"/>
      <c r="C3163" s="287"/>
      <c r="D3163" s="288"/>
      <c r="E3163" s="288"/>
    </row>
    <row r="3164" spans="1:5" x14ac:dyDescent="0.25">
      <c r="A3164" s="274"/>
      <c r="B3164" s="498"/>
      <c r="C3164" s="287"/>
      <c r="D3164" s="288"/>
      <c r="E3164" s="288"/>
    </row>
    <row r="3165" spans="1:5" x14ac:dyDescent="0.25">
      <c r="A3165" s="274"/>
      <c r="B3165" s="498"/>
      <c r="C3165" s="287"/>
      <c r="D3165" s="288"/>
      <c r="E3165" s="288"/>
    </row>
    <row r="3166" spans="1:5" x14ac:dyDescent="0.25">
      <c r="A3166" s="274"/>
      <c r="B3166" s="498"/>
      <c r="C3166" s="287"/>
      <c r="D3166" s="288"/>
      <c r="E3166" s="288"/>
    </row>
    <row r="3167" spans="1:5" x14ac:dyDescent="0.25">
      <c r="A3167" s="274"/>
      <c r="B3167" s="498"/>
      <c r="C3167" s="287"/>
      <c r="D3167" s="288"/>
      <c r="E3167" s="288"/>
    </row>
    <row r="3168" spans="1:5" x14ac:dyDescent="0.25">
      <c r="A3168" s="274"/>
      <c r="B3168" s="498"/>
      <c r="C3168" s="287"/>
      <c r="D3168" s="288"/>
      <c r="E3168" s="288"/>
    </row>
    <row r="3169" spans="1:5" x14ac:dyDescent="0.25">
      <c r="A3169" s="274"/>
      <c r="B3169" s="498"/>
      <c r="C3169" s="287"/>
      <c r="D3169" s="288"/>
      <c r="E3169" s="288"/>
    </row>
    <row r="3170" spans="1:5" x14ac:dyDescent="0.25">
      <c r="A3170" s="274"/>
      <c r="B3170" s="498"/>
      <c r="C3170" s="287"/>
      <c r="D3170" s="288"/>
      <c r="E3170" s="288"/>
    </row>
    <row r="3171" spans="1:5" x14ac:dyDescent="0.25">
      <c r="A3171" s="274"/>
      <c r="B3171" s="498"/>
      <c r="C3171" s="287"/>
      <c r="D3171" s="288"/>
      <c r="E3171" s="288"/>
    </row>
    <row r="3172" spans="1:5" x14ac:dyDescent="0.25">
      <c r="A3172" s="274"/>
      <c r="B3172" s="498"/>
      <c r="C3172" s="287"/>
      <c r="D3172" s="288"/>
      <c r="E3172" s="288"/>
    </row>
    <row r="3173" spans="1:5" x14ac:dyDescent="0.25">
      <c r="A3173" s="274"/>
      <c r="B3173" s="498"/>
      <c r="C3173" s="287"/>
      <c r="D3173" s="288"/>
      <c r="E3173" s="288"/>
    </row>
    <row r="3174" spans="1:5" x14ac:dyDescent="0.25">
      <c r="A3174" s="274"/>
      <c r="B3174" s="498"/>
      <c r="C3174" s="287"/>
      <c r="D3174" s="288"/>
      <c r="E3174" s="288"/>
    </row>
    <row r="3175" spans="1:5" x14ac:dyDescent="0.25">
      <c r="A3175" s="274"/>
      <c r="B3175" s="498"/>
      <c r="C3175" s="287"/>
      <c r="D3175" s="288"/>
      <c r="E3175" s="288"/>
    </row>
    <row r="3176" spans="1:5" x14ac:dyDescent="0.25">
      <c r="A3176" s="274"/>
      <c r="B3176" s="498"/>
      <c r="C3176" s="287"/>
      <c r="D3176" s="288"/>
      <c r="E3176" s="288"/>
    </row>
    <row r="3177" spans="1:5" x14ac:dyDescent="0.25">
      <c r="A3177" s="274"/>
      <c r="B3177" s="498"/>
      <c r="C3177" s="287"/>
      <c r="D3177" s="288"/>
      <c r="E3177" s="288"/>
    </row>
    <row r="3178" spans="1:5" x14ac:dyDescent="0.25">
      <c r="A3178" s="274"/>
      <c r="B3178" s="498"/>
      <c r="C3178" s="287"/>
      <c r="D3178" s="288"/>
      <c r="E3178" s="288"/>
    </row>
    <row r="3179" spans="1:5" x14ac:dyDescent="0.25">
      <c r="A3179" s="274"/>
      <c r="B3179" s="498"/>
      <c r="C3179" s="287"/>
      <c r="D3179" s="288"/>
      <c r="E3179" s="288"/>
    </row>
    <row r="3180" spans="1:5" x14ac:dyDescent="0.25">
      <c r="A3180" s="274"/>
      <c r="B3180" s="498"/>
      <c r="C3180" s="287"/>
      <c r="D3180" s="288"/>
      <c r="E3180" s="288"/>
    </row>
    <row r="3181" spans="1:5" x14ac:dyDescent="0.25">
      <c r="A3181" s="274"/>
      <c r="B3181" s="498"/>
      <c r="C3181" s="287"/>
      <c r="D3181" s="288"/>
      <c r="E3181" s="288"/>
    </row>
    <row r="3182" spans="1:5" x14ac:dyDescent="0.25">
      <c r="A3182" s="274"/>
      <c r="B3182" s="498"/>
      <c r="C3182" s="287"/>
      <c r="D3182" s="288"/>
      <c r="E3182" s="288"/>
    </row>
    <row r="3183" spans="1:5" x14ac:dyDescent="0.25">
      <c r="A3183" s="274"/>
      <c r="B3183" s="498"/>
      <c r="C3183" s="287"/>
      <c r="D3183" s="288"/>
      <c r="E3183" s="288"/>
    </row>
    <row r="3184" spans="1:5" x14ac:dyDescent="0.25">
      <c r="A3184" s="274"/>
      <c r="B3184" s="498"/>
      <c r="C3184" s="287"/>
      <c r="D3184" s="288"/>
      <c r="E3184" s="288"/>
    </row>
    <row r="3185" spans="1:5" x14ac:dyDescent="0.25">
      <c r="A3185" s="274"/>
      <c r="B3185" s="498"/>
      <c r="C3185" s="287"/>
      <c r="D3185" s="288"/>
      <c r="E3185" s="288"/>
    </row>
    <row r="3186" spans="1:5" x14ac:dyDescent="0.25">
      <c r="A3186" s="274"/>
      <c r="B3186" s="498"/>
      <c r="C3186" s="287"/>
      <c r="D3186" s="288"/>
      <c r="E3186" s="288"/>
    </row>
    <row r="3187" spans="1:5" x14ac:dyDescent="0.25">
      <c r="A3187" s="274"/>
      <c r="B3187" s="498"/>
      <c r="C3187" s="287"/>
      <c r="D3187" s="288"/>
      <c r="E3187" s="288"/>
    </row>
    <row r="3188" spans="1:5" x14ac:dyDescent="0.25">
      <c r="A3188" s="274"/>
      <c r="B3188" s="498"/>
      <c r="C3188" s="287"/>
      <c r="D3188" s="288"/>
      <c r="E3188" s="288"/>
    </row>
    <row r="3189" spans="1:5" x14ac:dyDescent="0.25">
      <c r="A3189" s="274"/>
      <c r="B3189" s="498"/>
      <c r="C3189" s="287"/>
      <c r="D3189" s="288"/>
      <c r="E3189" s="288"/>
    </row>
    <row r="3190" spans="1:5" x14ac:dyDescent="0.25">
      <c r="A3190" s="274"/>
      <c r="B3190" s="498"/>
      <c r="C3190" s="287"/>
      <c r="D3190" s="288"/>
      <c r="E3190" s="288"/>
    </row>
    <row r="3191" spans="1:5" x14ac:dyDescent="0.25">
      <c r="A3191" s="274"/>
      <c r="B3191" s="498"/>
      <c r="C3191" s="287"/>
      <c r="D3191" s="288"/>
      <c r="E3191" s="288"/>
    </row>
    <row r="3192" spans="1:5" x14ac:dyDescent="0.25">
      <c r="A3192" s="274"/>
      <c r="B3192" s="498"/>
      <c r="C3192" s="287"/>
      <c r="D3192" s="288"/>
      <c r="E3192" s="288"/>
    </row>
    <row r="3193" spans="1:5" x14ac:dyDescent="0.25">
      <c r="A3193" s="274"/>
      <c r="B3193" s="498"/>
      <c r="C3193" s="287"/>
      <c r="D3193" s="288"/>
      <c r="E3193" s="288"/>
    </row>
    <row r="3194" spans="1:5" x14ac:dyDescent="0.25">
      <c r="A3194" s="274"/>
      <c r="B3194" s="498"/>
      <c r="C3194" s="287"/>
      <c r="D3194" s="288"/>
      <c r="E3194" s="288"/>
    </row>
    <row r="3195" spans="1:5" x14ac:dyDescent="0.25">
      <c r="A3195" s="274"/>
      <c r="B3195" s="498"/>
      <c r="C3195" s="287"/>
      <c r="D3195" s="288"/>
      <c r="E3195" s="288"/>
    </row>
    <row r="3196" spans="1:5" x14ac:dyDescent="0.25">
      <c r="A3196" s="274"/>
      <c r="B3196" s="498"/>
      <c r="C3196" s="287"/>
      <c r="D3196" s="288"/>
      <c r="E3196" s="288"/>
    </row>
    <row r="3197" spans="1:5" x14ac:dyDescent="0.25">
      <c r="A3197" s="274"/>
      <c r="B3197" s="498"/>
      <c r="C3197" s="287"/>
      <c r="D3197" s="288"/>
      <c r="E3197" s="288"/>
    </row>
    <row r="3198" spans="1:5" x14ac:dyDescent="0.25">
      <c r="A3198" s="274"/>
      <c r="B3198" s="498"/>
      <c r="C3198" s="287"/>
      <c r="D3198" s="288"/>
      <c r="E3198" s="288"/>
    </row>
    <row r="3199" spans="1:5" x14ac:dyDescent="0.25">
      <c r="A3199" s="274"/>
      <c r="B3199" s="498"/>
      <c r="C3199" s="287"/>
      <c r="D3199" s="288"/>
      <c r="E3199" s="288"/>
    </row>
    <row r="3200" spans="1:5" x14ac:dyDescent="0.25">
      <c r="A3200" s="274"/>
      <c r="B3200" s="498"/>
      <c r="C3200" s="287"/>
      <c r="D3200" s="288"/>
      <c r="E3200" s="288"/>
    </row>
    <row r="3201" spans="1:5" x14ac:dyDescent="0.25">
      <c r="A3201" s="274"/>
      <c r="B3201" s="498"/>
      <c r="C3201" s="287"/>
      <c r="D3201" s="288"/>
      <c r="E3201" s="288"/>
    </row>
    <row r="3202" spans="1:5" x14ac:dyDescent="0.25">
      <c r="A3202" s="274"/>
      <c r="B3202" s="498"/>
      <c r="C3202" s="287"/>
      <c r="D3202" s="288"/>
      <c r="E3202" s="288"/>
    </row>
    <row r="3203" spans="1:5" x14ac:dyDescent="0.25">
      <c r="A3203" s="274"/>
      <c r="B3203" s="498"/>
      <c r="C3203" s="287"/>
      <c r="D3203" s="288"/>
      <c r="E3203" s="288"/>
    </row>
    <row r="3204" spans="1:5" x14ac:dyDescent="0.25">
      <c r="A3204" s="274"/>
      <c r="B3204" s="498"/>
      <c r="C3204" s="287"/>
      <c r="D3204" s="288"/>
      <c r="E3204" s="288"/>
    </row>
    <row r="3205" spans="1:5" x14ac:dyDescent="0.25">
      <c r="A3205" s="274"/>
      <c r="B3205" s="498"/>
      <c r="C3205" s="287"/>
      <c r="D3205" s="288"/>
      <c r="E3205" s="288"/>
    </row>
    <row r="3206" spans="1:5" x14ac:dyDescent="0.25">
      <c r="A3206" s="274"/>
      <c r="B3206" s="498"/>
      <c r="C3206" s="287"/>
      <c r="D3206" s="288"/>
      <c r="E3206" s="288"/>
    </row>
    <row r="3207" spans="1:5" x14ac:dyDescent="0.25">
      <c r="A3207" s="274"/>
      <c r="B3207" s="498"/>
      <c r="C3207" s="287"/>
      <c r="D3207" s="288"/>
      <c r="E3207" s="288"/>
    </row>
    <row r="3208" spans="1:5" x14ac:dyDescent="0.25">
      <c r="A3208" s="274"/>
      <c r="B3208" s="498"/>
      <c r="C3208" s="287"/>
      <c r="D3208" s="288"/>
      <c r="E3208" s="288"/>
    </row>
    <row r="3209" spans="1:5" x14ac:dyDescent="0.25">
      <c r="A3209" s="274"/>
      <c r="B3209" s="498"/>
      <c r="C3209" s="287"/>
      <c r="D3209" s="288"/>
      <c r="E3209" s="288"/>
    </row>
    <row r="3210" spans="1:5" x14ac:dyDescent="0.25">
      <c r="A3210" s="274"/>
      <c r="B3210" s="498"/>
      <c r="C3210" s="287"/>
      <c r="D3210" s="288"/>
      <c r="E3210" s="288"/>
    </row>
    <row r="3211" spans="1:5" x14ac:dyDescent="0.25">
      <c r="A3211" s="274"/>
      <c r="B3211" s="498"/>
      <c r="C3211" s="287"/>
      <c r="D3211" s="288"/>
      <c r="E3211" s="288"/>
    </row>
    <row r="3212" spans="1:5" x14ac:dyDescent="0.25">
      <c r="A3212" s="274"/>
      <c r="B3212" s="498"/>
      <c r="C3212" s="287"/>
      <c r="D3212" s="288"/>
      <c r="E3212" s="288"/>
    </row>
    <row r="3213" spans="1:5" x14ac:dyDescent="0.25">
      <c r="A3213" s="274"/>
      <c r="B3213" s="498"/>
      <c r="C3213" s="287"/>
      <c r="D3213" s="288"/>
      <c r="E3213" s="288"/>
    </row>
    <row r="3214" spans="1:5" x14ac:dyDescent="0.25">
      <c r="A3214" s="274"/>
      <c r="B3214" s="498"/>
      <c r="C3214" s="287"/>
      <c r="D3214" s="288"/>
      <c r="E3214" s="288"/>
    </row>
    <row r="3215" spans="1:5" x14ac:dyDescent="0.25">
      <c r="A3215" s="274"/>
      <c r="B3215" s="498"/>
      <c r="C3215" s="287"/>
      <c r="D3215" s="288"/>
      <c r="E3215" s="288"/>
    </row>
    <row r="3216" spans="1:5" x14ac:dyDescent="0.25">
      <c r="A3216" s="274"/>
      <c r="B3216" s="498"/>
      <c r="C3216" s="287"/>
      <c r="D3216" s="288"/>
      <c r="E3216" s="288"/>
    </row>
    <row r="3217" spans="1:5" x14ac:dyDescent="0.25">
      <c r="A3217" s="274"/>
      <c r="B3217" s="498"/>
      <c r="C3217" s="287"/>
      <c r="D3217" s="288"/>
      <c r="E3217" s="288"/>
    </row>
    <row r="3218" spans="1:5" x14ac:dyDescent="0.25">
      <c r="A3218" s="274"/>
      <c r="B3218" s="498"/>
      <c r="C3218" s="287"/>
      <c r="D3218" s="288"/>
      <c r="E3218" s="288"/>
    </row>
    <row r="3219" spans="1:5" x14ac:dyDescent="0.25">
      <c r="A3219" s="274"/>
      <c r="B3219" s="498"/>
      <c r="C3219" s="287"/>
      <c r="D3219" s="288"/>
      <c r="E3219" s="288"/>
    </row>
    <row r="3220" spans="1:5" x14ac:dyDescent="0.25">
      <c r="A3220" s="274"/>
      <c r="B3220" s="498"/>
      <c r="C3220" s="287"/>
      <c r="D3220" s="288"/>
      <c r="E3220" s="288"/>
    </row>
    <row r="3221" spans="1:5" x14ac:dyDescent="0.25">
      <c r="A3221" s="274"/>
      <c r="B3221" s="498"/>
      <c r="C3221" s="287"/>
      <c r="D3221" s="288"/>
      <c r="E3221" s="288"/>
    </row>
    <row r="3222" spans="1:5" x14ac:dyDescent="0.25">
      <c r="A3222" s="274"/>
      <c r="B3222" s="498"/>
      <c r="C3222" s="287"/>
      <c r="D3222" s="288"/>
      <c r="E3222" s="288"/>
    </row>
    <row r="3223" spans="1:5" x14ac:dyDescent="0.25">
      <c r="A3223" s="274"/>
      <c r="B3223" s="498"/>
      <c r="C3223" s="287"/>
      <c r="D3223" s="288"/>
      <c r="E3223" s="288"/>
    </row>
    <row r="3224" spans="1:5" x14ac:dyDescent="0.25">
      <c r="A3224" s="274"/>
      <c r="B3224" s="498"/>
      <c r="C3224" s="287"/>
      <c r="D3224" s="288"/>
      <c r="E3224" s="288"/>
    </row>
    <row r="3225" spans="1:5" x14ac:dyDescent="0.25">
      <c r="A3225" s="274"/>
      <c r="B3225" s="498"/>
      <c r="C3225" s="287"/>
      <c r="D3225" s="288"/>
      <c r="E3225" s="288"/>
    </row>
    <row r="3226" spans="1:5" x14ac:dyDescent="0.25">
      <c r="A3226" s="274"/>
      <c r="B3226" s="498"/>
      <c r="C3226" s="287"/>
      <c r="D3226" s="288"/>
      <c r="E3226" s="288"/>
    </row>
    <row r="3227" spans="1:5" x14ac:dyDescent="0.25">
      <c r="A3227" s="274"/>
      <c r="B3227" s="498"/>
      <c r="C3227" s="287"/>
      <c r="D3227" s="288"/>
      <c r="E3227" s="288"/>
    </row>
    <row r="3228" spans="1:5" x14ac:dyDescent="0.25">
      <c r="A3228" s="274"/>
      <c r="B3228" s="498"/>
      <c r="C3228" s="287"/>
      <c r="D3228" s="288"/>
      <c r="E3228" s="288"/>
    </row>
    <row r="3229" spans="1:5" x14ac:dyDescent="0.25">
      <c r="A3229" s="274"/>
      <c r="B3229" s="498"/>
      <c r="C3229" s="287"/>
      <c r="D3229" s="288"/>
      <c r="E3229" s="288"/>
    </row>
    <row r="3230" spans="1:5" x14ac:dyDescent="0.25">
      <c r="A3230" s="274"/>
      <c r="B3230" s="498"/>
      <c r="C3230" s="287"/>
      <c r="D3230" s="288"/>
      <c r="E3230" s="288"/>
    </row>
    <row r="3231" spans="1:5" x14ac:dyDescent="0.25">
      <c r="A3231" s="274"/>
      <c r="B3231" s="498"/>
      <c r="C3231" s="287"/>
      <c r="D3231" s="288"/>
      <c r="E3231" s="288"/>
    </row>
    <row r="3232" spans="1:5" x14ac:dyDescent="0.25">
      <c r="A3232" s="274"/>
      <c r="B3232" s="498"/>
      <c r="C3232" s="287"/>
      <c r="D3232" s="288"/>
      <c r="E3232" s="288"/>
    </row>
    <row r="3233" spans="1:5" x14ac:dyDescent="0.25">
      <c r="A3233" s="274"/>
      <c r="B3233" s="498"/>
      <c r="C3233" s="287"/>
      <c r="D3233" s="288"/>
      <c r="E3233" s="288"/>
    </row>
    <row r="3234" spans="1:5" x14ac:dyDescent="0.25">
      <c r="A3234" s="274"/>
      <c r="B3234" s="498"/>
      <c r="C3234" s="287"/>
      <c r="D3234" s="288"/>
      <c r="E3234" s="288"/>
    </row>
    <row r="3235" spans="1:5" x14ac:dyDescent="0.25">
      <c r="A3235" s="274"/>
      <c r="B3235" s="498"/>
      <c r="C3235" s="287"/>
      <c r="D3235" s="288"/>
      <c r="E3235" s="288"/>
    </row>
    <row r="3236" spans="1:5" x14ac:dyDescent="0.25">
      <c r="A3236" s="274"/>
      <c r="B3236" s="498"/>
      <c r="C3236" s="287"/>
      <c r="D3236" s="288"/>
      <c r="E3236" s="288"/>
    </row>
    <row r="3237" spans="1:5" x14ac:dyDescent="0.25">
      <c r="A3237" s="274"/>
      <c r="B3237" s="498"/>
      <c r="C3237" s="287"/>
      <c r="D3237" s="288"/>
      <c r="E3237" s="288"/>
    </row>
    <row r="3238" spans="1:5" x14ac:dyDescent="0.25">
      <c r="A3238" s="274"/>
      <c r="B3238" s="498"/>
      <c r="C3238" s="287"/>
      <c r="D3238" s="288"/>
      <c r="E3238" s="288"/>
    </row>
    <row r="3239" spans="1:5" x14ac:dyDescent="0.25">
      <c r="A3239" s="274"/>
      <c r="B3239" s="498"/>
      <c r="C3239" s="287"/>
      <c r="D3239" s="288"/>
      <c r="E3239" s="288"/>
    </row>
    <row r="3240" spans="1:5" x14ac:dyDescent="0.25">
      <c r="A3240" s="274"/>
      <c r="B3240" s="498"/>
      <c r="C3240" s="287"/>
      <c r="D3240" s="288"/>
      <c r="E3240" s="288"/>
    </row>
    <row r="3241" spans="1:5" x14ac:dyDescent="0.25">
      <c r="A3241" s="274"/>
      <c r="B3241" s="498"/>
      <c r="C3241" s="287"/>
      <c r="D3241" s="288"/>
      <c r="E3241" s="288"/>
    </row>
    <row r="3242" spans="1:5" x14ac:dyDescent="0.25">
      <c r="A3242" s="274"/>
      <c r="B3242" s="498"/>
      <c r="C3242" s="287"/>
      <c r="D3242" s="288"/>
      <c r="E3242" s="288"/>
    </row>
    <row r="3243" spans="1:5" x14ac:dyDescent="0.25">
      <c r="A3243" s="274"/>
      <c r="B3243" s="498"/>
      <c r="C3243" s="287"/>
      <c r="D3243" s="288"/>
      <c r="E3243" s="288"/>
    </row>
    <row r="3244" spans="1:5" x14ac:dyDescent="0.25">
      <c r="A3244" s="274"/>
      <c r="B3244" s="498"/>
      <c r="C3244" s="287"/>
      <c r="D3244" s="288"/>
      <c r="E3244" s="288"/>
    </row>
    <row r="3245" spans="1:5" x14ac:dyDescent="0.25">
      <c r="A3245" s="274"/>
      <c r="B3245" s="498"/>
      <c r="C3245" s="287"/>
      <c r="D3245" s="288"/>
      <c r="E3245" s="288"/>
    </row>
    <row r="3246" spans="1:5" x14ac:dyDescent="0.25">
      <c r="A3246" s="274"/>
      <c r="B3246" s="498"/>
      <c r="C3246" s="287"/>
      <c r="D3246" s="288"/>
      <c r="E3246" s="288"/>
    </row>
    <row r="3247" spans="1:5" x14ac:dyDescent="0.25">
      <c r="A3247" s="274"/>
      <c r="B3247" s="498"/>
      <c r="C3247" s="287"/>
      <c r="D3247" s="288"/>
      <c r="E3247" s="288"/>
    </row>
    <row r="3248" spans="1:5" x14ac:dyDescent="0.25">
      <c r="A3248" s="274"/>
      <c r="B3248" s="498"/>
      <c r="C3248" s="287"/>
      <c r="D3248" s="288"/>
      <c r="E3248" s="288"/>
    </row>
    <row r="3249" spans="1:5" x14ac:dyDescent="0.25">
      <c r="A3249" s="274"/>
      <c r="B3249" s="498"/>
      <c r="C3249" s="287"/>
      <c r="D3249" s="288"/>
      <c r="E3249" s="288"/>
    </row>
    <row r="3250" spans="1:5" x14ac:dyDescent="0.25">
      <c r="A3250" s="274"/>
      <c r="B3250" s="498"/>
      <c r="C3250" s="287"/>
      <c r="D3250" s="288"/>
      <c r="E3250" s="288"/>
    </row>
    <row r="3251" spans="1:5" x14ac:dyDescent="0.25">
      <c r="A3251" s="274"/>
      <c r="B3251" s="498"/>
      <c r="C3251" s="287"/>
      <c r="D3251" s="288"/>
      <c r="E3251" s="288"/>
    </row>
    <row r="3252" spans="1:5" x14ac:dyDescent="0.25">
      <c r="A3252" s="274"/>
      <c r="B3252" s="498"/>
      <c r="C3252" s="287"/>
      <c r="D3252" s="288"/>
      <c r="E3252" s="288"/>
    </row>
    <row r="3253" spans="1:5" x14ac:dyDescent="0.25">
      <c r="A3253" s="274"/>
      <c r="B3253" s="498"/>
      <c r="C3253" s="287"/>
      <c r="D3253" s="288"/>
      <c r="E3253" s="288"/>
    </row>
    <row r="3254" spans="1:5" x14ac:dyDescent="0.25">
      <c r="A3254" s="274"/>
      <c r="B3254" s="498"/>
      <c r="C3254" s="287"/>
      <c r="D3254" s="288"/>
      <c r="E3254" s="288"/>
    </row>
    <row r="3255" spans="1:5" x14ac:dyDescent="0.25">
      <c r="A3255" s="274"/>
      <c r="B3255" s="498"/>
      <c r="C3255" s="287"/>
      <c r="D3255" s="288"/>
      <c r="E3255" s="288"/>
    </row>
    <row r="3256" spans="1:5" x14ac:dyDescent="0.25">
      <c r="A3256" s="274"/>
      <c r="B3256" s="498"/>
      <c r="C3256" s="287"/>
      <c r="D3256" s="288"/>
      <c r="E3256" s="288"/>
    </row>
    <row r="3257" spans="1:5" x14ac:dyDescent="0.25">
      <c r="A3257" s="274"/>
      <c r="B3257" s="498"/>
      <c r="C3257" s="287"/>
      <c r="D3257" s="288"/>
      <c r="E3257" s="288"/>
    </row>
    <row r="3258" spans="1:5" x14ac:dyDescent="0.25">
      <c r="A3258" s="274"/>
      <c r="B3258" s="498"/>
      <c r="C3258" s="287"/>
      <c r="D3258" s="288"/>
      <c r="E3258" s="288"/>
    </row>
    <row r="3259" spans="1:5" x14ac:dyDescent="0.25">
      <c r="A3259" s="274"/>
      <c r="B3259" s="498"/>
      <c r="C3259" s="287"/>
      <c r="D3259" s="288"/>
      <c r="E3259" s="288"/>
    </row>
    <row r="3260" spans="1:5" x14ac:dyDescent="0.25">
      <c r="A3260" s="274"/>
      <c r="B3260" s="498"/>
      <c r="C3260" s="287"/>
      <c r="D3260" s="288"/>
      <c r="E3260" s="288"/>
    </row>
    <row r="3261" spans="1:5" x14ac:dyDescent="0.25">
      <c r="A3261" s="274"/>
      <c r="B3261" s="498"/>
      <c r="C3261" s="287"/>
      <c r="D3261" s="288"/>
      <c r="E3261" s="288"/>
    </row>
    <row r="3262" spans="1:5" x14ac:dyDescent="0.25">
      <c r="A3262" s="274"/>
      <c r="B3262" s="498"/>
      <c r="C3262" s="287"/>
      <c r="D3262" s="288"/>
      <c r="E3262" s="288"/>
    </row>
    <row r="3263" spans="1:5" x14ac:dyDescent="0.25">
      <c r="A3263" s="274"/>
      <c r="B3263" s="498"/>
      <c r="C3263" s="287"/>
      <c r="D3263" s="288"/>
      <c r="E3263" s="288"/>
    </row>
    <row r="3264" spans="1:5" x14ac:dyDescent="0.25">
      <c r="A3264" s="274"/>
      <c r="B3264" s="498"/>
      <c r="C3264" s="287"/>
      <c r="D3264" s="288"/>
      <c r="E3264" s="288"/>
    </row>
    <row r="3265" spans="1:5" x14ac:dyDescent="0.25">
      <c r="A3265" s="274"/>
      <c r="B3265" s="498"/>
      <c r="C3265" s="287"/>
      <c r="D3265" s="288"/>
      <c r="E3265" s="288"/>
    </row>
    <row r="3266" spans="1:5" x14ac:dyDescent="0.25">
      <c r="A3266" s="274"/>
      <c r="B3266" s="498"/>
      <c r="C3266" s="287"/>
      <c r="D3266" s="288"/>
      <c r="E3266" s="288"/>
    </row>
    <row r="3267" spans="1:5" x14ac:dyDescent="0.25">
      <c r="A3267" s="274"/>
      <c r="B3267" s="498"/>
      <c r="C3267" s="287"/>
      <c r="D3267" s="288"/>
      <c r="E3267" s="288"/>
    </row>
    <row r="3268" spans="1:5" x14ac:dyDescent="0.25">
      <c r="A3268" s="274"/>
      <c r="B3268" s="498"/>
      <c r="C3268" s="287"/>
      <c r="D3268" s="288"/>
      <c r="E3268" s="288"/>
    </row>
    <row r="3269" spans="1:5" x14ac:dyDescent="0.25">
      <c r="A3269" s="274"/>
      <c r="B3269" s="498"/>
      <c r="C3269" s="287"/>
      <c r="D3269" s="288"/>
      <c r="E3269" s="288"/>
    </row>
    <row r="3270" spans="1:5" x14ac:dyDescent="0.25">
      <c r="A3270" s="274"/>
      <c r="B3270" s="498"/>
      <c r="C3270" s="287"/>
      <c r="D3270" s="288"/>
      <c r="E3270" s="288"/>
    </row>
    <row r="3271" spans="1:5" x14ac:dyDescent="0.25">
      <c r="A3271" s="274"/>
      <c r="B3271" s="498"/>
      <c r="C3271" s="287"/>
      <c r="D3271" s="288"/>
      <c r="E3271" s="288"/>
    </row>
    <row r="3272" spans="1:5" x14ac:dyDescent="0.25">
      <c r="A3272" s="274"/>
      <c r="B3272" s="498"/>
      <c r="C3272" s="287"/>
      <c r="D3272" s="288"/>
      <c r="E3272" s="288"/>
    </row>
    <row r="3273" spans="1:5" x14ac:dyDescent="0.25">
      <c r="A3273" s="274"/>
      <c r="B3273" s="498"/>
      <c r="C3273" s="287"/>
      <c r="D3273" s="288"/>
      <c r="E3273" s="288"/>
    </row>
    <row r="3274" spans="1:5" x14ac:dyDescent="0.25">
      <c r="A3274" s="274"/>
      <c r="B3274" s="498"/>
      <c r="C3274" s="287"/>
      <c r="D3274" s="288"/>
      <c r="E3274" s="288"/>
    </row>
    <row r="3275" spans="1:5" x14ac:dyDescent="0.25">
      <c r="A3275" s="274"/>
      <c r="B3275" s="498"/>
      <c r="C3275" s="287"/>
      <c r="D3275" s="288"/>
      <c r="E3275" s="288"/>
    </row>
    <row r="3276" spans="1:5" x14ac:dyDescent="0.25">
      <c r="A3276" s="274"/>
      <c r="B3276" s="498"/>
      <c r="C3276" s="287"/>
      <c r="D3276" s="288"/>
      <c r="E3276" s="288"/>
    </row>
    <row r="3277" spans="1:5" x14ac:dyDescent="0.25">
      <c r="A3277" s="274"/>
      <c r="B3277" s="498"/>
      <c r="C3277" s="287"/>
      <c r="D3277" s="288"/>
      <c r="E3277" s="288"/>
    </row>
    <row r="3278" spans="1:5" x14ac:dyDescent="0.25">
      <c r="A3278" s="274"/>
      <c r="B3278" s="498"/>
      <c r="C3278" s="287"/>
      <c r="D3278" s="288"/>
      <c r="E3278" s="288"/>
    </row>
    <row r="3279" spans="1:5" x14ac:dyDescent="0.25">
      <c r="A3279" s="274"/>
      <c r="B3279" s="498"/>
      <c r="C3279" s="287"/>
      <c r="D3279" s="288"/>
      <c r="E3279" s="288"/>
    </row>
    <row r="3280" spans="1:5" x14ac:dyDescent="0.25">
      <c r="A3280" s="274"/>
      <c r="B3280" s="498"/>
      <c r="C3280" s="287"/>
      <c r="D3280" s="288"/>
      <c r="E3280" s="288"/>
    </row>
    <row r="3281" spans="1:5" x14ac:dyDescent="0.25">
      <c r="A3281" s="274"/>
      <c r="B3281" s="498"/>
      <c r="C3281" s="287"/>
      <c r="D3281" s="288"/>
      <c r="E3281" s="288"/>
    </row>
    <row r="3282" spans="1:5" x14ac:dyDescent="0.25">
      <c r="A3282" s="274"/>
      <c r="B3282" s="498"/>
      <c r="C3282" s="287"/>
      <c r="D3282" s="288"/>
      <c r="E3282" s="288"/>
    </row>
    <row r="3283" spans="1:5" x14ac:dyDescent="0.25">
      <c r="A3283" s="274"/>
      <c r="B3283" s="498"/>
      <c r="C3283" s="287"/>
      <c r="D3283" s="288"/>
      <c r="E3283" s="288"/>
    </row>
    <row r="3284" spans="1:5" x14ac:dyDescent="0.25">
      <c r="A3284" s="274"/>
      <c r="B3284" s="498"/>
      <c r="C3284" s="287"/>
      <c r="D3284" s="288"/>
      <c r="E3284" s="288"/>
    </row>
    <row r="3285" spans="1:5" x14ac:dyDescent="0.25">
      <c r="A3285" s="274"/>
      <c r="B3285" s="498"/>
      <c r="C3285" s="287"/>
      <c r="D3285" s="288"/>
      <c r="E3285" s="288"/>
    </row>
    <row r="3286" spans="1:5" x14ac:dyDescent="0.25">
      <c r="A3286" s="274"/>
      <c r="B3286" s="498"/>
      <c r="C3286" s="287"/>
      <c r="D3286" s="288"/>
      <c r="E3286" s="288"/>
    </row>
    <row r="3287" spans="1:5" x14ac:dyDescent="0.25">
      <c r="A3287" s="274"/>
      <c r="B3287" s="498"/>
      <c r="C3287" s="287"/>
      <c r="D3287" s="288"/>
      <c r="E3287" s="288"/>
    </row>
    <row r="3288" spans="1:5" x14ac:dyDescent="0.25">
      <c r="A3288" s="274"/>
      <c r="B3288" s="498"/>
      <c r="C3288" s="287"/>
      <c r="D3288" s="288"/>
      <c r="E3288" s="288"/>
    </row>
    <row r="3289" spans="1:5" x14ac:dyDescent="0.25">
      <c r="A3289" s="274"/>
      <c r="B3289" s="498"/>
      <c r="C3289" s="287"/>
      <c r="D3289" s="288"/>
      <c r="E3289" s="288"/>
    </row>
    <row r="3290" spans="1:5" x14ac:dyDescent="0.25">
      <c r="A3290" s="274"/>
      <c r="B3290" s="498"/>
      <c r="C3290" s="287"/>
      <c r="D3290" s="288"/>
      <c r="E3290" s="288"/>
    </row>
    <row r="3291" spans="1:5" x14ac:dyDescent="0.25">
      <c r="A3291" s="274"/>
      <c r="B3291" s="498"/>
      <c r="C3291" s="287"/>
      <c r="D3291" s="288"/>
      <c r="E3291" s="288"/>
    </row>
    <row r="3292" spans="1:5" x14ac:dyDescent="0.25">
      <c r="A3292" s="274"/>
      <c r="B3292" s="498"/>
      <c r="C3292" s="287"/>
      <c r="D3292" s="288"/>
      <c r="E3292" s="288"/>
    </row>
    <row r="3293" spans="1:5" x14ac:dyDescent="0.25">
      <c r="A3293" s="274"/>
      <c r="B3293" s="498"/>
      <c r="C3293" s="287"/>
      <c r="D3293" s="288"/>
      <c r="E3293" s="288"/>
    </row>
    <row r="3294" spans="1:5" x14ac:dyDescent="0.25">
      <c r="A3294" s="274"/>
      <c r="B3294" s="498"/>
      <c r="C3294" s="287"/>
      <c r="D3294" s="288"/>
      <c r="E3294" s="288"/>
    </row>
    <row r="3295" spans="1:5" x14ac:dyDescent="0.25">
      <c r="A3295" s="274"/>
      <c r="B3295" s="498"/>
      <c r="C3295" s="287"/>
      <c r="D3295" s="288"/>
      <c r="E3295" s="288"/>
    </row>
    <row r="3296" spans="1:5" x14ac:dyDescent="0.25">
      <c r="A3296" s="274"/>
      <c r="B3296" s="498"/>
      <c r="C3296" s="287"/>
      <c r="D3296" s="288"/>
      <c r="E3296" s="288"/>
    </row>
    <row r="3297" spans="1:5" x14ac:dyDescent="0.25">
      <c r="A3297" s="274"/>
      <c r="B3297" s="498"/>
      <c r="C3297" s="287"/>
      <c r="D3297" s="288"/>
      <c r="E3297" s="288"/>
    </row>
    <row r="3298" spans="1:5" x14ac:dyDescent="0.25">
      <c r="A3298" s="274"/>
      <c r="B3298" s="498"/>
      <c r="C3298" s="287"/>
      <c r="D3298" s="288"/>
      <c r="E3298" s="288"/>
    </row>
    <row r="3299" spans="1:5" x14ac:dyDescent="0.25">
      <c r="A3299" s="274"/>
      <c r="B3299" s="498"/>
      <c r="C3299" s="287"/>
      <c r="D3299" s="288"/>
      <c r="E3299" s="288"/>
    </row>
    <row r="3300" spans="1:5" x14ac:dyDescent="0.25">
      <c r="A3300" s="274"/>
      <c r="B3300" s="498"/>
      <c r="C3300" s="287"/>
      <c r="D3300" s="288"/>
      <c r="E3300" s="288"/>
    </row>
    <row r="3301" spans="1:5" x14ac:dyDescent="0.25">
      <c r="A3301" s="274"/>
      <c r="B3301" s="498"/>
      <c r="C3301" s="287"/>
      <c r="D3301" s="288"/>
      <c r="E3301" s="288"/>
    </row>
    <row r="3302" spans="1:5" x14ac:dyDescent="0.25">
      <c r="A3302" s="274"/>
      <c r="B3302" s="498"/>
      <c r="C3302" s="287"/>
      <c r="D3302" s="288"/>
      <c r="E3302" s="288"/>
    </row>
    <row r="3303" spans="1:5" x14ac:dyDescent="0.25">
      <c r="A3303" s="274"/>
      <c r="B3303" s="498"/>
      <c r="C3303" s="287"/>
      <c r="D3303" s="288"/>
      <c r="E3303" s="288"/>
    </row>
    <row r="3304" spans="1:5" x14ac:dyDescent="0.25">
      <c r="A3304" s="274"/>
      <c r="B3304" s="498"/>
      <c r="C3304" s="287"/>
      <c r="D3304" s="288"/>
      <c r="E3304" s="288"/>
    </row>
    <row r="3305" spans="1:5" x14ac:dyDescent="0.25">
      <c r="A3305" s="274"/>
      <c r="B3305" s="498"/>
      <c r="C3305" s="287"/>
      <c r="D3305" s="288"/>
      <c r="E3305" s="288"/>
    </row>
    <row r="3306" spans="1:5" x14ac:dyDescent="0.25">
      <c r="A3306" s="274"/>
      <c r="B3306" s="498"/>
      <c r="C3306" s="287"/>
      <c r="D3306" s="288"/>
      <c r="E3306" s="288"/>
    </row>
    <row r="3307" spans="1:5" x14ac:dyDescent="0.25">
      <c r="A3307" s="274"/>
      <c r="B3307" s="498"/>
      <c r="C3307" s="287"/>
      <c r="D3307" s="288"/>
      <c r="E3307" s="288"/>
    </row>
    <row r="3308" spans="1:5" x14ac:dyDescent="0.25">
      <c r="A3308" s="274"/>
      <c r="B3308" s="498"/>
      <c r="C3308" s="287"/>
      <c r="D3308" s="288"/>
      <c r="E3308" s="288"/>
    </row>
    <row r="3309" spans="1:5" x14ac:dyDescent="0.25">
      <c r="A3309" s="274"/>
      <c r="B3309" s="498"/>
      <c r="C3309" s="287"/>
      <c r="D3309" s="288"/>
      <c r="E3309" s="288"/>
    </row>
    <row r="3310" spans="1:5" x14ac:dyDescent="0.25">
      <c r="A3310" s="274"/>
      <c r="B3310" s="498"/>
      <c r="C3310" s="287"/>
      <c r="D3310" s="288"/>
      <c r="E3310" s="288"/>
    </row>
    <row r="3311" spans="1:5" x14ac:dyDescent="0.25">
      <c r="A3311" s="274"/>
      <c r="B3311" s="498"/>
      <c r="C3311" s="287"/>
      <c r="D3311" s="288"/>
      <c r="E3311" s="288"/>
    </row>
    <row r="3312" spans="1:5" x14ac:dyDescent="0.25">
      <c r="A3312" s="274"/>
      <c r="B3312" s="498"/>
      <c r="C3312" s="287"/>
      <c r="D3312" s="288"/>
      <c r="E3312" s="288"/>
    </row>
    <row r="3313" spans="1:5" x14ac:dyDescent="0.25">
      <c r="A3313" s="274"/>
      <c r="B3313" s="498"/>
      <c r="C3313" s="287"/>
      <c r="D3313" s="288"/>
      <c r="E3313" s="288"/>
    </row>
    <row r="3314" spans="1:5" x14ac:dyDescent="0.25">
      <c r="A3314" s="274"/>
      <c r="B3314" s="498"/>
      <c r="C3314" s="287"/>
      <c r="D3314" s="288"/>
      <c r="E3314" s="288"/>
    </row>
    <row r="3315" spans="1:5" x14ac:dyDescent="0.25">
      <c r="A3315" s="274"/>
      <c r="B3315" s="498"/>
      <c r="C3315" s="287"/>
      <c r="D3315" s="288"/>
      <c r="E3315" s="288"/>
    </row>
    <row r="3316" spans="1:5" x14ac:dyDescent="0.25">
      <c r="A3316" s="274"/>
      <c r="B3316" s="498"/>
      <c r="C3316" s="287"/>
      <c r="D3316" s="288"/>
      <c r="E3316" s="288"/>
    </row>
    <row r="3317" spans="1:5" x14ac:dyDescent="0.25">
      <c r="A3317" s="274"/>
      <c r="B3317" s="498"/>
      <c r="C3317" s="287"/>
      <c r="D3317" s="288"/>
      <c r="E3317" s="288"/>
    </row>
    <row r="3318" spans="1:5" x14ac:dyDescent="0.25">
      <c r="A3318" s="274"/>
      <c r="B3318" s="498"/>
      <c r="C3318" s="287"/>
      <c r="D3318" s="288"/>
      <c r="E3318" s="288"/>
    </row>
    <row r="3319" spans="1:5" x14ac:dyDescent="0.25">
      <c r="A3319" s="274"/>
      <c r="B3319" s="498"/>
      <c r="C3319" s="287"/>
      <c r="D3319" s="288"/>
      <c r="E3319" s="288"/>
    </row>
    <row r="3320" spans="1:5" x14ac:dyDescent="0.25">
      <c r="A3320" s="274"/>
      <c r="B3320" s="498"/>
      <c r="C3320" s="287"/>
      <c r="D3320" s="288"/>
      <c r="E3320" s="288"/>
    </row>
    <row r="3321" spans="1:5" x14ac:dyDescent="0.25">
      <c r="A3321" s="274"/>
      <c r="B3321" s="498"/>
      <c r="C3321" s="287"/>
      <c r="D3321" s="288"/>
      <c r="E3321" s="288"/>
    </row>
    <row r="3322" spans="1:5" x14ac:dyDescent="0.25">
      <c r="A3322" s="274"/>
      <c r="B3322" s="498"/>
      <c r="C3322" s="287"/>
      <c r="D3322" s="288"/>
      <c r="E3322" s="288"/>
    </row>
    <row r="3323" spans="1:5" x14ac:dyDescent="0.25">
      <c r="A3323" s="274"/>
      <c r="B3323" s="498"/>
      <c r="C3323" s="287"/>
      <c r="D3323" s="288"/>
      <c r="E3323" s="288"/>
    </row>
    <row r="3324" spans="1:5" x14ac:dyDescent="0.25">
      <c r="A3324" s="274"/>
      <c r="B3324" s="498"/>
      <c r="C3324" s="287"/>
      <c r="D3324" s="288"/>
      <c r="E3324" s="288"/>
    </row>
    <row r="3325" spans="1:5" x14ac:dyDescent="0.25">
      <c r="A3325" s="274"/>
      <c r="B3325" s="498"/>
      <c r="C3325" s="287"/>
      <c r="D3325" s="288"/>
      <c r="E3325" s="288"/>
    </row>
    <row r="3326" spans="1:5" x14ac:dyDescent="0.25">
      <c r="A3326" s="274"/>
      <c r="B3326" s="498"/>
      <c r="C3326" s="287"/>
      <c r="D3326" s="288"/>
      <c r="E3326" s="288"/>
    </row>
    <row r="3327" spans="1:5" x14ac:dyDescent="0.25">
      <c r="A3327" s="274"/>
      <c r="B3327" s="498"/>
      <c r="C3327" s="287"/>
      <c r="D3327" s="288"/>
      <c r="E3327" s="288"/>
    </row>
    <row r="3328" spans="1:5" x14ac:dyDescent="0.25">
      <c r="A3328" s="274"/>
      <c r="B3328" s="498"/>
      <c r="C3328" s="287"/>
      <c r="D3328" s="288"/>
      <c r="E3328" s="288"/>
    </row>
    <row r="3329" spans="1:5" x14ac:dyDescent="0.25">
      <c r="A3329" s="274"/>
      <c r="B3329" s="498"/>
      <c r="C3329" s="287"/>
      <c r="D3329" s="288"/>
      <c r="E3329" s="288"/>
    </row>
    <row r="3330" spans="1:5" x14ac:dyDescent="0.25">
      <c r="A3330" s="274"/>
      <c r="B3330" s="498"/>
      <c r="C3330" s="287"/>
      <c r="D3330" s="288"/>
      <c r="E3330" s="288"/>
    </row>
    <row r="3331" spans="1:5" x14ac:dyDescent="0.25">
      <c r="A3331" s="274"/>
      <c r="B3331" s="498"/>
      <c r="C3331" s="287"/>
      <c r="D3331" s="288"/>
      <c r="E3331" s="288"/>
    </row>
    <row r="3332" spans="1:5" x14ac:dyDescent="0.25">
      <c r="A3332" s="274"/>
      <c r="B3332" s="498"/>
      <c r="C3332" s="287"/>
      <c r="D3332" s="288"/>
      <c r="E3332" s="288"/>
    </row>
    <row r="3333" spans="1:5" x14ac:dyDescent="0.25">
      <c r="A3333" s="274"/>
      <c r="B3333" s="498"/>
      <c r="C3333" s="287"/>
      <c r="D3333" s="288"/>
      <c r="E3333" s="288"/>
    </row>
    <row r="3334" spans="1:5" x14ac:dyDescent="0.25">
      <c r="A3334" s="274"/>
      <c r="B3334" s="498"/>
      <c r="C3334" s="287"/>
      <c r="D3334" s="288"/>
      <c r="E3334" s="288"/>
    </row>
    <row r="3335" spans="1:5" x14ac:dyDescent="0.25">
      <c r="A3335" s="274"/>
      <c r="B3335" s="498"/>
      <c r="C3335" s="287"/>
      <c r="D3335" s="288"/>
      <c r="E3335" s="288"/>
    </row>
    <row r="3336" spans="1:5" x14ac:dyDescent="0.25">
      <c r="A3336" s="274"/>
      <c r="B3336" s="498"/>
      <c r="C3336" s="287"/>
      <c r="D3336" s="288"/>
      <c r="E3336" s="288"/>
    </row>
    <row r="3337" spans="1:5" x14ac:dyDescent="0.25">
      <c r="A3337" s="274"/>
      <c r="B3337" s="498"/>
      <c r="C3337" s="287"/>
      <c r="D3337" s="288"/>
      <c r="E3337" s="288"/>
    </row>
    <row r="3338" spans="1:5" x14ac:dyDescent="0.25">
      <c r="A3338" s="274"/>
      <c r="B3338" s="498"/>
      <c r="C3338" s="287"/>
      <c r="D3338" s="288"/>
      <c r="E3338" s="288"/>
    </row>
    <row r="3339" spans="1:5" x14ac:dyDescent="0.25">
      <c r="A3339" s="274"/>
      <c r="B3339" s="498"/>
      <c r="C3339" s="287"/>
      <c r="D3339" s="288"/>
      <c r="E3339" s="288"/>
    </row>
    <row r="3340" spans="1:5" x14ac:dyDescent="0.25">
      <c r="A3340" s="274"/>
      <c r="B3340" s="498"/>
      <c r="C3340" s="287"/>
      <c r="D3340" s="288"/>
      <c r="E3340" s="288"/>
    </row>
    <row r="3341" spans="1:5" x14ac:dyDescent="0.25">
      <c r="A3341" s="274"/>
      <c r="B3341" s="498"/>
      <c r="C3341" s="287"/>
      <c r="D3341" s="288"/>
      <c r="E3341" s="288"/>
    </row>
    <row r="3342" spans="1:5" x14ac:dyDescent="0.25">
      <c r="A3342" s="274"/>
      <c r="B3342" s="498"/>
      <c r="C3342" s="287"/>
      <c r="D3342" s="288"/>
      <c r="E3342" s="288"/>
    </row>
    <row r="3343" spans="1:5" x14ac:dyDescent="0.25">
      <c r="A3343" s="274"/>
      <c r="B3343" s="498"/>
      <c r="C3343" s="287"/>
      <c r="D3343" s="288"/>
      <c r="E3343" s="288"/>
    </row>
    <row r="3344" spans="1:5" x14ac:dyDescent="0.25">
      <c r="A3344" s="274"/>
      <c r="B3344" s="498"/>
      <c r="C3344" s="287"/>
      <c r="D3344" s="288"/>
      <c r="E3344" s="288"/>
    </row>
    <row r="3345" spans="1:5" x14ac:dyDescent="0.25">
      <c r="A3345" s="274"/>
      <c r="B3345" s="498"/>
      <c r="C3345" s="287"/>
      <c r="D3345" s="288"/>
      <c r="E3345" s="288"/>
    </row>
    <row r="3346" spans="1:5" x14ac:dyDescent="0.25">
      <c r="A3346" s="274"/>
      <c r="B3346" s="498"/>
      <c r="C3346" s="287"/>
      <c r="D3346" s="288"/>
      <c r="E3346" s="288"/>
    </row>
    <row r="3347" spans="1:5" x14ac:dyDescent="0.25">
      <c r="A3347" s="274"/>
      <c r="B3347" s="498"/>
      <c r="C3347" s="287"/>
      <c r="D3347" s="288"/>
      <c r="E3347" s="288"/>
    </row>
    <row r="3348" spans="1:5" x14ac:dyDescent="0.25">
      <c r="A3348" s="274"/>
      <c r="B3348" s="498"/>
      <c r="C3348" s="287"/>
      <c r="D3348" s="288"/>
      <c r="E3348" s="288"/>
    </row>
    <row r="3349" spans="1:5" x14ac:dyDescent="0.25">
      <c r="A3349" s="274"/>
      <c r="B3349" s="498"/>
      <c r="C3349" s="287"/>
      <c r="D3349" s="288"/>
      <c r="E3349" s="288"/>
    </row>
    <row r="3350" spans="1:5" x14ac:dyDescent="0.25">
      <c r="A3350" s="274"/>
      <c r="B3350" s="498"/>
      <c r="C3350" s="287"/>
      <c r="D3350" s="288"/>
      <c r="E3350" s="288"/>
    </row>
    <row r="3351" spans="1:5" x14ac:dyDescent="0.25">
      <c r="A3351" s="274"/>
      <c r="B3351" s="498"/>
      <c r="C3351" s="287"/>
      <c r="D3351" s="288"/>
      <c r="E3351" s="288"/>
    </row>
    <row r="3352" spans="1:5" x14ac:dyDescent="0.25">
      <c r="A3352" s="274"/>
      <c r="B3352" s="498"/>
      <c r="C3352" s="287"/>
      <c r="D3352" s="288"/>
      <c r="E3352" s="288"/>
    </row>
    <row r="3353" spans="1:5" x14ac:dyDescent="0.25">
      <c r="A3353" s="274"/>
      <c r="B3353" s="498"/>
      <c r="C3353" s="287"/>
      <c r="D3353" s="288"/>
      <c r="E3353" s="288"/>
    </row>
    <row r="3354" spans="1:5" x14ac:dyDescent="0.25">
      <c r="A3354" s="274"/>
      <c r="B3354" s="498"/>
      <c r="C3354" s="287"/>
      <c r="D3354" s="288"/>
      <c r="E3354" s="288"/>
    </row>
    <row r="3355" spans="1:5" x14ac:dyDescent="0.25">
      <c r="A3355" s="274"/>
      <c r="B3355" s="498"/>
      <c r="C3355" s="287"/>
      <c r="D3355" s="288"/>
      <c r="E3355" s="288"/>
    </row>
    <row r="3356" spans="1:5" x14ac:dyDescent="0.25">
      <c r="A3356" s="274"/>
      <c r="B3356" s="498"/>
      <c r="C3356" s="287"/>
      <c r="D3356" s="288"/>
      <c r="E3356" s="288"/>
    </row>
    <row r="3357" spans="1:5" x14ac:dyDescent="0.25">
      <c r="A3357" s="274"/>
      <c r="B3357" s="498"/>
      <c r="C3357" s="287"/>
      <c r="D3357" s="288"/>
      <c r="E3357" s="288"/>
    </row>
    <row r="3358" spans="1:5" x14ac:dyDescent="0.25">
      <c r="A3358" s="274"/>
      <c r="B3358" s="498"/>
      <c r="C3358" s="287"/>
      <c r="D3358" s="288"/>
      <c r="E3358" s="288"/>
    </row>
    <row r="3359" spans="1:5" x14ac:dyDescent="0.25">
      <c r="A3359" s="274"/>
      <c r="B3359" s="498"/>
      <c r="C3359" s="287"/>
      <c r="D3359" s="288"/>
      <c r="E3359" s="288"/>
    </row>
    <row r="3360" spans="1:5" x14ac:dyDescent="0.25">
      <c r="A3360" s="274"/>
      <c r="B3360" s="498"/>
      <c r="C3360" s="287"/>
      <c r="D3360" s="288"/>
      <c r="E3360" s="288"/>
    </row>
    <row r="3361" spans="1:5" x14ac:dyDescent="0.25">
      <c r="A3361" s="274"/>
      <c r="B3361" s="498"/>
      <c r="C3361" s="287"/>
      <c r="D3361" s="288"/>
      <c r="E3361" s="288"/>
    </row>
    <row r="3362" spans="1:5" x14ac:dyDescent="0.25">
      <c r="A3362" s="274"/>
      <c r="B3362" s="498"/>
      <c r="C3362" s="287"/>
      <c r="D3362" s="288"/>
      <c r="E3362" s="288"/>
    </row>
    <row r="3363" spans="1:5" x14ac:dyDescent="0.25">
      <c r="A3363" s="274"/>
      <c r="B3363" s="498"/>
      <c r="C3363" s="287"/>
      <c r="D3363" s="288"/>
      <c r="E3363" s="288"/>
    </row>
    <row r="3364" spans="1:5" x14ac:dyDescent="0.25">
      <c r="A3364" s="274"/>
      <c r="B3364" s="498"/>
      <c r="C3364" s="287"/>
      <c r="D3364" s="288"/>
      <c r="E3364" s="288"/>
    </row>
    <row r="3365" spans="1:5" x14ac:dyDescent="0.25">
      <c r="A3365" s="274"/>
      <c r="B3365" s="498"/>
      <c r="C3365" s="287"/>
      <c r="D3365" s="288"/>
      <c r="E3365" s="288"/>
    </row>
    <row r="3366" spans="1:5" x14ac:dyDescent="0.25">
      <c r="A3366" s="274"/>
      <c r="B3366" s="498"/>
      <c r="C3366" s="287"/>
      <c r="D3366" s="288"/>
      <c r="E3366" s="288"/>
    </row>
    <row r="3367" spans="1:5" x14ac:dyDescent="0.25">
      <c r="A3367" s="274"/>
      <c r="B3367" s="498"/>
      <c r="C3367" s="287"/>
      <c r="D3367" s="288"/>
      <c r="E3367" s="288"/>
    </row>
    <row r="3368" spans="1:5" x14ac:dyDescent="0.25">
      <c r="A3368" s="274"/>
      <c r="B3368" s="498"/>
      <c r="C3368" s="287"/>
      <c r="D3368" s="288"/>
      <c r="E3368" s="288"/>
    </row>
    <row r="3369" spans="1:5" x14ac:dyDescent="0.25">
      <c r="A3369" s="274"/>
      <c r="B3369" s="498"/>
      <c r="C3369" s="287"/>
      <c r="D3369" s="288"/>
      <c r="E3369" s="288"/>
    </row>
    <row r="3370" spans="1:5" x14ac:dyDescent="0.25">
      <c r="A3370" s="274"/>
      <c r="B3370" s="498"/>
      <c r="C3370" s="287"/>
      <c r="D3370" s="288"/>
      <c r="E3370" s="288"/>
    </row>
    <row r="3371" spans="1:5" x14ac:dyDescent="0.25">
      <c r="A3371" s="274"/>
      <c r="B3371" s="498"/>
      <c r="C3371" s="287"/>
      <c r="D3371" s="288"/>
      <c r="E3371" s="288"/>
    </row>
    <row r="3372" spans="1:5" x14ac:dyDescent="0.25">
      <c r="A3372" s="274"/>
      <c r="B3372" s="498"/>
      <c r="C3372" s="287"/>
      <c r="D3372" s="288"/>
      <c r="E3372" s="288"/>
    </row>
    <row r="3373" spans="1:5" x14ac:dyDescent="0.25">
      <c r="A3373" s="274"/>
      <c r="B3373" s="498"/>
      <c r="C3373" s="287"/>
      <c r="D3373" s="288"/>
      <c r="E3373" s="288"/>
    </row>
    <row r="3374" spans="1:5" x14ac:dyDescent="0.25">
      <c r="A3374" s="274"/>
      <c r="B3374" s="498"/>
      <c r="C3374" s="287"/>
      <c r="D3374" s="288"/>
      <c r="E3374" s="288"/>
    </row>
    <row r="3375" spans="1:5" x14ac:dyDescent="0.25">
      <c r="A3375" s="274"/>
      <c r="B3375" s="498"/>
      <c r="C3375" s="287"/>
      <c r="D3375" s="288"/>
      <c r="E3375" s="288"/>
    </row>
    <row r="3376" spans="1:5" x14ac:dyDescent="0.25">
      <c r="A3376" s="274"/>
      <c r="B3376" s="498"/>
      <c r="C3376" s="287"/>
      <c r="D3376" s="288"/>
      <c r="E3376" s="288"/>
    </row>
    <row r="3377" spans="1:5" x14ac:dyDescent="0.25">
      <c r="A3377" s="274"/>
      <c r="B3377" s="498"/>
      <c r="C3377" s="287"/>
      <c r="D3377" s="288"/>
      <c r="E3377" s="288"/>
    </row>
    <row r="3378" spans="1:5" x14ac:dyDescent="0.25">
      <c r="A3378" s="274"/>
      <c r="B3378" s="498"/>
      <c r="C3378" s="287"/>
      <c r="D3378" s="288"/>
      <c r="E3378" s="288"/>
    </row>
    <row r="3379" spans="1:5" x14ac:dyDescent="0.25">
      <c r="A3379" s="274"/>
      <c r="B3379" s="498"/>
      <c r="C3379" s="287"/>
      <c r="D3379" s="288"/>
      <c r="E3379" s="288"/>
    </row>
    <row r="3380" spans="1:5" x14ac:dyDescent="0.25">
      <c r="A3380" s="274"/>
      <c r="B3380" s="498"/>
      <c r="C3380" s="287"/>
      <c r="D3380" s="288"/>
      <c r="E3380" s="288"/>
    </row>
    <row r="3381" spans="1:5" x14ac:dyDescent="0.25">
      <c r="A3381" s="274"/>
      <c r="B3381" s="498"/>
      <c r="C3381" s="287"/>
      <c r="D3381" s="288"/>
      <c r="E3381" s="288"/>
    </row>
    <row r="3382" spans="1:5" x14ac:dyDescent="0.25">
      <c r="A3382" s="274"/>
      <c r="B3382" s="498"/>
      <c r="C3382" s="287"/>
      <c r="D3382" s="288"/>
      <c r="E3382" s="288"/>
    </row>
    <row r="3383" spans="1:5" x14ac:dyDescent="0.25">
      <c r="A3383" s="274"/>
      <c r="B3383" s="498"/>
      <c r="C3383" s="287"/>
      <c r="D3383" s="288"/>
      <c r="E3383" s="288"/>
    </row>
    <row r="3384" spans="1:5" x14ac:dyDescent="0.25">
      <c r="A3384" s="274"/>
      <c r="B3384" s="498"/>
      <c r="C3384" s="287"/>
      <c r="D3384" s="288"/>
      <c r="E3384" s="288"/>
    </row>
    <row r="3385" spans="1:5" x14ac:dyDescent="0.25">
      <c r="A3385" s="274"/>
      <c r="B3385" s="498"/>
      <c r="C3385" s="287"/>
      <c r="D3385" s="288"/>
      <c r="E3385" s="288"/>
    </row>
    <row r="3386" spans="1:5" x14ac:dyDescent="0.25">
      <c r="A3386" s="274"/>
      <c r="B3386" s="498"/>
      <c r="C3386" s="287"/>
      <c r="D3386" s="288"/>
      <c r="E3386" s="288"/>
    </row>
    <row r="3387" spans="1:5" x14ac:dyDescent="0.25">
      <c r="A3387" s="274"/>
      <c r="B3387" s="498"/>
      <c r="C3387" s="287"/>
      <c r="D3387" s="288"/>
      <c r="E3387" s="288"/>
    </row>
    <row r="3388" spans="1:5" x14ac:dyDescent="0.25">
      <c r="A3388" s="274"/>
      <c r="B3388" s="498"/>
      <c r="C3388" s="287"/>
      <c r="D3388" s="288"/>
      <c r="E3388" s="288"/>
    </row>
    <row r="3389" spans="1:5" x14ac:dyDescent="0.25">
      <c r="A3389" s="274"/>
      <c r="B3389" s="498"/>
      <c r="C3389" s="287"/>
      <c r="D3389" s="288"/>
      <c r="E3389" s="288"/>
    </row>
    <row r="3390" spans="1:5" x14ac:dyDescent="0.25">
      <c r="A3390" s="274"/>
      <c r="B3390" s="498"/>
      <c r="C3390" s="287"/>
      <c r="D3390" s="288"/>
      <c r="E3390" s="288"/>
    </row>
    <row r="3391" spans="1:5" x14ac:dyDescent="0.25">
      <c r="A3391" s="274"/>
      <c r="B3391" s="498"/>
      <c r="C3391" s="287"/>
      <c r="D3391" s="288"/>
      <c r="E3391" s="288"/>
    </row>
    <row r="3392" spans="1:5" x14ac:dyDescent="0.25">
      <c r="A3392" s="274"/>
      <c r="B3392" s="498"/>
      <c r="C3392" s="287"/>
      <c r="D3392" s="288"/>
      <c r="E3392" s="288"/>
    </row>
    <row r="3393" spans="1:5" x14ac:dyDescent="0.25">
      <c r="A3393" s="274"/>
      <c r="B3393" s="498"/>
      <c r="C3393" s="287"/>
      <c r="D3393" s="288"/>
      <c r="E3393" s="288"/>
    </row>
    <row r="3394" spans="1:5" x14ac:dyDescent="0.25">
      <c r="A3394" s="274"/>
      <c r="B3394" s="498"/>
      <c r="C3394" s="287"/>
      <c r="D3394" s="288"/>
      <c r="E3394" s="288"/>
    </row>
    <row r="3395" spans="1:5" x14ac:dyDescent="0.25">
      <c r="A3395" s="274"/>
      <c r="B3395" s="498"/>
      <c r="C3395" s="287"/>
      <c r="D3395" s="288"/>
      <c r="E3395" s="288"/>
    </row>
    <row r="3396" spans="1:5" x14ac:dyDescent="0.25">
      <c r="A3396" s="274"/>
      <c r="B3396" s="498"/>
      <c r="C3396" s="287"/>
      <c r="D3396" s="288"/>
      <c r="E3396" s="288"/>
    </row>
    <row r="3397" spans="1:5" x14ac:dyDescent="0.25">
      <c r="A3397" s="274"/>
      <c r="B3397" s="498"/>
      <c r="C3397" s="287"/>
      <c r="D3397" s="288"/>
      <c r="E3397" s="288"/>
    </row>
    <row r="3398" spans="1:5" x14ac:dyDescent="0.25">
      <c r="A3398" s="274"/>
      <c r="B3398" s="498"/>
      <c r="C3398" s="287"/>
      <c r="D3398" s="288"/>
      <c r="E3398" s="288"/>
    </row>
    <row r="3399" spans="1:5" x14ac:dyDescent="0.25">
      <c r="A3399" s="274"/>
      <c r="B3399" s="498"/>
      <c r="C3399" s="287"/>
      <c r="D3399" s="288"/>
      <c r="E3399" s="288"/>
    </row>
    <row r="3400" spans="1:5" x14ac:dyDescent="0.25">
      <c r="A3400" s="274"/>
      <c r="B3400" s="498"/>
      <c r="C3400" s="287"/>
      <c r="D3400" s="288"/>
      <c r="E3400" s="288"/>
    </row>
    <row r="3401" spans="1:5" x14ac:dyDescent="0.25">
      <c r="A3401" s="274"/>
      <c r="B3401" s="498"/>
      <c r="C3401" s="287"/>
      <c r="D3401" s="288"/>
      <c r="E3401" s="288"/>
    </row>
    <row r="3402" spans="1:5" x14ac:dyDescent="0.25">
      <c r="A3402" s="274"/>
      <c r="B3402" s="498"/>
      <c r="C3402" s="287"/>
      <c r="D3402" s="288"/>
      <c r="E3402" s="288"/>
    </row>
    <row r="3403" spans="1:5" x14ac:dyDescent="0.25">
      <c r="A3403" s="274"/>
      <c r="B3403" s="498"/>
      <c r="C3403" s="287"/>
      <c r="D3403" s="288"/>
      <c r="E3403" s="288"/>
    </row>
    <row r="3404" spans="1:5" x14ac:dyDescent="0.25">
      <c r="A3404" s="274"/>
      <c r="B3404" s="498"/>
      <c r="C3404" s="287"/>
      <c r="D3404" s="288"/>
      <c r="E3404" s="288"/>
    </row>
    <row r="3405" spans="1:5" x14ac:dyDescent="0.25">
      <c r="A3405" s="274"/>
      <c r="B3405" s="498"/>
      <c r="C3405" s="287"/>
      <c r="D3405" s="288"/>
      <c r="E3405" s="288"/>
    </row>
    <row r="3406" spans="1:5" x14ac:dyDescent="0.25">
      <c r="A3406" s="274"/>
      <c r="B3406" s="498"/>
      <c r="C3406" s="287"/>
      <c r="D3406" s="288"/>
      <c r="E3406" s="288"/>
    </row>
    <row r="3407" spans="1:5" x14ac:dyDescent="0.25">
      <c r="A3407" s="274"/>
      <c r="B3407" s="498"/>
      <c r="C3407" s="287"/>
      <c r="D3407" s="288"/>
      <c r="E3407" s="288"/>
    </row>
    <row r="3408" spans="1:5" x14ac:dyDescent="0.25">
      <c r="A3408" s="274"/>
      <c r="B3408" s="498"/>
      <c r="C3408" s="287"/>
      <c r="D3408" s="288"/>
      <c r="E3408" s="288"/>
    </row>
    <row r="3409" spans="1:5" x14ac:dyDescent="0.25">
      <c r="A3409" s="274"/>
      <c r="B3409" s="498"/>
      <c r="C3409" s="287"/>
      <c r="D3409" s="288"/>
      <c r="E3409" s="288"/>
    </row>
    <row r="3410" spans="1:5" x14ac:dyDescent="0.25">
      <c r="A3410" s="274"/>
      <c r="B3410" s="498"/>
      <c r="C3410" s="287"/>
      <c r="D3410" s="288"/>
      <c r="E3410" s="288"/>
    </row>
    <row r="3411" spans="1:5" x14ac:dyDescent="0.25">
      <c r="A3411" s="274"/>
      <c r="B3411" s="498"/>
      <c r="C3411" s="287"/>
      <c r="D3411" s="288"/>
      <c r="E3411" s="288"/>
    </row>
    <row r="3412" spans="1:5" x14ac:dyDescent="0.25">
      <c r="A3412" s="274"/>
      <c r="B3412" s="498"/>
      <c r="C3412" s="287"/>
      <c r="D3412" s="288"/>
      <c r="E3412" s="288"/>
    </row>
    <row r="3413" spans="1:5" x14ac:dyDescent="0.25">
      <c r="A3413" s="274"/>
      <c r="B3413" s="498"/>
      <c r="C3413" s="287"/>
      <c r="D3413" s="288"/>
      <c r="E3413" s="288"/>
    </row>
    <row r="3414" spans="1:5" x14ac:dyDescent="0.25">
      <c r="A3414" s="274"/>
      <c r="B3414" s="498"/>
      <c r="C3414" s="287"/>
      <c r="D3414" s="288"/>
      <c r="E3414" s="288"/>
    </row>
    <row r="3415" spans="1:5" x14ac:dyDescent="0.25">
      <c r="A3415" s="274"/>
      <c r="B3415" s="498"/>
      <c r="C3415" s="287"/>
      <c r="D3415" s="288"/>
      <c r="E3415" s="288"/>
    </row>
    <row r="3416" spans="1:5" x14ac:dyDescent="0.25">
      <c r="A3416" s="274"/>
      <c r="B3416" s="498"/>
      <c r="C3416" s="287"/>
      <c r="D3416" s="288"/>
      <c r="E3416" s="288"/>
    </row>
    <row r="3417" spans="1:5" x14ac:dyDescent="0.25">
      <c r="A3417" s="274"/>
      <c r="B3417" s="498"/>
      <c r="C3417" s="287"/>
      <c r="D3417" s="288"/>
      <c r="E3417" s="288"/>
    </row>
    <row r="3418" spans="1:5" x14ac:dyDescent="0.25">
      <c r="A3418" s="274"/>
      <c r="B3418" s="498"/>
      <c r="C3418" s="287"/>
      <c r="D3418" s="288"/>
      <c r="E3418" s="288"/>
    </row>
    <row r="3419" spans="1:5" x14ac:dyDescent="0.25">
      <c r="A3419" s="274"/>
      <c r="B3419" s="498"/>
      <c r="C3419" s="287"/>
      <c r="D3419" s="288"/>
      <c r="E3419" s="288"/>
    </row>
    <row r="3420" spans="1:5" x14ac:dyDescent="0.25">
      <c r="A3420" s="274"/>
      <c r="B3420" s="498"/>
      <c r="C3420" s="287"/>
      <c r="D3420" s="288"/>
      <c r="E3420" s="288"/>
    </row>
    <row r="3421" spans="1:5" x14ac:dyDescent="0.25">
      <c r="A3421" s="274"/>
      <c r="B3421" s="498"/>
      <c r="C3421" s="287"/>
      <c r="D3421" s="288"/>
      <c r="E3421" s="288"/>
    </row>
    <row r="3422" spans="1:5" x14ac:dyDescent="0.25">
      <c r="A3422" s="274"/>
      <c r="B3422" s="498"/>
      <c r="C3422" s="287"/>
      <c r="D3422" s="288"/>
      <c r="E3422" s="288"/>
    </row>
    <row r="3423" spans="1:5" x14ac:dyDescent="0.25">
      <c r="A3423" s="274"/>
      <c r="B3423" s="498"/>
      <c r="C3423" s="287"/>
      <c r="D3423" s="288"/>
      <c r="E3423" s="288"/>
    </row>
    <row r="3424" spans="1:5" x14ac:dyDescent="0.25">
      <c r="A3424" s="274"/>
      <c r="B3424" s="498"/>
      <c r="C3424" s="287"/>
      <c r="D3424" s="288"/>
      <c r="E3424" s="288"/>
    </row>
    <row r="3425" spans="1:5" x14ac:dyDescent="0.25">
      <c r="A3425" s="274"/>
      <c r="B3425" s="498"/>
      <c r="C3425" s="287"/>
      <c r="D3425" s="288"/>
      <c r="E3425" s="288"/>
    </row>
    <row r="3426" spans="1:5" x14ac:dyDescent="0.25">
      <c r="A3426" s="274"/>
      <c r="B3426" s="498"/>
      <c r="C3426" s="287"/>
      <c r="D3426" s="288"/>
      <c r="E3426" s="288"/>
    </row>
    <row r="3427" spans="1:5" x14ac:dyDescent="0.25">
      <c r="A3427" s="274"/>
      <c r="B3427" s="498"/>
      <c r="C3427" s="287"/>
      <c r="D3427" s="288"/>
      <c r="E3427" s="288"/>
    </row>
    <row r="3428" spans="1:5" x14ac:dyDescent="0.25">
      <c r="A3428" s="274"/>
      <c r="B3428" s="498"/>
      <c r="C3428" s="287"/>
      <c r="D3428" s="288"/>
      <c r="E3428" s="288"/>
    </row>
    <row r="3429" spans="1:5" x14ac:dyDescent="0.25">
      <c r="A3429" s="274"/>
      <c r="B3429" s="498"/>
      <c r="C3429" s="287"/>
      <c r="D3429" s="288"/>
      <c r="E3429" s="288"/>
    </row>
    <row r="3430" spans="1:5" x14ac:dyDescent="0.25">
      <c r="A3430" s="274"/>
      <c r="B3430" s="498"/>
      <c r="C3430" s="287"/>
      <c r="D3430" s="288"/>
      <c r="E3430" s="288"/>
    </row>
    <row r="3431" spans="1:5" x14ac:dyDescent="0.25">
      <c r="A3431" s="274"/>
      <c r="B3431" s="498"/>
      <c r="C3431" s="287"/>
      <c r="D3431" s="288"/>
      <c r="E3431" s="288"/>
    </row>
    <row r="3432" spans="1:5" x14ac:dyDescent="0.25">
      <c r="A3432" s="274"/>
      <c r="B3432" s="498"/>
      <c r="C3432" s="287"/>
      <c r="D3432" s="288"/>
      <c r="E3432" s="288"/>
    </row>
    <row r="3433" spans="1:5" x14ac:dyDescent="0.25">
      <c r="A3433" s="274"/>
      <c r="B3433" s="498"/>
      <c r="C3433" s="287"/>
      <c r="D3433" s="288"/>
      <c r="E3433" s="288"/>
    </row>
    <row r="3434" spans="1:5" x14ac:dyDescent="0.25">
      <c r="A3434" s="274"/>
      <c r="B3434" s="498"/>
      <c r="C3434" s="287"/>
      <c r="D3434" s="288"/>
      <c r="E3434" s="288"/>
    </row>
    <row r="3435" spans="1:5" x14ac:dyDescent="0.25">
      <c r="A3435" s="274"/>
      <c r="B3435" s="498"/>
      <c r="C3435" s="287"/>
      <c r="D3435" s="288"/>
      <c r="E3435" s="288"/>
    </row>
    <row r="3436" spans="1:5" x14ac:dyDescent="0.25">
      <c r="A3436" s="274"/>
      <c r="B3436" s="498"/>
      <c r="C3436" s="287"/>
      <c r="D3436" s="288"/>
      <c r="E3436" s="288"/>
    </row>
    <row r="3437" spans="1:5" x14ac:dyDescent="0.25">
      <c r="A3437" s="274"/>
      <c r="B3437" s="498"/>
      <c r="C3437" s="287"/>
      <c r="D3437" s="288"/>
      <c r="E3437" s="288"/>
    </row>
    <row r="3438" spans="1:5" x14ac:dyDescent="0.25">
      <c r="A3438" s="274"/>
      <c r="B3438" s="498"/>
      <c r="C3438" s="287"/>
      <c r="D3438" s="288"/>
      <c r="E3438" s="288"/>
    </row>
    <row r="3439" spans="1:5" x14ac:dyDescent="0.25">
      <c r="A3439" s="274"/>
      <c r="B3439" s="498"/>
      <c r="C3439" s="287"/>
      <c r="D3439" s="288"/>
      <c r="E3439" s="288"/>
    </row>
    <row r="3440" spans="1:5" x14ac:dyDescent="0.25">
      <c r="A3440" s="274"/>
      <c r="B3440" s="498"/>
      <c r="C3440" s="287"/>
      <c r="D3440" s="288"/>
      <c r="E3440" s="288"/>
    </row>
    <row r="3441" spans="1:5" x14ac:dyDescent="0.25">
      <c r="A3441" s="274"/>
      <c r="B3441" s="498"/>
      <c r="C3441" s="287"/>
      <c r="D3441" s="288"/>
      <c r="E3441" s="288"/>
    </row>
    <row r="3442" spans="1:5" x14ac:dyDescent="0.25">
      <c r="A3442" s="274"/>
      <c r="B3442" s="498"/>
      <c r="C3442" s="287"/>
      <c r="D3442" s="288"/>
      <c r="E3442" s="288"/>
    </row>
    <row r="3443" spans="1:5" x14ac:dyDescent="0.25">
      <c r="A3443" s="274"/>
      <c r="B3443" s="498"/>
      <c r="C3443" s="287"/>
      <c r="D3443" s="288"/>
      <c r="E3443" s="288"/>
    </row>
    <row r="3444" spans="1:5" x14ac:dyDescent="0.25">
      <c r="A3444" s="274"/>
      <c r="B3444" s="498"/>
      <c r="C3444" s="287"/>
      <c r="D3444" s="288"/>
      <c r="E3444" s="288"/>
    </row>
    <row r="3445" spans="1:5" x14ac:dyDescent="0.25">
      <c r="A3445" s="274"/>
      <c r="B3445" s="498"/>
      <c r="C3445" s="287"/>
      <c r="D3445" s="288"/>
      <c r="E3445" s="288"/>
    </row>
    <row r="3446" spans="1:5" x14ac:dyDescent="0.25">
      <c r="A3446" s="274"/>
      <c r="B3446" s="498"/>
      <c r="C3446" s="287"/>
      <c r="D3446" s="288"/>
      <c r="E3446" s="288"/>
    </row>
    <row r="3447" spans="1:5" x14ac:dyDescent="0.25">
      <c r="A3447" s="274"/>
      <c r="B3447" s="498"/>
      <c r="C3447" s="287"/>
      <c r="D3447" s="288"/>
      <c r="E3447" s="288"/>
    </row>
    <row r="3448" spans="1:5" x14ac:dyDescent="0.25">
      <c r="A3448" s="274"/>
      <c r="B3448" s="498"/>
      <c r="C3448" s="287"/>
      <c r="D3448" s="288"/>
      <c r="E3448" s="288"/>
    </row>
    <row r="3449" spans="1:5" x14ac:dyDescent="0.25">
      <c r="A3449" s="274"/>
      <c r="B3449" s="498"/>
      <c r="C3449" s="287"/>
      <c r="D3449" s="288"/>
      <c r="E3449" s="288"/>
    </row>
    <row r="3450" spans="1:5" x14ac:dyDescent="0.25">
      <c r="A3450" s="274"/>
      <c r="B3450" s="498"/>
      <c r="C3450" s="287"/>
      <c r="D3450" s="288"/>
      <c r="E3450" s="288"/>
    </row>
    <row r="3451" spans="1:5" x14ac:dyDescent="0.25">
      <c r="A3451" s="274"/>
      <c r="B3451" s="498"/>
      <c r="C3451" s="287"/>
      <c r="D3451" s="288"/>
      <c r="E3451" s="288"/>
    </row>
    <row r="3452" spans="1:5" x14ac:dyDescent="0.25">
      <c r="A3452" s="274"/>
      <c r="B3452" s="498"/>
      <c r="C3452" s="287"/>
      <c r="D3452" s="288"/>
      <c r="E3452" s="288"/>
    </row>
    <row r="3453" spans="1:5" x14ac:dyDescent="0.25">
      <c r="A3453" s="274"/>
      <c r="B3453" s="498"/>
      <c r="C3453" s="287"/>
      <c r="D3453" s="288"/>
      <c r="E3453" s="288"/>
    </row>
    <row r="3454" spans="1:5" x14ac:dyDescent="0.25">
      <c r="A3454" s="274"/>
      <c r="B3454" s="498"/>
      <c r="C3454" s="287"/>
      <c r="D3454" s="288"/>
      <c r="E3454" s="288"/>
    </row>
    <row r="3455" spans="1:5" x14ac:dyDescent="0.25">
      <c r="A3455" s="274"/>
      <c r="B3455" s="498"/>
      <c r="C3455" s="287"/>
      <c r="D3455" s="288"/>
      <c r="E3455" s="288"/>
    </row>
    <row r="3456" spans="1:5" x14ac:dyDescent="0.25">
      <c r="A3456" s="274"/>
      <c r="B3456" s="498"/>
      <c r="C3456" s="287"/>
      <c r="D3456" s="288"/>
      <c r="E3456" s="288"/>
    </row>
    <row r="3457" spans="1:5" x14ac:dyDescent="0.25">
      <c r="A3457" s="274"/>
      <c r="B3457" s="498"/>
      <c r="C3457" s="287"/>
      <c r="D3457" s="288"/>
      <c r="E3457" s="288"/>
    </row>
    <row r="3458" spans="1:5" x14ac:dyDescent="0.25">
      <c r="A3458" s="274"/>
      <c r="B3458" s="498"/>
      <c r="C3458" s="287"/>
      <c r="D3458" s="288"/>
      <c r="E3458" s="288"/>
    </row>
    <row r="3459" spans="1:5" x14ac:dyDescent="0.25">
      <c r="A3459" s="274"/>
      <c r="B3459" s="498"/>
      <c r="C3459" s="287"/>
      <c r="D3459" s="288"/>
      <c r="E3459" s="288"/>
    </row>
    <row r="3460" spans="1:5" x14ac:dyDescent="0.25">
      <c r="A3460" s="274"/>
      <c r="B3460" s="498"/>
      <c r="C3460" s="287"/>
      <c r="D3460" s="288"/>
      <c r="E3460" s="288"/>
    </row>
    <row r="3461" spans="1:5" x14ac:dyDescent="0.25">
      <c r="A3461" s="274"/>
      <c r="B3461" s="498"/>
      <c r="C3461" s="287"/>
      <c r="D3461" s="288"/>
      <c r="E3461" s="288"/>
    </row>
    <row r="3462" spans="1:5" x14ac:dyDescent="0.25">
      <c r="A3462" s="274"/>
      <c r="B3462" s="498"/>
      <c r="C3462" s="287"/>
      <c r="D3462" s="288"/>
      <c r="E3462" s="288"/>
    </row>
    <row r="3463" spans="1:5" x14ac:dyDescent="0.25">
      <c r="A3463" s="274"/>
      <c r="B3463" s="498"/>
      <c r="C3463" s="287"/>
      <c r="D3463" s="288"/>
      <c r="E3463" s="288"/>
    </row>
    <row r="3464" spans="1:5" x14ac:dyDescent="0.25">
      <c r="A3464" s="274"/>
      <c r="B3464" s="498"/>
      <c r="C3464" s="287"/>
      <c r="D3464" s="288"/>
      <c r="E3464" s="288"/>
    </row>
    <row r="3465" spans="1:5" x14ac:dyDescent="0.25">
      <c r="A3465" s="274"/>
      <c r="B3465" s="498"/>
      <c r="C3465" s="287"/>
      <c r="D3465" s="288"/>
      <c r="E3465" s="288"/>
    </row>
    <row r="3466" spans="1:5" x14ac:dyDescent="0.25">
      <c r="A3466" s="274"/>
      <c r="B3466" s="498"/>
      <c r="C3466" s="287"/>
      <c r="D3466" s="288"/>
      <c r="E3466" s="288"/>
    </row>
    <row r="3467" spans="1:5" x14ac:dyDescent="0.25">
      <c r="A3467" s="274"/>
      <c r="B3467" s="498"/>
      <c r="C3467" s="287"/>
      <c r="D3467" s="288"/>
      <c r="E3467" s="288"/>
    </row>
    <row r="3468" spans="1:5" x14ac:dyDescent="0.25">
      <c r="A3468" s="274"/>
      <c r="B3468" s="498"/>
      <c r="C3468" s="287"/>
      <c r="D3468" s="288"/>
      <c r="E3468" s="288"/>
    </row>
    <row r="3469" spans="1:5" x14ac:dyDescent="0.25">
      <c r="A3469" s="274"/>
      <c r="B3469" s="498"/>
      <c r="C3469" s="287"/>
      <c r="D3469" s="288"/>
      <c r="E3469" s="288"/>
    </row>
    <row r="3470" spans="1:5" x14ac:dyDescent="0.25">
      <c r="A3470" s="274"/>
      <c r="B3470" s="498"/>
      <c r="C3470" s="287"/>
      <c r="D3470" s="288"/>
      <c r="E3470" s="288"/>
    </row>
    <row r="3471" spans="1:5" x14ac:dyDescent="0.25">
      <c r="A3471" s="274"/>
      <c r="B3471" s="498"/>
      <c r="C3471" s="287"/>
      <c r="D3471" s="288"/>
      <c r="E3471" s="288"/>
    </row>
    <row r="3472" spans="1:5" x14ac:dyDescent="0.25">
      <c r="A3472" s="274"/>
      <c r="B3472" s="498"/>
      <c r="C3472" s="287"/>
      <c r="D3472" s="288"/>
      <c r="E3472" s="288"/>
    </row>
    <row r="3473" spans="1:5" x14ac:dyDescent="0.25">
      <c r="A3473" s="274"/>
      <c r="B3473" s="498"/>
      <c r="C3473" s="287"/>
      <c r="D3473" s="288"/>
      <c r="E3473" s="288"/>
    </row>
    <row r="3474" spans="1:5" x14ac:dyDescent="0.25">
      <c r="A3474" s="274"/>
      <c r="B3474" s="498"/>
      <c r="C3474" s="287"/>
      <c r="D3474" s="288"/>
      <c r="E3474" s="288"/>
    </row>
    <row r="3475" spans="1:5" x14ac:dyDescent="0.25">
      <c r="A3475" s="274"/>
      <c r="B3475" s="498"/>
      <c r="C3475" s="287"/>
      <c r="D3475" s="288"/>
      <c r="E3475" s="288"/>
    </row>
    <row r="3476" spans="1:5" x14ac:dyDescent="0.25">
      <c r="A3476" s="274"/>
      <c r="B3476" s="498"/>
      <c r="C3476" s="287"/>
      <c r="D3476" s="288"/>
      <c r="E3476" s="288"/>
    </row>
    <row r="3477" spans="1:5" x14ac:dyDescent="0.25">
      <c r="A3477" s="274"/>
      <c r="B3477" s="498"/>
      <c r="C3477" s="287"/>
      <c r="D3477" s="288"/>
      <c r="E3477" s="288"/>
    </row>
    <row r="3478" spans="1:5" x14ac:dyDescent="0.25">
      <c r="A3478" s="274"/>
      <c r="B3478" s="498"/>
      <c r="C3478" s="287"/>
      <c r="D3478" s="288"/>
      <c r="E3478" s="288"/>
    </row>
    <row r="3479" spans="1:5" x14ac:dyDescent="0.25">
      <c r="A3479" s="274"/>
      <c r="B3479" s="498"/>
      <c r="C3479" s="287"/>
      <c r="D3479" s="288"/>
      <c r="E3479" s="288"/>
    </row>
    <row r="3480" spans="1:5" x14ac:dyDescent="0.25">
      <c r="A3480" s="274"/>
      <c r="B3480" s="498"/>
      <c r="C3480" s="287"/>
      <c r="D3480" s="288"/>
      <c r="E3480" s="288"/>
    </row>
    <row r="3481" spans="1:5" x14ac:dyDescent="0.25">
      <c r="A3481" s="274"/>
      <c r="B3481" s="498"/>
      <c r="C3481" s="287"/>
      <c r="D3481" s="288"/>
      <c r="E3481" s="288"/>
    </row>
    <row r="3482" spans="1:5" x14ac:dyDescent="0.25">
      <c r="A3482" s="274"/>
      <c r="B3482" s="498"/>
      <c r="C3482" s="287"/>
      <c r="D3482" s="288"/>
      <c r="E3482" s="288"/>
    </row>
    <row r="3483" spans="1:5" x14ac:dyDescent="0.25">
      <c r="A3483" s="274"/>
      <c r="B3483" s="498"/>
      <c r="C3483" s="287"/>
      <c r="D3483" s="288"/>
      <c r="E3483" s="288"/>
    </row>
    <row r="3484" spans="1:5" x14ac:dyDescent="0.25">
      <c r="A3484" s="274"/>
      <c r="B3484" s="498"/>
      <c r="C3484" s="287"/>
      <c r="D3484" s="288"/>
      <c r="E3484" s="288"/>
    </row>
    <row r="3485" spans="1:5" x14ac:dyDescent="0.25">
      <c r="A3485" s="274"/>
      <c r="B3485" s="498"/>
      <c r="C3485" s="287"/>
      <c r="D3485" s="288"/>
      <c r="E3485" s="288"/>
    </row>
    <row r="3486" spans="1:5" x14ac:dyDescent="0.25">
      <c r="A3486" s="274"/>
      <c r="B3486" s="498"/>
      <c r="C3486" s="287"/>
      <c r="D3486" s="288"/>
      <c r="E3486" s="288"/>
    </row>
    <row r="3487" spans="1:5" x14ac:dyDescent="0.25">
      <c r="A3487" s="274"/>
      <c r="B3487" s="498"/>
      <c r="C3487" s="287"/>
      <c r="D3487" s="288"/>
      <c r="E3487" s="288"/>
    </row>
    <row r="3488" spans="1:5" x14ac:dyDescent="0.25">
      <c r="A3488" s="274"/>
      <c r="B3488" s="498"/>
      <c r="C3488" s="287"/>
      <c r="D3488" s="288"/>
      <c r="E3488" s="288"/>
    </row>
    <row r="3489" spans="1:5" x14ac:dyDescent="0.25">
      <c r="A3489" s="274"/>
      <c r="B3489" s="498"/>
      <c r="C3489" s="287"/>
      <c r="D3489" s="288"/>
      <c r="E3489" s="288"/>
    </row>
    <row r="3490" spans="1:5" x14ac:dyDescent="0.25">
      <c r="A3490" s="274"/>
      <c r="B3490" s="498"/>
      <c r="C3490" s="287"/>
      <c r="D3490" s="288"/>
      <c r="E3490" s="288"/>
    </row>
    <row r="3491" spans="1:5" x14ac:dyDescent="0.25">
      <c r="A3491" s="274"/>
      <c r="B3491" s="498"/>
      <c r="C3491" s="287"/>
      <c r="D3491" s="288"/>
      <c r="E3491" s="288"/>
    </row>
    <row r="3492" spans="1:5" x14ac:dyDescent="0.25">
      <c r="A3492" s="274"/>
      <c r="B3492" s="498"/>
      <c r="C3492" s="287"/>
      <c r="D3492" s="288"/>
      <c r="E3492" s="288"/>
    </row>
    <row r="3493" spans="1:5" x14ac:dyDescent="0.25">
      <c r="A3493" s="274"/>
      <c r="B3493" s="498"/>
      <c r="C3493" s="287"/>
      <c r="D3493" s="288"/>
      <c r="E3493" s="288"/>
    </row>
    <row r="3494" spans="1:5" x14ac:dyDescent="0.25">
      <c r="A3494" s="274"/>
      <c r="B3494" s="498"/>
      <c r="C3494" s="287"/>
      <c r="D3494" s="288"/>
      <c r="E3494" s="288"/>
    </row>
    <row r="3495" spans="1:5" x14ac:dyDescent="0.25">
      <c r="A3495" s="274"/>
      <c r="B3495" s="498"/>
      <c r="C3495" s="287"/>
      <c r="D3495" s="288"/>
      <c r="E3495" s="288"/>
    </row>
    <row r="3496" spans="1:5" x14ac:dyDescent="0.25">
      <c r="A3496" s="274"/>
      <c r="B3496" s="498"/>
      <c r="C3496" s="287"/>
      <c r="D3496" s="288"/>
      <c r="E3496" s="288"/>
    </row>
    <row r="3497" spans="1:5" x14ac:dyDescent="0.25">
      <c r="A3497" s="274"/>
      <c r="B3497" s="498"/>
      <c r="C3497" s="287"/>
      <c r="D3497" s="288"/>
      <c r="E3497" s="288"/>
    </row>
    <row r="3498" spans="1:5" x14ac:dyDescent="0.25">
      <c r="A3498" s="274"/>
      <c r="B3498" s="498"/>
      <c r="C3498" s="287"/>
      <c r="D3498" s="288"/>
      <c r="E3498" s="288"/>
    </row>
    <row r="3499" spans="1:5" x14ac:dyDescent="0.25">
      <c r="A3499" s="274"/>
      <c r="B3499" s="498"/>
      <c r="C3499" s="287"/>
      <c r="D3499" s="288"/>
      <c r="E3499" s="288"/>
    </row>
    <row r="3500" spans="1:5" x14ac:dyDescent="0.25">
      <c r="A3500" s="274"/>
      <c r="B3500" s="498"/>
      <c r="C3500" s="287"/>
      <c r="D3500" s="288"/>
      <c r="E3500" s="288"/>
    </row>
    <row r="3501" spans="1:5" x14ac:dyDescent="0.25">
      <c r="A3501" s="274"/>
      <c r="B3501" s="498"/>
      <c r="C3501" s="287"/>
      <c r="D3501" s="288"/>
      <c r="E3501" s="288"/>
    </row>
    <row r="3502" spans="1:5" x14ac:dyDescent="0.25">
      <c r="A3502" s="274"/>
      <c r="B3502" s="498"/>
      <c r="C3502" s="287"/>
      <c r="D3502" s="288"/>
      <c r="E3502" s="288"/>
    </row>
    <row r="3503" spans="1:5" x14ac:dyDescent="0.25">
      <c r="A3503" s="274"/>
      <c r="B3503" s="498"/>
      <c r="C3503" s="287"/>
      <c r="D3503" s="288"/>
      <c r="E3503" s="288"/>
    </row>
    <row r="3504" spans="1:5" x14ac:dyDescent="0.25">
      <c r="A3504" s="274"/>
      <c r="B3504" s="498"/>
      <c r="C3504" s="287"/>
      <c r="D3504" s="288"/>
      <c r="E3504" s="288"/>
    </row>
    <row r="3505" spans="1:5" x14ac:dyDescent="0.25">
      <c r="A3505" s="274"/>
      <c r="B3505" s="498"/>
      <c r="C3505" s="287"/>
      <c r="D3505" s="288"/>
      <c r="E3505" s="288"/>
    </row>
    <row r="3506" spans="1:5" x14ac:dyDescent="0.25">
      <c r="A3506" s="274"/>
      <c r="B3506" s="498"/>
      <c r="C3506" s="287"/>
      <c r="D3506" s="288"/>
      <c r="E3506" s="288"/>
    </row>
    <row r="3507" spans="1:5" x14ac:dyDescent="0.25">
      <c r="A3507" s="274"/>
      <c r="B3507" s="498"/>
      <c r="C3507" s="287"/>
      <c r="D3507" s="288"/>
      <c r="E3507" s="288"/>
    </row>
    <row r="3508" spans="1:5" x14ac:dyDescent="0.25">
      <c r="A3508" s="274"/>
      <c r="B3508" s="498"/>
      <c r="C3508" s="287"/>
      <c r="D3508" s="288"/>
      <c r="E3508" s="288"/>
    </row>
    <row r="3509" spans="1:5" x14ac:dyDescent="0.25">
      <c r="A3509" s="274"/>
      <c r="B3509" s="498"/>
      <c r="C3509" s="287"/>
      <c r="D3509" s="288"/>
      <c r="E3509" s="288"/>
    </row>
    <row r="3510" spans="1:5" x14ac:dyDescent="0.25">
      <c r="A3510" s="274"/>
      <c r="B3510" s="498"/>
      <c r="C3510" s="287"/>
      <c r="D3510" s="288"/>
      <c r="E3510" s="288"/>
    </row>
    <row r="3511" spans="1:5" x14ac:dyDescent="0.25">
      <c r="A3511" s="274"/>
      <c r="B3511" s="498"/>
      <c r="C3511" s="287"/>
      <c r="D3511" s="288"/>
      <c r="E3511" s="288"/>
    </row>
    <row r="3512" spans="1:5" x14ac:dyDescent="0.25">
      <c r="A3512" s="274"/>
      <c r="B3512" s="498"/>
      <c r="C3512" s="287"/>
      <c r="D3512" s="288"/>
      <c r="E3512" s="288"/>
    </row>
    <row r="3513" spans="1:5" x14ac:dyDescent="0.25">
      <c r="A3513" s="274"/>
      <c r="B3513" s="498"/>
      <c r="C3513" s="287"/>
      <c r="D3513" s="288"/>
      <c r="E3513" s="288"/>
    </row>
    <row r="3514" spans="1:5" x14ac:dyDescent="0.25">
      <c r="A3514" s="274"/>
      <c r="B3514" s="498"/>
      <c r="C3514" s="287"/>
      <c r="D3514" s="288"/>
      <c r="E3514" s="288"/>
    </row>
    <row r="3515" spans="1:5" x14ac:dyDescent="0.25">
      <c r="A3515" s="274"/>
      <c r="B3515" s="498"/>
      <c r="C3515" s="287"/>
      <c r="D3515" s="288"/>
      <c r="E3515" s="288"/>
    </row>
    <row r="3516" spans="1:5" x14ac:dyDescent="0.25">
      <c r="A3516" s="274"/>
      <c r="B3516" s="498"/>
      <c r="C3516" s="287"/>
      <c r="D3516" s="288"/>
      <c r="E3516" s="288"/>
    </row>
    <row r="3517" spans="1:5" x14ac:dyDescent="0.25">
      <c r="A3517" s="274"/>
      <c r="B3517" s="498"/>
      <c r="C3517" s="287"/>
      <c r="D3517" s="288"/>
      <c r="E3517" s="288"/>
    </row>
    <row r="3518" spans="1:5" x14ac:dyDescent="0.25">
      <c r="A3518" s="274"/>
      <c r="B3518" s="498"/>
      <c r="C3518" s="287"/>
      <c r="D3518" s="288"/>
      <c r="E3518" s="288"/>
    </row>
    <row r="3519" spans="1:5" x14ac:dyDescent="0.25">
      <c r="A3519" s="274"/>
      <c r="B3519" s="498"/>
      <c r="C3519" s="287"/>
      <c r="D3519" s="288"/>
      <c r="E3519" s="288"/>
    </row>
    <row r="3520" spans="1:5" x14ac:dyDescent="0.25">
      <c r="A3520" s="274"/>
      <c r="B3520" s="498"/>
      <c r="C3520" s="287"/>
      <c r="D3520" s="288"/>
      <c r="E3520" s="288"/>
    </row>
    <row r="3521" spans="1:5" x14ac:dyDescent="0.25">
      <c r="A3521" s="274"/>
      <c r="B3521" s="498"/>
      <c r="C3521" s="287"/>
      <c r="D3521" s="288"/>
      <c r="E3521" s="288"/>
    </row>
    <row r="3522" spans="1:5" x14ac:dyDescent="0.25">
      <c r="A3522" s="274"/>
      <c r="B3522" s="498"/>
      <c r="C3522" s="287"/>
      <c r="D3522" s="288"/>
      <c r="E3522" s="288"/>
    </row>
    <row r="3523" spans="1:5" x14ac:dyDescent="0.25">
      <c r="A3523" s="274"/>
      <c r="B3523" s="498"/>
      <c r="C3523" s="287"/>
      <c r="D3523" s="288"/>
      <c r="E3523" s="288"/>
    </row>
    <row r="3524" spans="1:5" x14ac:dyDescent="0.25">
      <c r="A3524" s="274"/>
      <c r="B3524" s="498"/>
      <c r="C3524" s="287"/>
      <c r="D3524" s="288"/>
      <c r="E3524" s="288"/>
    </row>
    <row r="3525" spans="1:5" x14ac:dyDescent="0.25">
      <c r="A3525" s="274"/>
      <c r="B3525" s="498"/>
      <c r="C3525" s="287"/>
      <c r="D3525" s="288"/>
      <c r="E3525" s="288"/>
    </row>
    <row r="3526" spans="1:5" x14ac:dyDescent="0.25">
      <c r="A3526" s="274"/>
      <c r="B3526" s="498"/>
      <c r="C3526" s="287"/>
      <c r="D3526" s="288"/>
      <c r="E3526" s="288"/>
    </row>
    <row r="3527" spans="1:5" x14ac:dyDescent="0.25">
      <c r="A3527" s="274"/>
      <c r="B3527" s="498"/>
      <c r="C3527" s="287"/>
      <c r="D3527" s="288"/>
      <c r="E3527" s="288"/>
    </row>
    <row r="3528" spans="1:5" x14ac:dyDescent="0.25">
      <c r="A3528" s="274"/>
      <c r="B3528" s="498"/>
      <c r="C3528" s="287"/>
      <c r="D3528" s="288"/>
      <c r="E3528" s="288"/>
    </row>
    <row r="3529" spans="1:5" x14ac:dyDescent="0.25">
      <c r="A3529" s="274"/>
      <c r="B3529" s="498"/>
      <c r="C3529" s="287"/>
      <c r="D3529" s="288"/>
      <c r="E3529" s="288"/>
    </row>
    <row r="3530" spans="1:5" x14ac:dyDescent="0.25">
      <c r="A3530" s="274"/>
      <c r="B3530" s="498"/>
      <c r="C3530" s="287"/>
      <c r="D3530" s="288"/>
      <c r="E3530" s="288"/>
    </row>
    <row r="3531" spans="1:5" x14ac:dyDescent="0.25">
      <c r="A3531" s="274"/>
      <c r="B3531" s="498"/>
      <c r="C3531" s="287"/>
      <c r="D3531" s="288"/>
      <c r="E3531" s="288"/>
    </row>
    <row r="3532" spans="1:5" x14ac:dyDescent="0.25">
      <c r="A3532" s="274"/>
      <c r="B3532" s="498"/>
      <c r="C3532" s="287"/>
      <c r="D3532" s="288"/>
      <c r="E3532" s="288"/>
    </row>
    <row r="3533" spans="1:5" x14ac:dyDescent="0.25">
      <c r="A3533" s="274"/>
      <c r="B3533" s="498"/>
      <c r="C3533" s="287"/>
      <c r="D3533" s="288"/>
      <c r="E3533" s="288"/>
    </row>
    <row r="3534" spans="1:5" x14ac:dyDescent="0.25">
      <c r="A3534" s="274"/>
      <c r="B3534" s="498"/>
      <c r="C3534" s="287"/>
      <c r="D3534" s="288"/>
      <c r="E3534" s="288"/>
    </row>
    <row r="3535" spans="1:5" x14ac:dyDescent="0.25">
      <c r="A3535" s="274"/>
      <c r="B3535" s="498"/>
      <c r="C3535" s="287"/>
      <c r="D3535" s="288"/>
      <c r="E3535" s="288"/>
    </row>
    <row r="3536" spans="1:5" x14ac:dyDescent="0.25">
      <c r="A3536" s="274"/>
      <c r="B3536" s="498"/>
      <c r="C3536" s="287"/>
      <c r="D3536" s="288"/>
      <c r="E3536" s="288"/>
    </row>
    <row r="3537" spans="1:5" x14ac:dyDescent="0.25">
      <c r="A3537" s="274"/>
      <c r="B3537" s="498"/>
      <c r="C3537" s="287"/>
      <c r="D3537" s="288"/>
      <c r="E3537" s="288"/>
    </row>
    <row r="3538" spans="1:5" x14ac:dyDescent="0.25">
      <c r="A3538" s="274"/>
      <c r="B3538" s="498"/>
      <c r="C3538" s="287"/>
      <c r="D3538" s="288"/>
      <c r="E3538" s="288"/>
    </row>
    <row r="3539" spans="1:5" x14ac:dyDescent="0.25">
      <c r="A3539" s="274"/>
      <c r="B3539" s="498"/>
      <c r="C3539" s="287"/>
      <c r="D3539" s="288"/>
      <c r="E3539" s="288"/>
    </row>
    <row r="3540" spans="1:5" x14ac:dyDescent="0.25">
      <c r="A3540" s="274"/>
      <c r="B3540" s="498"/>
      <c r="C3540" s="287"/>
      <c r="D3540" s="288"/>
      <c r="E3540" s="288"/>
    </row>
    <row r="3541" spans="1:5" x14ac:dyDescent="0.25">
      <c r="A3541" s="274"/>
      <c r="B3541" s="498"/>
      <c r="C3541" s="287"/>
      <c r="D3541" s="288"/>
      <c r="E3541" s="288"/>
    </row>
    <row r="3542" spans="1:5" x14ac:dyDescent="0.25">
      <c r="A3542" s="274"/>
      <c r="B3542" s="498"/>
      <c r="C3542" s="287"/>
      <c r="D3542" s="288"/>
      <c r="E3542" s="288"/>
    </row>
    <row r="3543" spans="1:5" x14ac:dyDescent="0.25">
      <c r="A3543" s="274"/>
      <c r="B3543" s="498"/>
      <c r="C3543" s="287"/>
      <c r="D3543" s="288"/>
      <c r="E3543" s="288"/>
    </row>
    <row r="3544" spans="1:5" x14ac:dyDescent="0.25">
      <c r="A3544" s="274"/>
      <c r="B3544" s="498"/>
      <c r="C3544" s="287"/>
      <c r="D3544" s="288"/>
      <c r="E3544" s="288"/>
    </row>
    <row r="3545" spans="1:5" x14ac:dyDescent="0.25">
      <c r="A3545" s="274"/>
      <c r="B3545" s="498"/>
      <c r="C3545" s="287"/>
      <c r="D3545" s="288"/>
      <c r="E3545" s="288"/>
    </row>
    <row r="3546" spans="1:5" x14ac:dyDescent="0.25">
      <c r="A3546" s="274"/>
      <c r="B3546" s="498"/>
      <c r="C3546" s="287"/>
      <c r="D3546" s="288"/>
      <c r="E3546" s="288"/>
    </row>
    <row r="3547" spans="1:5" x14ac:dyDescent="0.25">
      <c r="A3547" s="274"/>
      <c r="B3547" s="498"/>
      <c r="C3547" s="287"/>
      <c r="D3547" s="288"/>
      <c r="E3547" s="288"/>
    </row>
    <row r="3548" spans="1:5" x14ac:dyDescent="0.25">
      <c r="A3548" s="274"/>
      <c r="B3548" s="498"/>
      <c r="C3548" s="287"/>
      <c r="D3548" s="288"/>
      <c r="E3548" s="288"/>
    </row>
    <row r="3549" spans="1:5" x14ac:dyDescent="0.25">
      <c r="A3549" s="274"/>
      <c r="B3549" s="498"/>
      <c r="C3549" s="287"/>
      <c r="D3549" s="288"/>
      <c r="E3549" s="288"/>
    </row>
    <row r="3550" spans="1:5" x14ac:dyDescent="0.25">
      <c r="A3550" s="274"/>
      <c r="B3550" s="498"/>
      <c r="C3550" s="287"/>
      <c r="D3550" s="288"/>
      <c r="E3550" s="288"/>
    </row>
    <row r="3551" spans="1:5" x14ac:dyDescent="0.25">
      <c r="A3551" s="274"/>
      <c r="B3551" s="498"/>
      <c r="C3551" s="287"/>
      <c r="D3551" s="288"/>
      <c r="E3551" s="288"/>
    </row>
    <row r="3552" spans="1:5" x14ac:dyDescent="0.25">
      <c r="A3552" s="274"/>
      <c r="B3552" s="498"/>
      <c r="C3552" s="287"/>
      <c r="D3552" s="288"/>
      <c r="E3552" s="288"/>
    </row>
    <row r="3553" spans="1:5" x14ac:dyDescent="0.25">
      <c r="A3553" s="274"/>
      <c r="B3553" s="498"/>
      <c r="C3553" s="287"/>
      <c r="D3553" s="288"/>
      <c r="E3553" s="288"/>
    </row>
    <row r="3554" spans="1:5" x14ac:dyDescent="0.25">
      <c r="A3554" s="274"/>
      <c r="B3554" s="498"/>
      <c r="C3554" s="287"/>
      <c r="D3554" s="288"/>
      <c r="E3554" s="288"/>
    </row>
    <row r="3555" spans="1:5" x14ac:dyDescent="0.25">
      <c r="A3555" s="274"/>
      <c r="B3555" s="498"/>
      <c r="C3555" s="287"/>
      <c r="D3555" s="288"/>
      <c r="E3555" s="288"/>
    </row>
    <row r="3556" spans="1:5" x14ac:dyDescent="0.25">
      <c r="A3556" s="274"/>
      <c r="B3556" s="498"/>
      <c r="C3556" s="287"/>
      <c r="D3556" s="288"/>
      <c r="E3556" s="288"/>
    </row>
    <row r="3557" spans="1:5" x14ac:dyDescent="0.25">
      <c r="A3557" s="274"/>
      <c r="B3557" s="498"/>
      <c r="C3557" s="287"/>
      <c r="D3557" s="288"/>
      <c r="E3557" s="288"/>
    </row>
    <row r="3558" spans="1:5" x14ac:dyDescent="0.25">
      <c r="A3558" s="274"/>
      <c r="B3558" s="498"/>
      <c r="C3558" s="287"/>
      <c r="D3558" s="288"/>
      <c r="E3558" s="288"/>
    </row>
    <row r="3559" spans="1:5" x14ac:dyDescent="0.25">
      <c r="A3559" s="274"/>
      <c r="B3559" s="498"/>
      <c r="C3559" s="287"/>
      <c r="D3559" s="288"/>
      <c r="E3559" s="288"/>
    </row>
    <row r="3560" spans="1:5" x14ac:dyDescent="0.25">
      <c r="A3560" s="274"/>
      <c r="B3560" s="498"/>
      <c r="C3560" s="287"/>
      <c r="D3560" s="288"/>
      <c r="E3560" s="288"/>
    </row>
    <row r="3561" spans="1:5" x14ac:dyDescent="0.25">
      <c r="A3561" s="274"/>
      <c r="B3561" s="498"/>
      <c r="C3561" s="287"/>
      <c r="D3561" s="288"/>
      <c r="E3561" s="288"/>
    </row>
    <row r="3562" spans="1:5" x14ac:dyDescent="0.25">
      <c r="A3562" s="274"/>
      <c r="B3562" s="498"/>
      <c r="C3562" s="287"/>
      <c r="D3562" s="288"/>
      <c r="E3562" s="288"/>
    </row>
    <row r="3563" spans="1:5" x14ac:dyDescent="0.25">
      <c r="A3563" s="274"/>
      <c r="B3563" s="498"/>
      <c r="C3563" s="287"/>
      <c r="D3563" s="288"/>
      <c r="E3563" s="288"/>
    </row>
    <row r="3564" spans="1:5" x14ac:dyDescent="0.25">
      <c r="A3564" s="274"/>
      <c r="B3564" s="498"/>
      <c r="C3564" s="287"/>
      <c r="D3564" s="288"/>
      <c r="E3564" s="288"/>
    </row>
    <row r="3565" spans="1:5" x14ac:dyDescent="0.25">
      <c r="A3565" s="274"/>
      <c r="B3565" s="498"/>
      <c r="C3565" s="287"/>
      <c r="D3565" s="288"/>
      <c r="E3565" s="288"/>
    </row>
    <row r="3566" spans="1:5" x14ac:dyDescent="0.25">
      <c r="A3566" s="274"/>
      <c r="B3566" s="498"/>
      <c r="C3566" s="287"/>
      <c r="D3566" s="288"/>
      <c r="E3566" s="288"/>
    </row>
    <row r="3567" spans="1:5" x14ac:dyDescent="0.25">
      <c r="A3567" s="274"/>
      <c r="B3567" s="498"/>
      <c r="C3567" s="287"/>
      <c r="D3567" s="288"/>
      <c r="E3567" s="288"/>
    </row>
    <row r="3568" spans="1:5" x14ac:dyDescent="0.25">
      <c r="A3568" s="274"/>
      <c r="B3568" s="498"/>
      <c r="C3568" s="287"/>
      <c r="D3568" s="288"/>
      <c r="E3568" s="288"/>
    </row>
    <row r="3569" spans="1:5" x14ac:dyDescent="0.25">
      <c r="A3569" s="274"/>
      <c r="B3569" s="498"/>
      <c r="C3569" s="287"/>
      <c r="D3569" s="288"/>
      <c r="E3569" s="288"/>
    </row>
    <row r="3570" spans="1:5" x14ac:dyDescent="0.25">
      <c r="A3570" s="274"/>
      <c r="B3570" s="498"/>
      <c r="C3570" s="287"/>
      <c r="D3570" s="288"/>
      <c r="E3570" s="288"/>
    </row>
    <row r="3571" spans="1:5" x14ac:dyDescent="0.25">
      <c r="A3571" s="274"/>
      <c r="B3571" s="498"/>
      <c r="C3571" s="287"/>
      <c r="D3571" s="288"/>
      <c r="E3571" s="288"/>
    </row>
    <row r="3572" spans="1:5" x14ac:dyDescent="0.25">
      <c r="A3572" s="274"/>
      <c r="B3572" s="498"/>
      <c r="C3572" s="287"/>
      <c r="D3572" s="288"/>
      <c r="E3572" s="288"/>
    </row>
    <row r="3573" spans="1:5" x14ac:dyDescent="0.25">
      <c r="A3573" s="274"/>
      <c r="B3573" s="498"/>
      <c r="C3573" s="287"/>
      <c r="D3573" s="288"/>
      <c r="E3573" s="288"/>
    </row>
    <row r="3574" spans="1:5" x14ac:dyDescent="0.25">
      <c r="A3574" s="274"/>
      <c r="B3574" s="498"/>
      <c r="C3574" s="287"/>
      <c r="D3574" s="288"/>
      <c r="E3574" s="288"/>
    </row>
    <row r="3575" spans="1:5" x14ac:dyDescent="0.25">
      <c r="A3575" s="274"/>
      <c r="B3575" s="498"/>
      <c r="C3575" s="287"/>
      <c r="D3575" s="288"/>
      <c r="E3575" s="288"/>
    </row>
    <row r="3576" spans="1:5" x14ac:dyDescent="0.25">
      <c r="A3576" s="274"/>
      <c r="B3576" s="498"/>
      <c r="C3576" s="287"/>
      <c r="D3576" s="288"/>
      <c r="E3576" s="288"/>
    </row>
    <row r="3577" spans="1:5" x14ac:dyDescent="0.25">
      <c r="A3577" s="274"/>
      <c r="B3577" s="498"/>
      <c r="C3577" s="287"/>
      <c r="D3577" s="288"/>
      <c r="E3577" s="288"/>
    </row>
    <row r="3578" spans="1:5" x14ac:dyDescent="0.25">
      <c r="A3578" s="274"/>
      <c r="B3578" s="498"/>
      <c r="C3578" s="287"/>
      <c r="D3578" s="288"/>
      <c r="E3578" s="288"/>
    </row>
    <row r="3579" spans="1:5" x14ac:dyDescent="0.25">
      <c r="A3579" s="274"/>
      <c r="B3579" s="498"/>
      <c r="C3579" s="287"/>
      <c r="D3579" s="288"/>
      <c r="E3579" s="288"/>
    </row>
    <row r="3580" spans="1:5" x14ac:dyDescent="0.25">
      <c r="A3580" s="274"/>
      <c r="B3580" s="498"/>
      <c r="C3580" s="287"/>
      <c r="D3580" s="288"/>
      <c r="E3580" s="288"/>
    </row>
    <row r="3581" spans="1:5" x14ac:dyDescent="0.25">
      <c r="A3581" s="274"/>
      <c r="B3581" s="498"/>
      <c r="C3581" s="287"/>
      <c r="D3581" s="288"/>
      <c r="E3581" s="288"/>
    </row>
    <row r="3582" spans="1:5" x14ac:dyDescent="0.25">
      <c r="A3582" s="274"/>
      <c r="B3582" s="498"/>
      <c r="C3582" s="287"/>
      <c r="D3582" s="288"/>
      <c r="E3582" s="288"/>
    </row>
    <row r="3583" spans="1:5" x14ac:dyDescent="0.25">
      <c r="A3583" s="274"/>
      <c r="B3583" s="498"/>
      <c r="C3583" s="287"/>
      <c r="D3583" s="288"/>
      <c r="E3583" s="288"/>
    </row>
    <row r="3584" spans="1:5" x14ac:dyDescent="0.25">
      <c r="A3584" s="274"/>
      <c r="B3584" s="498"/>
      <c r="C3584" s="287"/>
      <c r="D3584" s="288"/>
      <c r="E3584" s="288"/>
    </row>
    <row r="3585" spans="1:5" x14ac:dyDescent="0.25">
      <c r="A3585" s="274"/>
      <c r="B3585" s="498"/>
      <c r="C3585" s="287"/>
      <c r="D3585" s="288"/>
      <c r="E3585" s="288"/>
    </row>
    <row r="3586" spans="1:5" x14ac:dyDescent="0.25">
      <c r="A3586" s="274"/>
      <c r="B3586" s="498"/>
      <c r="C3586" s="287"/>
      <c r="D3586" s="288"/>
      <c r="E3586" s="288"/>
    </row>
    <row r="3587" spans="1:5" x14ac:dyDescent="0.25">
      <c r="A3587" s="274"/>
      <c r="B3587" s="498"/>
      <c r="C3587" s="287"/>
      <c r="D3587" s="288"/>
      <c r="E3587" s="288"/>
    </row>
    <row r="3588" spans="1:5" x14ac:dyDescent="0.25">
      <c r="A3588" s="274"/>
      <c r="B3588" s="498"/>
      <c r="C3588" s="287"/>
      <c r="D3588" s="288"/>
      <c r="E3588" s="288"/>
    </row>
    <row r="3589" spans="1:5" x14ac:dyDescent="0.25">
      <c r="A3589" s="274"/>
      <c r="B3589" s="498"/>
      <c r="C3589" s="287"/>
      <c r="D3589" s="288"/>
      <c r="E3589" s="288"/>
    </row>
    <row r="3590" spans="1:5" x14ac:dyDescent="0.25">
      <c r="A3590" s="274"/>
      <c r="B3590" s="498"/>
      <c r="C3590" s="287"/>
      <c r="D3590" s="288"/>
      <c r="E3590" s="288"/>
    </row>
    <row r="3591" spans="1:5" x14ac:dyDescent="0.25">
      <c r="A3591" s="274"/>
      <c r="B3591" s="498"/>
      <c r="C3591" s="287"/>
      <c r="D3591" s="288"/>
      <c r="E3591" s="288"/>
    </row>
    <row r="3592" spans="1:5" x14ac:dyDescent="0.25">
      <c r="A3592" s="274"/>
      <c r="B3592" s="498"/>
      <c r="C3592" s="287"/>
      <c r="D3592" s="288"/>
      <c r="E3592" s="288"/>
    </row>
    <row r="3593" spans="1:5" x14ac:dyDescent="0.25">
      <c r="A3593" s="274"/>
      <c r="B3593" s="498"/>
      <c r="C3593" s="287"/>
      <c r="D3593" s="288"/>
      <c r="E3593" s="288"/>
    </row>
    <row r="3594" spans="1:5" x14ac:dyDescent="0.25">
      <c r="A3594" s="274"/>
      <c r="B3594" s="498"/>
      <c r="C3594" s="287"/>
      <c r="D3594" s="288"/>
      <c r="E3594" s="288"/>
    </row>
    <row r="3595" spans="1:5" x14ac:dyDescent="0.25">
      <c r="A3595" s="274"/>
      <c r="B3595" s="498"/>
      <c r="C3595" s="287"/>
      <c r="D3595" s="288"/>
      <c r="E3595" s="288"/>
    </row>
    <row r="3596" spans="1:5" x14ac:dyDescent="0.25">
      <c r="A3596" s="274"/>
      <c r="B3596" s="498"/>
      <c r="C3596" s="287"/>
      <c r="D3596" s="288"/>
      <c r="E3596" s="288"/>
    </row>
    <row r="3597" spans="1:5" x14ac:dyDescent="0.25">
      <c r="A3597" s="274"/>
      <c r="B3597" s="498"/>
      <c r="C3597" s="287"/>
      <c r="D3597" s="288"/>
      <c r="E3597" s="288"/>
    </row>
    <row r="3598" spans="1:5" x14ac:dyDescent="0.25">
      <c r="A3598" s="274"/>
      <c r="B3598" s="498"/>
      <c r="C3598" s="287"/>
      <c r="D3598" s="288"/>
      <c r="E3598" s="288"/>
    </row>
    <row r="3599" spans="1:5" x14ac:dyDescent="0.25">
      <c r="A3599" s="274"/>
      <c r="B3599" s="498"/>
      <c r="C3599" s="287"/>
      <c r="D3599" s="288"/>
      <c r="E3599" s="288"/>
    </row>
    <row r="3600" spans="1:5" x14ac:dyDescent="0.25">
      <c r="A3600" s="274"/>
      <c r="B3600" s="498"/>
      <c r="C3600" s="287"/>
      <c r="D3600" s="288"/>
      <c r="E3600" s="288"/>
    </row>
    <row r="3601" spans="1:5" x14ac:dyDescent="0.25">
      <c r="A3601" s="274"/>
      <c r="B3601" s="498"/>
      <c r="C3601" s="287"/>
      <c r="D3601" s="288"/>
      <c r="E3601" s="288"/>
    </row>
    <row r="3602" spans="1:5" x14ac:dyDescent="0.25">
      <c r="A3602" s="274"/>
      <c r="B3602" s="498"/>
      <c r="C3602" s="287"/>
      <c r="D3602" s="288"/>
      <c r="E3602" s="288"/>
    </row>
    <row r="3603" spans="1:5" x14ac:dyDescent="0.25">
      <c r="A3603" s="274"/>
      <c r="B3603" s="498"/>
      <c r="C3603" s="287"/>
      <c r="D3603" s="288"/>
      <c r="E3603" s="288"/>
    </row>
    <row r="3604" spans="1:5" x14ac:dyDescent="0.25">
      <c r="A3604" s="274"/>
      <c r="B3604" s="498"/>
      <c r="C3604" s="287"/>
      <c r="D3604" s="288"/>
      <c r="E3604" s="288"/>
    </row>
    <row r="3605" spans="1:5" x14ac:dyDescent="0.25">
      <c r="A3605" s="274"/>
      <c r="B3605" s="498"/>
      <c r="C3605" s="287"/>
      <c r="D3605" s="288"/>
      <c r="E3605" s="288"/>
    </row>
    <row r="3606" spans="1:5" x14ac:dyDescent="0.25">
      <c r="A3606" s="274"/>
      <c r="B3606" s="498"/>
      <c r="C3606" s="287"/>
      <c r="D3606" s="288"/>
      <c r="E3606" s="288"/>
    </row>
    <row r="3607" spans="1:5" x14ac:dyDescent="0.25">
      <c r="A3607" s="274"/>
      <c r="B3607" s="498"/>
      <c r="C3607" s="287"/>
      <c r="D3607" s="288"/>
      <c r="E3607" s="288"/>
    </row>
    <row r="3608" spans="1:5" x14ac:dyDescent="0.25">
      <c r="A3608" s="274"/>
      <c r="B3608" s="498"/>
      <c r="C3608" s="287"/>
      <c r="D3608" s="288"/>
      <c r="E3608" s="288"/>
    </row>
    <row r="3609" spans="1:5" x14ac:dyDescent="0.25">
      <c r="A3609" s="274"/>
      <c r="B3609" s="498"/>
      <c r="C3609" s="287"/>
      <c r="D3609" s="288"/>
      <c r="E3609" s="288"/>
    </row>
    <row r="3610" spans="1:5" x14ac:dyDescent="0.25">
      <c r="A3610" s="274"/>
      <c r="B3610" s="498"/>
      <c r="C3610" s="287"/>
      <c r="D3610" s="288"/>
      <c r="E3610" s="288"/>
    </row>
    <row r="3611" spans="1:5" x14ac:dyDescent="0.25">
      <c r="A3611" s="274"/>
      <c r="B3611" s="498"/>
      <c r="C3611" s="287"/>
      <c r="D3611" s="288"/>
      <c r="E3611" s="288"/>
    </row>
    <row r="3612" spans="1:5" x14ac:dyDescent="0.25">
      <c r="A3612" s="274"/>
      <c r="B3612" s="498"/>
      <c r="C3612" s="287"/>
      <c r="D3612" s="288"/>
      <c r="E3612" s="288"/>
    </row>
    <row r="3613" spans="1:5" x14ac:dyDescent="0.25">
      <c r="A3613" s="274"/>
      <c r="B3613" s="498"/>
      <c r="C3613" s="287"/>
      <c r="D3613" s="288"/>
      <c r="E3613" s="288"/>
    </row>
    <row r="3614" spans="1:5" x14ac:dyDescent="0.25">
      <c r="A3614" s="274"/>
      <c r="B3614" s="498"/>
      <c r="C3614" s="287"/>
      <c r="D3614" s="288"/>
      <c r="E3614" s="288"/>
    </row>
    <row r="3615" spans="1:5" x14ac:dyDescent="0.25">
      <c r="A3615" s="274"/>
      <c r="B3615" s="498"/>
      <c r="C3615" s="287"/>
      <c r="D3615" s="288"/>
      <c r="E3615" s="288"/>
    </row>
    <row r="3616" spans="1:5" x14ac:dyDescent="0.25">
      <c r="A3616" s="274"/>
      <c r="B3616" s="498"/>
      <c r="C3616" s="287"/>
      <c r="D3616" s="288"/>
      <c r="E3616" s="288"/>
    </row>
    <row r="3617" spans="1:5" x14ac:dyDescent="0.25">
      <c r="A3617" s="274"/>
      <c r="B3617" s="498"/>
      <c r="C3617" s="287"/>
      <c r="D3617" s="288"/>
      <c r="E3617" s="288"/>
    </row>
    <row r="3618" spans="1:5" x14ac:dyDescent="0.25">
      <c r="A3618" s="274"/>
      <c r="B3618" s="498"/>
      <c r="C3618" s="287"/>
      <c r="D3618" s="288"/>
      <c r="E3618" s="288"/>
    </row>
    <row r="3619" spans="1:5" x14ac:dyDescent="0.25">
      <c r="A3619" s="274"/>
      <c r="B3619" s="498"/>
      <c r="C3619" s="287"/>
      <c r="D3619" s="288"/>
      <c r="E3619" s="288"/>
    </row>
    <row r="3620" spans="1:5" x14ac:dyDescent="0.25">
      <c r="A3620" s="274"/>
      <c r="B3620" s="498"/>
      <c r="C3620" s="287"/>
      <c r="D3620" s="288"/>
      <c r="E3620" s="288"/>
    </row>
    <row r="3621" spans="1:5" x14ac:dyDescent="0.25">
      <c r="A3621" s="274"/>
      <c r="B3621" s="498"/>
      <c r="C3621" s="287"/>
      <c r="D3621" s="288"/>
      <c r="E3621" s="288"/>
    </row>
    <row r="3622" spans="1:5" x14ac:dyDescent="0.25">
      <c r="A3622" s="274"/>
      <c r="B3622" s="498"/>
      <c r="C3622" s="287"/>
      <c r="D3622" s="288"/>
      <c r="E3622" s="288"/>
    </row>
    <row r="3623" spans="1:5" x14ac:dyDescent="0.25">
      <c r="A3623" s="274"/>
      <c r="B3623" s="498"/>
      <c r="C3623" s="287"/>
      <c r="D3623" s="288"/>
      <c r="E3623" s="288"/>
    </row>
    <row r="3624" spans="1:5" x14ac:dyDescent="0.25">
      <c r="A3624" s="274"/>
      <c r="B3624" s="498"/>
      <c r="C3624" s="287"/>
      <c r="D3624" s="288"/>
      <c r="E3624" s="288"/>
    </row>
    <row r="3625" spans="1:5" x14ac:dyDescent="0.25">
      <c r="A3625" s="274"/>
      <c r="B3625" s="498"/>
      <c r="C3625" s="287"/>
      <c r="D3625" s="288"/>
      <c r="E3625" s="288"/>
    </row>
    <row r="3626" spans="1:5" x14ac:dyDescent="0.25">
      <c r="A3626" s="274"/>
      <c r="B3626" s="498"/>
      <c r="C3626" s="287"/>
      <c r="D3626" s="288"/>
      <c r="E3626" s="288"/>
    </row>
    <row r="3627" spans="1:5" x14ac:dyDescent="0.25">
      <c r="A3627" s="274"/>
      <c r="B3627" s="498"/>
      <c r="C3627" s="287"/>
      <c r="D3627" s="288"/>
      <c r="E3627" s="288"/>
    </row>
    <row r="3628" spans="1:5" x14ac:dyDescent="0.25">
      <c r="A3628" s="274"/>
      <c r="B3628" s="498"/>
      <c r="C3628" s="287"/>
      <c r="D3628" s="288"/>
      <c r="E3628" s="288"/>
    </row>
    <row r="3629" spans="1:5" x14ac:dyDescent="0.25">
      <c r="A3629" s="274"/>
      <c r="B3629" s="498"/>
      <c r="C3629" s="287"/>
      <c r="D3629" s="288"/>
      <c r="E3629" s="288"/>
    </row>
    <row r="3630" spans="1:5" x14ac:dyDescent="0.25">
      <c r="A3630" s="274"/>
      <c r="B3630" s="498"/>
      <c r="C3630" s="287"/>
      <c r="D3630" s="288"/>
      <c r="E3630" s="288"/>
    </row>
    <row r="3631" spans="1:5" x14ac:dyDescent="0.25">
      <c r="A3631" s="274"/>
      <c r="B3631" s="498"/>
      <c r="C3631" s="287"/>
      <c r="D3631" s="288"/>
      <c r="E3631" s="288"/>
    </row>
    <row r="3632" spans="1:5" x14ac:dyDescent="0.25">
      <c r="A3632" s="274"/>
      <c r="B3632" s="498"/>
      <c r="C3632" s="287"/>
      <c r="D3632" s="288"/>
      <c r="E3632" s="288"/>
    </row>
    <row r="3633" spans="1:5" x14ac:dyDescent="0.25">
      <c r="A3633" s="274"/>
      <c r="B3633" s="498"/>
      <c r="C3633" s="287"/>
      <c r="D3633" s="288"/>
      <c r="E3633" s="288"/>
    </row>
    <row r="3634" spans="1:5" x14ac:dyDescent="0.25">
      <c r="A3634" s="274"/>
      <c r="B3634" s="498"/>
      <c r="C3634" s="287"/>
      <c r="D3634" s="288"/>
      <c r="E3634" s="288"/>
    </row>
    <row r="3635" spans="1:5" x14ac:dyDescent="0.25">
      <c r="A3635" s="274"/>
      <c r="B3635" s="498"/>
      <c r="C3635" s="287"/>
      <c r="D3635" s="288"/>
      <c r="E3635" s="288"/>
    </row>
    <row r="3636" spans="1:5" x14ac:dyDescent="0.25">
      <c r="A3636" s="274"/>
      <c r="B3636" s="498"/>
      <c r="C3636" s="287"/>
      <c r="D3636" s="288"/>
      <c r="E3636" s="288"/>
    </row>
    <row r="3637" spans="1:5" x14ac:dyDescent="0.25">
      <c r="A3637" s="274"/>
      <c r="B3637" s="498"/>
      <c r="C3637" s="287"/>
      <c r="D3637" s="288"/>
      <c r="E3637" s="288"/>
    </row>
    <row r="3638" spans="1:5" x14ac:dyDescent="0.25">
      <c r="A3638" s="274"/>
      <c r="B3638" s="498"/>
      <c r="C3638" s="287"/>
      <c r="D3638" s="288"/>
      <c r="E3638" s="288"/>
    </row>
    <row r="3639" spans="1:5" x14ac:dyDescent="0.25">
      <c r="A3639" s="274"/>
      <c r="B3639" s="498"/>
      <c r="C3639" s="287"/>
      <c r="D3639" s="288"/>
      <c r="E3639" s="288"/>
    </row>
    <row r="3640" spans="1:5" x14ac:dyDescent="0.25">
      <c r="A3640" s="274"/>
      <c r="B3640" s="498"/>
      <c r="C3640" s="287"/>
      <c r="D3640" s="288"/>
      <c r="E3640" s="288"/>
    </row>
    <row r="3641" spans="1:5" x14ac:dyDescent="0.25">
      <c r="A3641" s="274"/>
      <c r="B3641" s="498"/>
      <c r="C3641" s="287"/>
      <c r="D3641" s="288"/>
      <c r="E3641" s="288"/>
    </row>
    <row r="3642" spans="1:5" x14ac:dyDescent="0.25">
      <c r="A3642" s="274"/>
      <c r="B3642" s="498"/>
      <c r="C3642" s="287"/>
      <c r="D3642" s="288"/>
      <c r="E3642" s="288"/>
    </row>
    <row r="3643" spans="1:5" x14ac:dyDescent="0.25">
      <c r="A3643" s="274"/>
      <c r="B3643" s="498"/>
      <c r="C3643" s="287"/>
      <c r="D3643" s="288"/>
      <c r="E3643" s="288"/>
    </row>
    <row r="3644" spans="1:5" x14ac:dyDescent="0.25">
      <c r="A3644" s="274"/>
      <c r="B3644" s="498"/>
      <c r="C3644" s="287"/>
      <c r="D3644" s="288"/>
      <c r="E3644" s="288"/>
    </row>
    <row r="3645" spans="1:5" x14ac:dyDescent="0.25">
      <c r="A3645" s="274"/>
      <c r="B3645" s="498"/>
      <c r="C3645" s="287"/>
      <c r="D3645" s="288"/>
      <c r="E3645" s="288"/>
    </row>
    <row r="3646" spans="1:5" x14ac:dyDescent="0.25">
      <c r="A3646" s="274"/>
      <c r="B3646" s="498"/>
      <c r="C3646" s="287"/>
      <c r="D3646" s="288"/>
      <c r="E3646" s="288"/>
    </row>
    <row r="3647" spans="1:5" x14ac:dyDescent="0.25">
      <c r="A3647" s="274"/>
      <c r="B3647" s="498"/>
      <c r="C3647" s="287"/>
      <c r="D3647" s="288"/>
      <c r="E3647" s="288"/>
    </row>
    <row r="3648" spans="1:5" x14ac:dyDescent="0.25">
      <c r="A3648" s="274"/>
      <c r="B3648" s="498"/>
      <c r="C3648" s="287"/>
      <c r="D3648" s="288"/>
      <c r="E3648" s="288"/>
    </row>
    <row r="3649" spans="1:5" x14ac:dyDescent="0.25">
      <c r="A3649" s="274"/>
      <c r="B3649" s="498"/>
      <c r="C3649" s="287"/>
      <c r="D3649" s="288"/>
      <c r="E3649" s="288"/>
    </row>
    <row r="3650" spans="1:5" x14ac:dyDescent="0.25">
      <c r="A3650" s="274"/>
      <c r="B3650" s="498"/>
      <c r="C3650" s="287"/>
      <c r="D3650" s="288"/>
      <c r="E3650" s="288"/>
    </row>
    <row r="3651" spans="1:5" x14ac:dyDescent="0.25">
      <c r="A3651" s="274"/>
      <c r="B3651" s="498"/>
      <c r="C3651" s="287"/>
      <c r="D3651" s="288"/>
      <c r="E3651" s="288"/>
    </row>
    <row r="3652" spans="1:5" x14ac:dyDescent="0.25">
      <c r="A3652" s="274"/>
      <c r="B3652" s="498"/>
      <c r="C3652" s="287"/>
      <c r="D3652" s="288"/>
      <c r="E3652" s="288"/>
    </row>
    <row r="3653" spans="1:5" x14ac:dyDescent="0.25">
      <c r="A3653" s="274"/>
      <c r="B3653" s="498"/>
      <c r="C3653" s="287"/>
      <c r="D3653" s="288"/>
      <c r="E3653" s="288"/>
    </row>
    <row r="3654" spans="1:5" x14ac:dyDescent="0.25">
      <c r="A3654" s="274"/>
      <c r="B3654" s="498"/>
      <c r="C3654" s="287"/>
      <c r="D3654" s="288"/>
      <c r="E3654" s="288"/>
    </row>
    <row r="3655" spans="1:5" x14ac:dyDescent="0.25">
      <c r="A3655" s="274"/>
      <c r="B3655" s="498"/>
      <c r="C3655" s="287"/>
      <c r="D3655" s="288"/>
      <c r="E3655" s="288"/>
    </row>
    <row r="3656" spans="1:5" x14ac:dyDescent="0.25">
      <c r="A3656" s="274"/>
      <c r="B3656" s="498"/>
      <c r="C3656" s="287"/>
      <c r="D3656" s="288"/>
      <c r="E3656" s="288"/>
    </row>
    <row r="3657" spans="1:5" x14ac:dyDescent="0.25">
      <c r="A3657" s="274"/>
      <c r="B3657" s="498"/>
      <c r="C3657" s="287"/>
      <c r="D3657" s="288"/>
      <c r="E3657" s="288"/>
    </row>
    <row r="3658" spans="1:5" x14ac:dyDescent="0.25">
      <c r="A3658" s="274"/>
      <c r="B3658" s="498"/>
      <c r="C3658" s="287"/>
      <c r="D3658" s="288"/>
      <c r="E3658" s="288"/>
    </row>
    <row r="3659" spans="1:5" x14ac:dyDescent="0.25">
      <c r="A3659" s="274"/>
      <c r="B3659" s="498"/>
      <c r="C3659" s="287"/>
      <c r="D3659" s="288"/>
      <c r="E3659" s="288"/>
    </row>
    <row r="3660" spans="1:5" x14ac:dyDescent="0.25">
      <c r="A3660" s="274"/>
      <c r="B3660" s="498"/>
      <c r="C3660" s="287"/>
      <c r="D3660" s="288"/>
      <c r="E3660" s="288"/>
    </row>
    <row r="3661" spans="1:5" x14ac:dyDescent="0.25">
      <c r="A3661" s="274"/>
      <c r="B3661" s="498"/>
      <c r="C3661" s="287"/>
      <c r="D3661" s="288"/>
      <c r="E3661" s="288"/>
    </row>
    <row r="3662" spans="1:5" x14ac:dyDescent="0.25">
      <c r="A3662" s="274"/>
      <c r="B3662" s="498"/>
      <c r="C3662" s="287"/>
      <c r="D3662" s="288"/>
      <c r="E3662" s="288"/>
    </row>
    <row r="3663" spans="1:5" x14ac:dyDescent="0.25">
      <c r="A3663" s="274"/>
      <c r="B3663" s="498"/>
      <c r="C3663" s="287"/>
      <c r="D3663" s="288"/>
      <c r="E3663" s="288"/>
    </row>
    <row r="3664" spans="1:5" x14ac:dyDescent="0.25">
      <c r="A3664" s="274"/>
      <c r="B3664" s="498"/>
      <c r="C3664" s="287"/>
      <c r="D3664" s="288"/>
      <c r="E3664" s="288"/>
    </row>
    <row r="3665" spans="1:5" x14ac:dyDescent="0.25">
      <c r="A3665" s="274"/>
      <c r="B3665" s="498"/>
      <c r="C3665" s="287"/>
      <c r="D3665" s="288"/>
      <c r="E3665" s="288"/>
    </row>
    <row r="3666" spans="1:5" x14ac:dyDescent="0.25">
      <c r="A3666" s="274"/>
      <c r="B3666" s="498"/>
      <c r="C3666" s="287"/>
      <c r="D3666" s="288"/>
      <c r="E3666" s="288"/>
    </row>
    <row r="3667" spans="1:5" x14ac:dyDescent="0.25">
      <c r="A3667" s="274"/>
      <c r="B3667" s="498"/>
      <c r="C3667" s="287"/>
      <c r="D3667" s="288"/>
      <c r="E3667" s="288"/>
    </row>
    <row r="3668" spans="1:5" x14ac:dyDescent="0.25">
      <c r="A3668" s="274"/>
      <c r="B3668" s="498"/>
      <c r="C3668" s="287"/>
      <c r="D3668" s="288"/>
      <c r="E3668" s="288"/>
    </row>
    <row r="3669" spans="1:5" x14ac:dyDescent="0.25">
      <c r="A3669" s="274"/>
      <c r="B3669" s="498"/>
      <c r="C3669" s="287"/>
      <c r="D3669" s="288"/>
      <c r="E3669" s="288"/>
    </row>
    <row r="3670" spans="1:5" x14ac:dyDescent="0.25">
      <c r="A3670" s="274"/>
      <c r="B3670" s="498"/>
      <c r="C3670" s="287"/>
      <c r="D3670" s="288"/>
      <c r="E3670" s="288"/>
    </row>
    <row r="3671" spans="1:5" x14ac:dyDescent="0.25">
      <c r="A3671" s="274"/>
      <c r="B3671" s="498"/>
      <c r="C3671" s="287"/>
      <c r="D3671" s="288"/>
      <c r="E3671" s="288"/>
    </row>
    <row r="3672" spans="1:5" x14ac:dyDescent="0.25">
      <c r="A3672" s="274"/>
      <c r="B3672" s="498"/>
      <c r="C3672" s="287"/>
      <c r="D3672" s="288"/>
      <c r="E3672" s="288"/>
    </row>
    <row r="3673" spans="1:5" x14ac:dyDescent="0.25">
      <c r="A3673" s="274"/>
      <c r="B3673" s="498"/>
      <c r="C3673" s="287"/>
      <c r="D3673" s="288"/>
      <c r="E3673" s="288"/>
    </row>
    <row r="3674" spans="1:5" x14ac:dyDescent="0.25">
      <c r="A3674" s="274"/>
      <c r="B3674" s="498"/>
      <c r="C3674" s="287"/>
      <c r="D3674" s="288"/>
      <c r="E3674" s="288"/>
    </row>
    <row r="3675" spans="1:5" x14ac:dyDescent="0.25">
      <c r="A3675" s="274"/>
      <c r="B3675" s="498"/>
      <c r="C3675" s="287"/>
      <c r="D3675" s="288"/>
      <c r="E3675" s="288"/>
    </row>
    <row r="3676" spans="1:5" x14ac:dyDescent="0.25">
      <c r="A3676" s="274"/>
      <c r="B3676" s="498"/>
      <c r="C3676" s="287"/>
      <c r="D3676" s="288"/>
      <c r="E3676" s="288"/>
    </row>
    <row r="3677" spans="1:5" x14ac:dyDescent="0.25">
      <c r="A3677" s="274"/>
      <c r="B3677" s="498"/>
      <c r="C3677" s="287"/>
      <c r="D3677" s="288"/>
      <c r="E3677" s="288"/>
    </row>
    <row r="3678" spans="1:5" x14ac:dyDescent="0.25">
      <c r="A3678" s="274"/>
      <c r="B3678" s="498"/>
      <c r="C3678" s="287"/>
      <c r="D3678" s="288"/>
      <c r="E3678" s="288"/>
    </row>
    <row r="3679" spans="1:5" x14ac:dyDescent="0.25">
      <c r="A3679" s="274"/>
      <c r="B3679" s="498"/>
      <c r="C3679" s="287"/>
      <c r="D3679" s="288"/>
      <c r="E3679" s="288"/>
    </row>
    <row r="3680" spans="1:5" x14ac:dyDescent="0.25">
      <c r="A3680" s="274"/>
      <c r="B3680" s="498"/>
      <c r="C3680" s="287"/>
      <c r="D3680" s="288"/>
      <c r="E3680" s="288"/>
    </row>
    <row r="3681" spans="1:5" x14ac:dyDescent="0.25">
      <c r="A3681" s="274"/>
      <c r="B3681" s="498"/>
      <c r="C3681" s="287"/>
      <c r="D3681" s="288"/>
      <c r="E3681" s="288"/>
    </row>
    <row r="3682" spans="1:5" x14ac:dyDescent="0.25">
      <c r="A3682" s="274"/>
      <c r="B3682" s="498"/>
      <c r="C3682" s="287"/>
      <c r="D3682" s="288"/>
      <c r="E3682" s="288"/>
    </row>
    <row r="3683" spans="1:5" x14ac:dyDescent="0.25">
      <c r="A3683" s="274"/>
      <c r="B3683" s="498"/>
      <c r="C3683" s="287"/>
      <c r="D3683" s="288"/>
      <c r="E3683" s="288"/>
    </row>
    <row r="3684" spans="1:5" x14ac:dyDescent="0.25">
      <c r="A3684" s="274"/>
      <c r="B3684" s="498"/>
      <c r="C3684" s="287"/>
      <c r="D3684" s="288"/>
      <c r="E3684" s="288"/>
    </row>
    <row r="3685" spans="1:5" x14ac:dyDescent="0.25">
      <c r="A3685" s="274"/>
      <c r="B3685" s="498"/>
      <c r="C3685" s="287"/>
      <c r="D3685" s="288"/>
      <c r="E3685" s="288"/>
    </row>
    <row r="3686" spans="1:5" x14ac:dyDescent="0.25">
      <c r="A3686" s="274"/>
      <c r="B3686" s="498"/>
      <c r="C3686" s="287"/>
      <c r="D3686" s="288"/>
      <c r="E3686" s="288"/>
    </row>
    <row r="3687" spans="1:5" x14ac:dyDescent="0.25">
      <c r="A3687" s="274"/>
      <c r="B3687" s="498"/>
      <c r="C3687" s="287"/>
      <c r="D3687" s="288"/>
      <c r="E3687" s="288"/>
    </row>
    <row r="3688" spans="1:5" x14ac:dyDescent="0.25">
      <c r="A3688" s="274"/>
      <c r="B3688" s="498"/>
      <c r="C3688" s="287"/>
      <c r="D3688" s="288"/>
      <c r="E3688" s="288"/>
    </row>
    <row r="3689" spans="1:5" x14ac:dyDescent="0.25">
      <c r="A3689" s="274"/>
      <c r="B3689" s="498"/>
      <c r="C3689" s="287"/>
      <c r="D3689" s="288"/>
      <c r="E3689" s="288"/>
    </row>
    <row r="3690" spans="1:5" x14ac:dyDescent="0.25">
      <c r="A3690" s="274"/>
      <c r="B3690" s="498"/>
      <c r="C3690" s="287"/>
      <c r="D3690" s="288"/>
      <c r="E3690" s="288"/>
    </row>
    <row r="3691" spans="1:5" x14ac:dyDescent="0.25">
      <c r="A3691" s="274"/>
      <c r="B3691" s="498"/>
      <c r="C3691" s="287"/>
      <c r="D3691" s="288"/>
      <c r="E3691" s="288"/>
    </row>
    <row r="3692" spans="1:5" x14ac:dyDescent="0.25">
      <c r="A3692" s="274"/>
      <c r="B3692" s="498"/>
      <c r="C3692" s="287"/>
      <c r="D3692" s="288"/>
      <c r="E3692" s="288"/>
    </row>
    <row r="3693" spans="1:5" x14ac:dyDescent="0.25">
      <c r="A3693" s="274"/>
      <c r="B3693" s="498"/>
      <c r="C3693" s="287"/>
      <c r="D3693" s="288"/>
      <c r="E3693" s="288"/>
    </row>
    <row r="3694" spans="1:5" x14ac:dyDescent="0.25">
      <c r="A3694" s="274"/>
      <c r="B3694" s="498"/>
      <c r="C3694" s="287"/>
      <c r="D3694" s="288"/>
      <c r="E3694" s="288"/>
    </row>
    <row r="3695" spans="1:5" x14ac:dyDescent="0.25">
      <c r="A3695" s="274"/>
      <c r="B3695" s="498"/>
      <c r="C3695" s="287"/>
      <c r="D3695" s="288"/>
      <c r="E3695" s="288"/>
    </row>
    <row r="3696" spans="1:5" x14ac:dyDescent="0.25">
      <c r="A3696" s="274"/>
      <c r="B3696" s="498"/>
      <c r="C3696" s="287"/>
      <c r="D3696" s="288"/>
      <c r="E3696" s="288"/>
    </row>
    <row r="3697" spans="1:5" x14ac:dyDescent="0.25">
      <c r="A3697" s="274"/>
      <c r="B3697" s="498"/>
      <c r="C3697" s="287"/>
      <c r="D3697" s="288"/>
      <c r="E3697" s="288"/>
    </row>
    <row r="3698" spans="1:5" x14ac:dyDescent="0.25">
      <c r="A3698" s="274"/>
      <c r="B3698" s="498"/>
      <c r="C3698" s="287"/>
      <c r="D3698" s="288"/>
      <c r="E3698" s="288"/>
    </row>
    <row r="3699" spans="1:5" x14ac:dyDescent="0.25">
      <c r="A3699" s="274"/>
      <c r="B3699" s="498"/>
      <c r="C3699" s="287"/>
      <c r="D3699" s="288"/>
      <c r="E3699" s="288"/>
    </row>
    <row r="3700" spans="1:5" x14ac:dyDescent="0.25">
      <c r="A3700" s="274"/>
      <c r="B3700" s="498"/>
      <c r="C3700" s="287"/>
      <c r="D3700" s="288"/>
      <c r="E3700" s="288"/>
    </row>
    <row r="3701" spans="1:5" x14ac:dyDescent="0.25">
      <c r="A3701" s="274"/>
      <c r="B3701" s="498"/>
      <c r="C3701" s="287"/>
      <c r="D3701" s="288"/>
      <c r="E3701" s="288"/>
    </row>
    <row r="3702" spans="1:5" x14ac:dyDescent="0.25">
      <c r="A3702" s="274"/>
      <c r="B3702" s="498"/>
      <c r="C3702" s="287"/>
      <c r="D3702" s="288"/>
      <c r="E3702" s="288"/>
    </row>
    <row r="3703" spans="1:5" x14ac:dyDescent="0.25">
      <c r="A3703" s="274"/>
      <c r="B3703" s="498"/>
      <c r="C3703" s="287"/>
      <c r="D3703" s="288"/>
      <c r="E3703" s="288"/>
    </row>
    <row r="3704" spans="1:5" x14ac:dyDescent="0.25">
      <c r="A3704" s="274"/>
      <c r="B3704" s="498"/>
      <c r="C3704" s="287"/>
      <c r="D3704" s="288"/>
      <c r="E3704" s="288"/>
    </row>
    <row r="3705" spans="1:5" x14ac:dyDescent="0.25">
      <c r="A3705" s="274"/>
      <c r="B3705" s="498"/>
      <c r="C3705" s="287"/>
      <c r="D3705" s="288"/>
      <c r="E3705" s="288"/>
    </row>
    <row r="3706" spans="1:5" x14ac:dyDescent="0.25">
      <c r="A3706" s="274"/>
      <c r="B3706" s="498"/>
      <c r="C3706" s="287"/>
      <c r="D3706" s="288"/>
      <c r="E3706" s="288"/>
    </row>
    <row r="3707" spans="1:5" x14ac:dyDescent="0.25">
      <c r="A3707" s="274"/>
      <c r="B3707" s="498"/>
      <c r="C3707" s="287"/>
      <c r="D3707" s="288"/>
      <c r="E3707" s="288"/>
    </row>
    <row r="3708" spans="1:5" x14ac:dyDescent="0.25">
      <c r="A3708" s="274"/>
      <c r="B3708" s="498"/>
      <c r="C3708" s="287"/>
      <c r="D3708" s="288"/>
      <c r="E3708" s="288"/>
    </row>
    <row r="3709" spans="1:5" x14ac:dyDescent="0.25">
      <c r="A3709" s="274"/>
      <c r="B3709" s="498"/>
      <c r="C3709" s="287"/>
      <c r="D3709" s="288"/>
      <c r="E3709" s="288"/>
    </row>
    <row r="3710" spans="1:5" x14ac:dyDescent="0.25">
      <c r="A3710" s="274"/>
      <c r="B3710" s="498"/>
      <c r="C3710" s="287"/>
      <c r="D3710" s="288"/>
      <c r="E3710" s="288"/>
    </row>
    <row r="3711" spans="1:5" x14ac:dyDescent="0.25">
      <c r="A3711" s="274"/>
      <c r="B3711" s="498"/>
      <c r="C3711" s="287"/>
      <c r="D3711" s="288"/>
      <c r="E3711" s="288"/>
    </row>
    <row r="3712" spans="1:5" x14ac:dyDescent="0.25">
      <c r="A3712" s="274"/>
      <c r="B3712" s="498"/>
      <c r="C3712" s="287"/>
      <c r="D3712" s="288"/>
      <c r="E3712" s="288"/>
    </row>
    <row r="3713" spans="1:5" x14ac:dyDescent="0.25">
      <c r="A3713" s="274"/>
      <c r="B3713" s="498"/>
      <c r="C3713" s="287"/>
      <c r="D3713" s="288"/>
      <c r="E3713" s="288"/>
    </row>
    <row r="3714" spans="1:5" x14ac:dyDescent="0.25">
      <c r="A3714" s="274"/>
      <c r="B3714" s="498"/>
      <c r="C3714" s="287"/>
      <c r="D3714" s="288"/>
      <c r="E3714" s="288"/>
    </row>
    <row r="3715" spans="1:5" x14ac:dyDescent="0.25">
      <c r="A3715" s="274"/>
      <c r="B3715" s="498"/>
      <c r="C3715" s="287"/>
      <c r="D3715" s="288"/>
      <c r="E3715" s="288"/>
    </row>
    <row r="3716" spans="1:5" x14ac:dyDescent="0.25">
      <c r="A3716" s="274"/>
      <c r="B3716" s="498"/>
      <c r="C3716" s="287"/>
      <c r="D3716" s="288"/>
      <c r="E3716" s="288"/>
    </row>
    <row r="3717" spans="1:5" x14ac:dyDescent="0.25">
      <c r="A3717" s="274"/>
      <c r="B3717" s="498"/>
      <c r="C3717" s="287"/>
      <c r="D3717" s="288"/>
      <c r="E3717" s="288"/>
    </row>
    <row r="3718" spans="1:5" x14ac:dyDescent="0.25">
      <c r="A3718" s="274"/>
      <c r="B3718" s="498"/>
      <c r="C3718" s="287"/>
      <c r="D3718" s="288"/>
      <c r="E3718" s="288"/>
    </row>
    <row r="3719" spans="1:5" x14ac:dyDescent="0.25">
      <c r="A3719" s="274"/>
      <c r="B3719" s="498"/>
      <c r="C3719" s="287"/>
      <c r="D3719" s="288"/>
      <c r="E3719" s="288"/>
    </row>
    <row r="3720" spans="1:5" x14ac:dyDescent="0.25">
      <c r="A3720" s="274"/>
      <c r="B3720" s="498"/>
      <c r="C3720" s="287"/>
      <c r="D3720" s="288"/>
      <c r="E3720" s="288"/>
    </row>
    <row r="3721" spans="1:5" x14ac:dyDescent="0.25">
      <c r="A3721" s="274"/>
      <c r="B3721" s="498"/>
      <c r="C3721" s="287"/>
      <c r="D3721" s="288"/>
      <c r="E3721" s="288"/>
    </row>
    <row r="3722" spans="1:5" x14ac:dyDescent="0.25">
      <c r="A3722" s="274"/>
      <c r="B3722" s="498"/>
      <c r="C3722" s="287"/>
      <c r="D3722" s="288"/>
      <c r="E3722" s="288"/>
    </row>
    <row r="3723" spans="1:5" x14ac:dyDescent="0.25">
      <c r="A3723" s="274"/>
      <c r="B3723" s="498"/>
      <c r="C3723" s="287"/>
      <c r="D3723" s="288"/>
      <c r="E3723" s="288"/>
    </row>
    <row r="3724" spans="1:5" x14ac:dyDescent="0.25">
      <c r="A3724" s="274"/>
      <c r="B3724" s="498"/>
      <c r="C3724" s="287"/>
      <c r="D3724" s="288"/>
      <c r="E3724" s="288"/>
    </row>
    <row r="3725" spans="1:5" x14ac:dyDescent="0.25">
      <c r="A3725" s="274"/>
      <c r="B3725" s="498"/>
      <c r="C3725" s="287"/>
      <c r="D3725" s="288"/>
      <c r="E3725" s="288"/>
    </row>
    <row r="3726" spans="1:5" x14ac:dyDescent="0.25">
      <c r="A3726" s="274"/>
      <c r="B3726" s="498"/>
      <c r="C3726" s="287"/>
      <c r="D3726" s="288"/>
      <c r="E3726" s="288"/>
    </row>
    <row r="3727" spans="1:5" x14ac:dyDescent="0.25">
      <c r="A3727" s="274"/>
      <c r="B3727" s="498"/>
      <c r="C3727" s="287"/>
      <c r="D3727" s="288"/>
      <c r="E3727" s="288"/>
    </row>
    <row r="3728" spans="1:5" x14ac:dyDescent="0.25">
      <c r="A3728" s="274"/>
      <c r="B3728" s="498"/>
      <c r="C3728" s="287"/>
      <c r="D3728" s="288"/>
      <c r="E3728" s="288"/>
    </row>
    <row r="3729" spans="1:5" x14ac:dyDescent="0.25">
      <c r="A3729" s="274"/>
      <c r="B3729" s="498"/>
      <c r="C3729" s="287"/>
      <c r="D3729" s="288"/>
      <c r="E3729" s="288"/>
    </row>
    <row r="3730" spans="1:5" x14ac:dyDescent="0.25">
      <c r="A3730" s="274"/>
      <c r="B3730" s="498"/>
      <c r="C3730" s="287"/>
      <c r="D3730" s="288"/>
      <c r="E3730" s="288"/>
    </row>
    <row r="3731" spans="1:5" x14ac:dyDescent="0.25">
      <c r="A3731" s="274"/>
      <c r="B3731" s="498"/>
      <c r="C3731" s="287"/>
      <c r="D3731" s="288"/>
      <c r="E3731" s="288"/>
    </row>
    <row r="3732" spans="1:5" x14ac:dyDescent="0.25">
      <c r="A3732" s="274"/>
      <c r="B3732" s="498"/>
      <c r="C3732" s="287"/>
      <c r="D3732" s="288"/>
      <c r="E3732" s="288"/>
    </row>
    <row r="3733" spans="1:5" x14ac:dyDescent="0.25">
      <c r="A3733" s="274"/>
      <c r="B3733" s="498"/>
      <c r="C3733" s="287"/>
      <c r="D3733" s="288"/>
      <c r="E3733" s="288"/>
    </row>
    <row r="3734" spans="1:5" x14ac:dyDescent="0.25">
      <c r="A3734" s="274"/>
      <c r="B3734" s="498"/>
      <c r="C3734" s="287"/>
      <c r="D3734" s="288"/>
      <c r="E3734" s="288"/>
    </row>
    <row r="3735" spans="1:5" x14ac:dyDescent="0.25">
      <c r="A3735" s="274"/>
      <c r="B3735" s="498"/>
      <c r="C3735" s="287"/>
      <c r="D3735" s="288"/>
      <c r="E3735" s="288"/>
    </row>
    <row r="3736" spans="1:5" x14ac:dyDescent="0.25">
      <c r="A3736" s="274"/>
      <c r="B3736" s="498"/>
      <c r="C3736" s="287"/>
      <c r="D3736" s="288"/>
      <c r="E3736" s="288"/>
    </row>
    <row r="3737" spans="1:5" x14ac:dyDescent="0.25">
      <c r="A3737" s="274"/>
      <c r="B3737" s="498"/>
      <c r="C3737" s="287"/>
      <c r="D3737" s="288"/>
      <c r="E3737" s="288"/>
    </row>
    <row r="3738" spans="1:5" x14ac:dyDescent="0.25">
      <c r="A3738" s="274"/>
      <c r="B3738" s="498"/>
      <c r="C3738" s="287"/>
      <c r="D3738" s="288"/>
      <c r="E3738" s="288"/>
    </row>
    <row r="3739" spans="1:5" x14ac:dyDescent="0.25">
      <c r="A3739" s="274"/>
      <c r="B3739" s="498"/>
      <c r="C3739" s="287"/>
      <c r="D3739" s="288"/>
      <c r="E3739" s="288"/>
    </row>
    <row r="3740" spans="1:5" x14ac:dyDescent="0.25">
      <c r="A3740" s="274"/>
      <c r="B3740" s="498"/>
      <c r="C3740" s="287"/>
      <c r="D3740" s="288"/>
      <c r="E3740" s="288"/>
    </row>
    <row r="3741" spans="1:5" x14ac:dyDescent="0.25">
      <c r="A3741" s="274"/>
      <c r="B3741" s="498"/>
      <c r="C3741" s="287"/>
      <c r="D3741" s="288"/>
      <c r="E3741" s="288"/>
    </row>
    <row r="3742" spans="1:5" x14ac:dyDescent="0.25">
      <c r="A3742" s="274"/>
      <c r="B3742" s="498"/>
      <c r="C3742" s="287"/>
      <c r="D3742" s="288"/>
      <c r="E3742" s="288"/>
    </row>
    <row r="3743" spans="1:5" x14ac:dyDescent="0.25">
      <c r="A3743" s="274"/>
      <c r="B3743" s="498"/>
      <c r="C3743" s="287"/>
      <c r="D3743" s="288"/>
      <c r="E3743" s="288"/>
    </row>
    <row r="3744" spans="1:5" x14ac:dyDescent="0.25">
      <c r="A3744" s="274"/>
      <c r="B3744" s="498"/>
      <c r="C3744" s="287"/>
      <c r="D3744" s="288"/>
      <c r="E3744" s="288"/>
    </row>
    <row r="3745" spans="1:5" x14ac:dyDescent="0.25">
      <c r="A3745" s="274"/>
      <c r="B3745" s="498"/>
      <c r="C3745" s="287"/>
      <c r="D3745" s="288"/>
      <c r="E3745" s="288"/>
    </row>
    <row r="3746" spans="1:5" x14ac:dyDescent="0.25">
      <c r="A3746" s="274"/>
      <c r="B3746" s="498"/>
      <c r="C3746" s="287"/>
      <c r="D3746" s="288"/>
      <c r="E3746" s="288"/>
    </row>
    <row r="3747" spans="1:5" x14ac:dyDescent="0.25">
      <c r="A3747" s="274"/>
      <c r="B3747" s="498"/>
      <c r="C3747" s="287"/>
      <c r="D3747" s="288"/>
      <c r="E3747" s="288"/>
    </row>
    <row r="3748" spans="1:5" x14ac:dyDescent="0.25">
      <c r="A3748" s="274"/>
      <c r="B3748" s="498"/>
      <c r="C3748" s="287"/>
      <c r="D3748" s="288"/>
      <c r="E3748" s="288"/>
    </row>
    <row r="3749" spans="1:5" x14ac:dyDescent="0.25">
      <c r="A3749" s="274"/>
      <c r="B3749" s="498"/>
      <c r="C3749" s="287"/>
      <c r="D3749" s="288"/>
      <c r="E3749" s="288"/>
    </row>
    <row r="3750" spans="1:5" x14ac:dyDescent="0.25">
      <c r="A3750" s="274"/>
      <c r="B3750" s="498"/>
      <c r="C3750" s="287"/>
      <c r="D3750" s="288"/>
      <c r="E3750" s="288"/>
    </row>
    <row r="3751" spans="1:5" x14ac:dyDescent="0.25">
      <c r="A3751" s="274"/>
      <c r="B3751" s="498"/>
      <c r="C3751" s="287"/>
      <c r="D3751" s="288"/>
      <c r="E3751" s="288"/>
    </row>
    <row r="3752" spans="1:5" x14ac:dyDescent="0.25">
      <c r="A3752" s="274"/>
      <c r="B3752" s="498"/>
      <c r="C3752" s="287"/>
      <c r="D3752" s="288"/>
      <c r="E3752" s="288"/>
    </row>
    <row r="3753" spans="1:5" x14ac:dyDescent="0.25">
      <c r="A3753" s="274"/>
      <c r="B3753" s="498"/>
      <c r="C3753" s="287"/>
      <c r="D3753" s="288"/>
      <c r="E3753" s="288"/>
    </row>
    <row r="3754" spans="1:5" x14ac:dyDescent="0.25">
      <c r="A3754" s="274"/>
      <c r="B3754" s="498"/>
      <c r="C3754" s="287"/>
      <c r="D3754" s="288"/>
      <c r="E3754" s="288"/>
    </row>
    <row r="3755" spans="1:5" x14ac:dyDescent="0.25">
      <c r="A3755" s="274"/>
      <c r="B3755" s="498"/>
      <c r="C3755" s="287"/>
      <c r="D3755" s="288"/>
      <c r="E3755" s="288"/>
    </row>
    <row r="3756" spans="1:5" x14ac:dyDescent="0.25">
      <c r="A3756" s="274"/>
      <c r="B3756" s="498"/>
      <c r="C3756" s="287"/>
      <c r="D3756" s="288"/>
      <c r="E3756" s="288"/>
    </row>
    <row r="3757" spans="1:5" x14ac:dyDescent="0.25">
      <c r="A3757" s="274"/>
      <c r="B3757" s="498"/>
      <c r="C3757" s="287"/>
      <c r="D3757" s="288"/>
      <c r="E3757" s="288"/>
    </row>
    <row r="3758" spans="1:5" x14ac:dyDescent="0.25">
      <c r="A3758" s="274"/>
      <c r="B3758" s="498"/>
      <c r="C3758" s="287"/>
      <c r="D3758" s="288"/>
      <c r="E3758" s="288"/>
    </row>
    <row r="3759" spans="1:5" x14ac:dyDescent="0.25">
      <c r="A3759" s="274"/>
      <c r="B3759" s="498"/>
      <c r="C3759" s="287"/>
      <c r="D3759" s="288"/>
      <c r="E3759" s="288"/>
    </row>
    <row r="3760" spans="1:5" x14ac:dyDescent="0.25">
      <c r="A3760" s="274"/>
      <c r="B3760" s="498"/>
      <c r="C3760" s="287"/>
      <c r="D3760" s="288"/>
      <c r="E3760" s="288"/>
    </row>
    <row r="3761" spans="1:5" x14ac:dyDescent="0.25">
      <c r="A3761" s="274"/>
      <c r="B3761" s="498"/>
      <c r="C3761" s="287"/>
      <c r="D3761" s="288"/>
      <c r="E3761" s="288"/>
    </row>
    <row r="3762" spans="1:5" x14ac:dyDescent="0.25">
      <c r="A3762" s="274"/>
      <c r="B3762" s="498"/>
      <c r="C3762" s="287"/>
      <c r="D3762" s="288"/>
      <c r="E3762" s="288"/>
    </row>
    <row r="3763" spans="1:5" x14ac:dyDescent="0.25">
      <c r="A3763" s="274"/>
      <c r="B3763" s="498"/>
      <c r="C3763" s="287"/>
      <c r="D3763" s="288"/>
      <c r="E3763" s="288"/>
    </row>
    <row r="3764" spans="1:5" x14ac:dyDescent="0.25">
      <c r="A3764" s="274"/>
      <c r="B3764" s="498"/>
      <c r="C3764" s="287"/>
      <c r="D3764" s="288"/>
      <c r="E3764" s="288"/>
    </row>
    <row r="3765" spans="1:5" x14ac:dyDescent="0.25">
      <c r="A3765" s="274"/>
      <c r="B3765" s="498"/>
      <c r="C3765" s="287"/>
      <c r="D3765" s="288"/>
      <c r="E3765" s="288"/>
    </row>
    <row r="3766" spans="1:5" x14ac:dyDescent="0.25">
      <c r="A3766" s="274"/>
      <c r="B3766" s="498"/>
      <c r="C3766" s="287"/>
      <c r="D3766" s="288"/>
      <c r="E3766" s="288"/>
    </row>
    <row r="3767" spans="1:5" x14ac:dyDescent="0.25">
      <c r="A3767" s="274"/>
      <c r="B3767" s="498"/>
      <c r="C3767" s="287"/>
      <c r="D3767" s="288"/>
      <c r="E3767" s="288"/>
    </row>
    <row r="3768" spans="1:5" x14ac:dyDescent="0.25">
      <c r="A3768" s="274"/>
      <c r="B3768" s="498"/>
      <c r="C3768" s="287"/>
      <c r="D3768" s="288"/>
      <c r="E3768" s="288"/>
    </row>
    <row r="3769" spans="1:5" x14ac:dyDescent="0.25">
      <c r="A3769" s="274"/>
      <c r="B3769" s="498"/>
      <c r="C3769" s="287"/>
      <c r="D3769" s="288"/>
      <c r="E3769" s="288"/>
    </row>
    <row r="3770" spans="1:5" x14ac:dyDescent="0.25">
      <c r="A3770" s="274"/>
      <c r="B3770" s="498"/>
      <c r="C3770" s="287"/>
      <c r="D3770" s="288"/>
      <c r="E3770" s="288"/>
    </row>
    <row r="3771" spans="1:5" x14ac:dyDescent="0.25">
      <c r="A3771" s="274"/>
      <c r="B3771" s="498"/>
      <c r="C3771" s="287"/>
      <c r="D3771" s="288"/>
      <c r="E3771" s="288"/>
    </row>
    <row r="3772" spans="1:5" x14ac:dyDescent="0.25">
      <c r="A3772" s="274"/>
      <c r="B3772" s="498"/>
      <c r="C3772" s="287"/>
      <c r="D3772" s="288"/>
      <c r="E3772" s="288"/>
    </row>
    <row r="3773" spans="1:5" x14ac:dyDescent="0.25">
      <c r="A3773" s="274"/>
      <c r="B3773" s="498"/>
      <c r="C3773" s="287"/>
      <c r="D3773" s="288"/>
      <c r="E3773" s="288"/>
    </row>
    <row r="3774" spans="1:5" x14ac:dyDescent="0.25">
      <c r="A3774" s="274"/>
      <c r="B3774" s="498"/>
      <c r="C3774" s="287"/>
      <c r="D3774" s="288"/>
      <c r="E3774" s="288"/>
    </row>
    <row r="3775" spans="1:5" x14ac:dyDescent="0.25">
      <c r="A3775" s="274"/>
      <c r="B3775" s="498"/>
      <c r="C3775" s="287"/>
      <c r="D3775" s="288"/>
      <c r="E3775" s="288"/>
    </row>
    <row r="3776" spans="1:5" x14ac:dyDescent="0.25">
      <c r="A3776" s="274"/>
      <c r="B3776" s="498"/>
      <c r="C3776" s="287"/>
      <c r="D3776" s="288"/>
      <c r="E3776" s="288"/>
    </row>
    <row r="3777" spans="1:5" x14ac:dyDescent="0.25">
      <c r="A3777" s="274"/>
      <c r="B3777" s="498"/>
      <c r="C3777" s="287"/>
      <c r="D3777" s="288"/>
      <c r="E3777" s="288"/>
    </row>
    <row r="3778" spans="1:5" x14ac:dyDescent="0.25">
      <c r="A3778" s="274"/>
      <c r="B3778" s="498"/>
      <c r="C3778" s="287"/>
      <c r="D3778" s="288"/>
      <c r="E3778" s="288"/>
    </row>
    <row r="3779" spans="1:5" x14ac:dyDescent="0.25">
      <c r="A3779" s="274"/>
      <c r="B3779" s="498"/>
      <c r="C3779" s="287"/>
      <c r="D3779" s="288"/>
      <c r="E3779" s="288"/>
    </row>
    <row r="3780" spans="1:5" x14ac:dyDescent="0.25">
      <c r="A3780" s="274"/>
      <c r="B3780" s="498"/>
      <c r="C3780" s="287"/>
      <c r="D3780" s="288"/>
      <c r="E3780" s="288"/>
    </row>
    <row r="3781" spans="1:5" x14ac:dyDescent="0.25">
      <c r="A3781" s="274"/>
      <c r="B3781" s="498"/>
      <c r="C3781" s="287"/>
      <c r="D3781" s="288"/>
      <c r="E3781" s="288"/>
    </row>
    <row r="3782" spans="1:5" x14ac:dyDescent="0.25">
      <c r="A3782" s="274"/>
      <c r="B3782" s="498"/>
      <c r="C3782" s="287"/>
      <c r="D3782" s="288"/>
      <c r="E3782" s="288"/>
    </row>
    <row r="3783" spans="1:5" x14ac:dyDescent="0.25">
      <c r="A3783" s="274"/>
      <c r="B3783" s="498"/>
      <c r="C3783" s="287"/>
      <c r="D3783" s="288"/>
      <c r="E3783" s="288"/>
    </row>
    <row r="3784" spans="1:5" x14ac:dyDescent="0.25">
      <c r="A3784" s="274"/>
      <c r="B3784" s="498"/>
      <c r="C3784" s="287"/>
      <c r="D3784" s="288"/>
      <c r="E3784" s="288"/>
    </row>
    <row r="3785" spans="1:5" x14ac:dyDescent="0.25">
      <c r="A3785" s="274"/>
      <c r="B3785" s="498"/>
      <c r="C3785" s="287"/>
      <c r="D3785" s="288"/>
      <c r="E3785" s="288"/>
    </row>
    <row r="3786" spans="1:5" x14ac:dyDescent="0.25">
      <c r="A3786" s="274"/>
      <c r="B3786" s="498"/>
      <c r="C3786" s="287"/>
      <c r="D3786" s="288"/>
      <c r="E3786" s="288"/>
    </row>
    <row r="3787" spans="1:5" x14ac:dyDescent="0.25">
      <c r="A3787" s="274"/>
      <c r="B3787" s="498"/>
      <c r="C3787" s="287"/>
      <c r="D3787" s="288"/>
      <c r="E3787" s="288"/>
    </row>
    <row r="3788" spans="1:5" x14ac:dyDescent="0.25">
      <c r="A3788" s="274"/>
      <c r="B3788" s="498"/>
      <c r="C3788" s="287"/>
      <c r="D3788" s="288"/>
      <c r="E3788" s="288"/>
    </row>
    <row r="3789" spans="1:5" x14ac:dyDescent="0.25">
      <c r="A3789" s="274"/>
      <c r="B3789" s="498"/>
      <c r="C3789" s="287"/>
      <c r="D3789" s="288"/>
      <c r="E3789" s="288"/>
    </row>
    <row r="3790" spans="1:5" x14ac:dyDescent="0.25">
      <c r="A3790" s="274"/>
      <c r="B3790" s="498"/>
      <c r="C3790" s="287"/>
      <c r="D3790" s="288"/>
      <c r="E3790" s="288"/>
    </row>
    <row r="3791" spans="1:5" x14ac:dyDescent="0.25">
      <c r="A3791" s="274"/>
      <c r="B3791" s="498"/>
      <c r="C3791" s="287"/>
      <c r="D3791" s="288"/>
      <c r="E3791" s="288"/>
    </row>
    <row r="3792" spans="1:5" x14ac:dyDescent="0.25">
      <c r="A3792" s="274"/>
      <c r="B3792" s="498"/>
      <c r="C3792" s="287"/>
      <c r="D3792" s="288"/>
      <c r="E3792" s="288"/>
    </row>
    <row r="3793" spans="1:5" x14ac:dyDescent="0.25">
      <c r="A3793" s="274"/>
      <c r="B3793" s="498"/>
      <c r="C3793" s="287"/>
      <c r="D3793" s="288"/>
      <c r="E3793" s="288"/>
    </row>
    <row r="3794" spans="1:5" x14ac:dyDescent="0.25">
      <c r="A3794" s="274"/>
      <c r="B3794" s="498"/>
      <c r="C3794" s="287"/>
      <c r="D3794" s="288"/>
      <c r="E3794" s="288"/>
    </row>
    <row r="3795" spans="1:5" x14ac:dyDescent="0.25">
      <c r="A3795" s="274"/>
      <c r="B3795" s="498"/>
      <c r="C3795" s="287"/>
      <c r="D3795" s="288"/>
      <c r="E3795" s="288"/>
    </row>
    <row r="3796" spans="1:5" x14ac:dyDescent="0.25">
      <c r="A3796" s="274"/>
      <c r="B3796" s="498"/>
      <c r="C3796" s="287"/>
      <c r="D3796" s="288"/>
      <c r="E3796" s="288"/>
    </row>
    <row r="3797" spans="1:5" x14ac:dyDescent="0.25">
      <c r="A3797" s="274"/>
      <c r="B3797" s="498"/>
      <c r="C3797" s="287"/>
      <c r="D3797" s="288"/>
      <c r="E3797" s="288"/>
    </row>
    <row r="3798" spans="1:5" x14ac:dyDescent="0.25">
      <c r="A3798" s="274"/>
      <c r="B3798" s="498"/>
      <c r="C3798" s="287"/>
      <c r="D3798" s="288"/>
      <c r="E3798" s="288"/>
    </row>
    <row r="3799" spans="1:5" x14ac:dyDescent="0.25">
      <c r="A3799" s="274"/>
      <c r="B3799" s="498"/>
      <c r="C3799" s="287"/>
      <c r="D3799" s="288"/>
      <c r="E3799" s="288"/>
    </row>
    <row r="3800" spans="1:5" x14ac:dyDescent="0.25">
      <c r="A3800" s="274"/>
      <c r="B3800" s="498"/>
      <c r="C3800" s="287"/>
      <c r="D3800" s="288"/>
      <c r="E3800" s="288"/>
    </row>
    <row r="3801" spans="1:5" x14ac:dyDescent="0.25">
      <c r="A3801" s="274"/>
      <c r="B3801" s="498"/>
      <c r="C3801" s="287"/>
      <c r="D3801" s="288"/>
      <c r="E3801" s="288"/>
    </row>
    <row r="3802" spans="1:5" x14ac:dyDescent="0.25">
      <c r="A3802" s="274"/>
      <c r="B3802" s="498"/>
      <c r="C3802" s="287"/>
      <c r="D3802" s="288"/>
      <c r="E3802" s="288"/>
    </row>
    <row r="3803" spans="1:5" x14ac:dyDescent="0.25">
      <c r="A3803" s="274"/>
      <c r="B3803" s="498"/>
      <c r="C3803" s="287"/>
      <c r="D3803" s="288"/>
      <c r="E3803" s="288"/>
    </row>
    <row r="3804" spans="1:5" x14ac:dyDescent="0.25">
      <c r="A3804" s="274"/>
      <c r="B3804" s="498"/>
      <c r="C3804" s="287"/>
      <c r="D3804" s="288"/>
      <c r="E3804" s="288"/>
    </row>
    <row r="3805" spans="1:5" x14ac:dyDescent="0.25">
      <c r="A3805" s="274"/>
      <c r="B3805" s="498"/>
      <c r="C3805" s="287"/>
      <c r="D3805" s="288"/>
      <c r="E3805" s="288"/>
    </row>
    <row r="3806" spans="1:5" x14ac:dyDescent="0.25">
      <c r="A3806" s="274"/>
      <c r="B3806" s="498"/>
      <c r="C3806" s="287"/>
      <c r="D3806" s="288"/>
      <c r="E3806" s="288"/>
    </row>
    <row r="3807" spans="1:5" x14ac:dyDescent="0.25">
      <c r="A3807" s="274"/>
      <c r="B3807" s="498"/>
      <c r="C3807" s="287"/>
      <c r="D3807" s="288"/>
      <c r="E3807" s="288"/>
    </row>
    <row r="3808" spans="1:5" x14ac:dyDescent="0.25">
      <c r="A3808" s="274"/>
      <c r="B3808" s="498"/>
      <c r="C3808" s="287"/>
      <c r="D3808" s="288"/>
      <c r="E3808" s="288"/>
    </row>
    <row r="3809" spans="1:5" x14ac:dyDescent="0.25">
      <c r="A3809" s="274"/>
      <c r="B3809" s="498"/>
      <c r="C3809" s="287"/>
      <c r="D3809" s="288"/>
      <c r="E3809" s="288"/>
    </row>
    <row r="3810" spans="1:5" x14ac:dyDescent="0.25">
      <c r="A3810" s="274"/>
      <c r="B3810" s="498"/>
      <c r="C3810" s="287"/>
      <c r="D3810" s="288"/>
      <c r="E3810" s="288"/>
    </row>
    <row r="3811" spans="1:5" x14ac:dyDescent="0.25">
      <c r="A3811" s="274"/>
      <c r="B3811" s="498"/>
      <c r="C3811" s="287"/>
      <c r="D3811" s="288"/>
      <c r="E3811" s="288"/>
    </row>
    <row r="3812" spans="1:5" x14ac:dyDescent="0.25">
      <c r="A3812" s="274"/>
      <c r="B3812" s="498"/>
      <c r="C3812" s="287"/>
      <c r="D3812" s="288"/>
      <c r="E3812" s="288"/>
    </row>
    <row r="3813" spans="1:5" x14ac:dyDescent="0.25">
      <c r="A3813" s="274"/>
      <c r="B3813" s="498"/>
      <c r="C3813" s="287"/>
      <c r="D3813" s="288"/>
      <c r="E3813" s="288"/>
    </row>
    <row r="3814" spans="1:5" x14ac:dyDescent="0.25">
      <c r="A3814" s="274"/>
      <c r="B3814" s="498"/>
      <c r="C3814" s="287"/>
      <c r="D3814" s="288"/>
      <c r="E3814" s="288"/>
    </row>
    <row r="3815" spans="1:5" x14ac:dyDescent="0.25">
      <c r="A3815" s="274"/>
      <c r="B3815" s="498"/>
      <c r="C3815" s="287"/>
      <c r="D3815" s="288"/>
      <c r="E3815" s="288"/>
    </row>
    <row r="3816" spans="1:5" x14ac:dyDescent="0.25">
      <c r="A3816" s="274"/>
      <c r="B3816" s="498"/>
      <c r="C3816" s="287"/>
      <c r="D3816" s="288"/>
      <c r="E3816" s="288"/>
    </row>
    <row r="3817" spans="1:5" x14ac:dyDescent="0.25">
      <c r="A3817" s="274"/>
      <c r="B3817" s="498"/>
      <c r="C3817" s="287"/>
      <c r="D3817" s="288"/>
      <c r="E3817" s="288"/>
    </row>
    <row r="3818" spans="1:5" x14ac:dyDescent="0.25">
      <c r="A3818" s="274"/>
      <c r="B3818" s="498"/>
      <c r="C3818" s="287"/>
      <c r="D3818" s="288"/>
      <c r="E3818" s="288"/>
    </row>
    <row r="3819" spans="1:5" x14ac:dyDescent="0.25">
      <c r="A3819" s="274"/>
      <c r="B3819" s="498"/>
      <c r="C3819" s="287"/>
      <c r="D3819" s="288"/>
      <c r="E3819" s="288"/>
    </row>
    <row r="3820" spans="1:5" x14ac:dyDescent="0.25">
      <c r="A3820" s="274"/>
      <c r="B3820" s="498"/>
      <c r="C3820" s="287"/>
      <c r="D3820" s="288"/>
      <c r="E3820" s="288"/>
    </row>
    <row r="3821" spans="1:5" x14ac:dyDescent="0.25">
      <c r="A3821" s="274"/>
      <c r="B3821" s="498"/>
      <c r="C3821" s="287"/>
      <c r="D3821" s="288"/>
      <c r="E3821" s="288"/>
    </row>
    <row r="3822" spans="1:5" x14ac:dyDescent="0.25">
      <c r="A3822" s="274"/>
      <c r="B3822" s="498"/>
      <c r="C3822" s="287"/>
      <c r="D3822" s="288"/>
      <c r="E3822" s="288"/>
    </row>
    <row r="3823" spans="1:5" x14ac:dyDescent="0.25">
      <c r="A3823" s="274"/>
      <c r="B3823" s="498"/>
      <c r="C3823" s="287"/>
      <c r="D3823" s="288"/>
      <c r="E3823" s="288"/>
    </row>
    <row r="3824" spans="1:5" x14ac:dyDescent="0.25">
      <c r="A3824" s="274"/>
      <c r="B3824" s="498"/>
      <c r="C3824" s="287"/>
      <c r="D3824" s="288"/>
      <c r="E3824" s="288"/>
    </row>
    <row r="3825" spans="1:5" x14ac:dyDescent="0.25">
      <c r="A3825" s="274"/>
      <c r="B3825" s="498"/>
      <c r="C3825" s="287"/>
      <c r="D3825" s="288"/>
      <c r="E3825" s="288"/>
    </row>
    <row r="3826" spans="1:5" x14ac:dyDescent="0.25">
      <c r="A3826" s="274"/>
      <c r="B3826" s="498"/>
      <c r="C3826" s="287"/>
      <c r="D3826" s="288"/>
      <c r="E3826" s="288"/>
    </row>
    <row r="3827" spans="1:5" x14ac:dyDescent="0.25">
      <c r="A3827" s="274"/>
      <c r="B3827" s="498"/>
      <c r="C3827" s="287"/>
      <c r="D3827" s="288"/>
      <c r="E3827" s="288"/>
    </row>
    <row r="3828" spans="1:5" x14ac:dyDescent="0.25">
      <c r="A3828" s="274"/>
      <c r="B3828" s="498"/>
      <c r="C3828" s="287"/>
      <c r="D3828" s="288"/>
      <c r="E3828" s="288"/>
    </row>
    <row r="3829" spans="1:5" x14ac:dyDescent="0.25">
      <c r="A3829" s="274"/>
      <c r="B3829" s="498"/>
      <c r="C3829" s="287"/>
      <c r="D3829" s="288"/>
      <c r="E3829" s="288"/>
    </row>
    <row r="3830" spans="1:5" x14ac:dyDescent="0.25">
      <c r="A3830" s="274"/>
      <c r="B3830" s="498"/>
      <c r="C3830" s="287"/>
      <c r="D3830" s="288"/>
      <c r="E3830" s="288"/>
    </row>
    <row r="3831" spans="1:5" x14ac:dyDescent="0.25">
      <c r="A3831" s="274"/>
      <c r="B3831" s="498"/>
      <c r="C3831" s="287"/>
      <c r="D3831" s="288"/>
      <c r="E3831" s="288"/>
    </row>
    <row r="3832" spans="1:5" x14ac:dyDescent="0.25">
      <c r="A3832" s="274"/>
      <c r="B3832" s="498"/>
      <c r="C3832" s="287"/>
      <c r="D3832" s="288"/>
      <c r="E3832" s="288"/>
    </row>
    <row r="3833" spans="1:5" x14ac:dyDescent="0.25">
      <c r="A3833" s="274"/>
      <c r="B3833" s="498"/>
      <c r="C3833" s="287"/>
      <c r="D3833" s="288"/>
      <c r="E3833" s="288"/>
    </row>
    <row r="3834" spans="1:5" x14ac:dyDescent="0.25">
      <c r="A3834" s="274"/>
      <c r="B3834" s="498"/>
      <c r="C3834" s="287"/>
      <c r="D3834" s="288"/>
      <c r="E3834" s="288"/>
    </row>
    <row r="3835" spans="1:5" x14ac:dyDescent="0.25">
      <c r="A3835" s="274"/>
      <c r="B3835" s="498"/>
      <c r="C3835" s="287"/>
      <c r="D3835" s="288"/>
      <c r="E3835" s="288"/>
    </row>
    <row r="3836" spans="1:5" x14ac:dyDescent="0.25">
      <c r="A3836" s="274"/>
      <c r="B3836" s="498"/>
      <c r="C3836" s="287"/>
      <c r="D3836" s="288"/>
      <c r="E3836" s="288"/>
    </row>
    <row r="3837" spans="1:5" x14ac:dyDescent="0.25">
      <c r="A3837" s="274"/>
      <c r="B3837" s="498"/>
      <c r="C3837" s="287"/>
      <c r="D3837" s="288"/>
      <c r="E3837" s="288"/>
    </row>
    <row r="3838" spans="1:5" x14ac:dyDescent="0.25">
      <c r="A3838" s="274"/>
      <c r="B3838" s="498"/>
      <c r="C3838" s="287"/>
      <c r="D3838" s="288"/>
      <c r="E3838" s="288"/>
    </row>
    <row r="3839" spans="1:5" x14ac:dyDescent="0.25">
      <c r="A3839" s="274"/>
      <c r="B3839" s="498"/>
      <c r="C3839" s="287"/>
      <c r="D3839" s="288"/>
      <c r="E3839" s="288"/>
    </row>
    <row r="3840" spans="1:5" x14ac:dyDescent="0.25">
      <c r="A3840" s="274"/>
      <c r="B3840" s="498"/>
      <c r="C3840" s="287"/>
      <c r="D3840" s="288"/>
      <c r="E3840" s="288"/>
    </row>
    <row r="3841" spans="1:5" x14ac:dyDescent="0.25">
      <c r="A3841" s="274"/>
      <c r="B3841" s="498"/>
      <c r="C3841" s="287"/>
      <c r="D3841" s="288"/>
      <c r="E3841" s="288"/>
    </row>
    <row r="3842" spans="1:5" x14ac:dyDescent="0.25">
      <c r="A3842" s="274"/>
      <c r="B3842" s="498"/>
      <c r="C3842" s="287"/>
      <c r="D3842" s="288"/>
      <c r="E3842" s="288"/>
    </row>
    <row r="3843" spans="1:5" x14ac:dyDescent="0.25">
      <c r="A3843" s="274"/>
      <c r="B3843" s="498"/>
      <c r="C3843" s="287"/>
      <c r="D3843" s="288"/>
      <c r="E3843" s="288"/>
    </row>
    <row r="3844" spans="1:5" x14ac:dyDescent="0.25">
      <c r="A3844" s="274"/>
      <c r="B3844" s="498"/>
      <c r="C3844" s="287"/>
      <c r="D3844" s="288"/>
      <c r="E3844" s="288"/>
    </row>
    <row r="3845" spans="1:5" x14ac:dyDescent="0.25">
      <c r="A3845" s="274"/>
      <c r="B3845" s="498"/>
      <c r="C3845" s="287"/>
      <c r="D3845" s="288"/>
      <c r="E3845" s="288"/>
    </row>
    <row r="3846" spans="1:5" x14ac:dyDescent="0.25">
      <c r="A3846" s="274"/>
      <c r="B3846" s="498"/>
      <c r="C3846" s="287"/>
      <c r="D3846" s="288"/>
      <c r="E3846" s="288"/>
    </row>
    <row r="3847" spans="1:5" x14ac:dyDescent="0.25">
      <c r="A3847" s="274"/>
      <c r="B3847" s="498"/>
      <c r="C3847" s="287"/>
      <c r="D3847" s="288"/>
      <c r="E3847" s="288"/>
    </row>
    <row r="3848" spans="1:5" x14ac:dyDescent="0.25">
      <c r="A3848" s="274"/>
      <c r="B3848" s="498"/>
      <c r="C3848" s="287"/>
      <c r="D3848" s="288"/>
      <c r="E3848" s="288"/>
    </row>
    <row r="3849" spans="1:5" x14ac:dyDescent="0.25">
      <c r="A3849" s="274"/>
      <c r="B3849" s="498"/>
      <c r="C3849" s="287"/>
      <c r="D3849" s="288"/>
      <c r="E3849" s="288"/>
    </row>
    <row r="3850" spans="1:5" x14ac:dyDescent="0.25">
      <c r="A3850" s="274"/>
      <c r="B3850" s="498"/>
      <c r="C3850" s="287"/>
      <c r="D3850" s="288"/>
      <c r="E3850" s="288"/>
    </row>
    <row r="3851" spans="1:5" x14ac:dyDescent="0.25">
      <c r="A3851" s="274"/>
      <c r="B3851" s="498"/>
      <c r="C3851" s="287"/>
      <c r="D3851" s="288"/>
      <c r="E3851" s="288"/>
    </row>
    <row r="3852" spans="1:5" x14ac:dyDescent="0.25">
      <c r="A3852" s="274"/>
      <c r="B3852" s="498"/>
      <c r="C3852" s="287"/>
      <c r="D3852" s="288"/>
      <c r="E3852" s="288"/>
    </row>
    <row r="3853" spans="1:5" x14ac:dyDescent="0.25">
      <c r="A3853" s="274"/>
      <c r="B3853" s="498"/>
      <c r="C3853" s="287"/>
      <c r="D3853" s="288"/>
      <c r="E3853" s="288"/>
    </row>
    <row r="3854" spans="1:5" x14ac:dyDescent="0.25">
      <c r="A3854" s="274"/>
      <c r="B3854" s="498"/>
      <c r="C3854" s="287"/>
      <c r="D3854" s="288"/>
      <c r="E3854" s="288"/>
    </row>
    <row r="3855" spans="1:5" x14ac:dyDescent="0.25">
      <c r="A3855" s="274"/>
      <c r="B3855" s="498"/>
      <c r="C3855" s="287"/>
      <c r="D3855" s="288"/>
      <c r="E3855" s="288"/>
    </row>
    <row r="3856" spans="1:5" x14ac:dyDescent="0.25">
      <c r="A3856" s="274"/>
      <c r="B3856" s="498"/>
      <c r="C3856" s="287"/>
      <c r="D3856" s="288"/>
      <c r="E3856" s="288"/>
    </row>
    <row r="3857" spans="1:5" x14ac:dyDescent="0.25">
      <c r="A3857" s="274"/>
      <c r="B3857" s="498"/>
      <c r="C3857" s="287"/>
      <c r="D3857" s="288"/>
      <c r="E3857" s="288"/>
    </row>
    <row r="3858" spans="1:5" x14ac:dyDescent="0.25">
      <c r="A3858" s="274"/>
      <c r="B3858" s="498"/>
      <c r="C3858" s="287"/>
      <c r="D3858" s="288"/>
      <c r="E3858" s="288"/>
    </row>
    <row r="3859" spans="1:5" x14ac:dyDescent="0.25">
      <c r="A3859" s="274"/>
      <c r="B3859" s="498"/>
      <c r="C3859" s="287"/>
      <c r="D3859" s="288"/>
      <c r="E3859" s="288"/>
    </row>
    <row r="3860" spans="1:5" x14ac:dyDescent="0.25">
      <c r="A3860" s="274"/>
      <c r="B3860" s="498"/>
      <c r="C3860" s="287"/>
      <c r="D3860" s="288"/>
      <c r="E3860" s="288"/>
    </row>
    <row r="3861" spans="1:5" x14ac:dyDescent="0.25">
      <c r="A3861" s="274"/>
      <c r="B3861" s="498"/>
      <c r="C3861" s="287"/>
      <c r="D3861" s="288"/>
      <c r="E3861" s="288"/>
    </row>
    <row r="3862" spans="1:5" x14ac:dyDescent="0.25">
      <c r="A3862" s="274"/>
      <c r="B3862" s="498"/>
      <c r="C3862" s="287"/>
      <c r="D3862" s="288"/>
      <c r="E3862" s="288"/>
    </row>
    <row r="3863" spans="1:5" x14ac:dyDescent="0.25">
      <c r="A3863" s="274"/>
      <c r="B3863" s="498"/>
      <c r="C3863" s="287"/>
      <c r="D3863" s="288"/>
      <c r="E3863" s="288"/>
    </row>
    <row r="3864" spans="1:5" x14ac:dyDescent="0.25">
      <c r="A3864" s="274"/>
      <c r="B3864" s="498"/>
      <c r="C3864" s="287"/>
      <c r="D3864" s="288"/>
      <c r="E3864" s="288"/>
    </row>
    <row r="3865" spans="1:5" x14ac:dyDescent="0.25">
      <c r="A3865" s="274"/>
      <c r="B3865" s="498"/>
      <c r="C3865" s="287"/>
      <c r="D3865" s="288"/>
      <c r="E3865" s="288"/>
    </row>
    <row r="3866" spans="1:5" x14ac:dyDescent="0.25">
      <c r="A3866" s="274"/>
      <c r="B3866" s="498"/>
      <c r="C3866" s="287"/>
      <c r="D3866" s="288"/>
      <c r="E3866" s="288"/>
    </row>
    <row r="3867" spans="1:5" x14ac:dyDescent="0.25">
      <c r="A3867" s="274"/>
      <c r="B3867" s="498"/>
      <c r="C3867" s="287"/>
      <c r="D3867" s="288"/>
      <c r="E3867" s="288"/>
    </row>
    <row r="3868" spans="1:5" x14ac:dyDescent="0.25">
      <c r="A3868" s="274"/>
      <c r="B3868" s="498"/>
      <c r="C3868" s="287"/>
      <c r="D3868" s="288"/>
      <c r="E3868" s="288"/>
    </row>
    <row r="3869" spans="1:5" x14ac:dyDescent="0.25">
      <c r="A3869" s="274"/>
      <c r="B3869" s="498"/>
      <c r="C3869" s="287"/>
      <c r="D3869" s="288"/>
      <c r="E3869" s="288"/>
    </row>
    <row r="3870" spans="1:5" x14ac:dyDescent="0.25">
      <c r="A3870" s="274"/>
      <c r="B3870" s="498"/>
      <c r="C3870" s="287"/>
      <c r="D3870" s="288"/>
      <c r="E3870" s="288"/>
    </row>
    <row r="3871" spans="1:5" x14ac:dyDescent="0.25">
      <c r="A3871" s="274"/>
      <c r="B3871" s="498"/>
      <c r="C3871" s="287"/>
      <c r="D3871" s="288"/>
      <c r="E3871" s="288"/>
    </row>
    <row r="3872" spans="1:5" x14ac:dyDescent="0.25">
      <c r="A3872" s="274"/>
      <c r="B3872" s="498"/>
      <c r="C3872" s="287"/>
      <c r="D3872" s="288"/>
      <c r="E3872" s="288"/>
    </row>
    <row r="3873" spans="1:5" x14ac:dyDescent="0.25">
      <c r="A3873" s="274"/>
      <c r="B3873" s="498"/>
      <c r="C3873" s="287"/>
      <c r="D3873" s="288"/>
      <c r="E3873" s="288"/>
    </row>
    <row r="3874" spans="1:5" x14ac:dyDescent="0.25">
      <c r="A3874" s="274"/>
      <c r="B3874" s="498"/>
      <c r="C3874" s="287"/>
      <c r="D3874" s="288"/>
      <c r="E3874" s="288"/>
    </row>
    <row r="3875" spans="1:5" x14ac:dyDescent="0.25">
      <c r="A3875" s="274"/>
      <c r="B3875" s="498"/>
      <c r="C3875" s="287"/>
      <c r="D3875" s="288"/>
      <c r="E3875" s="288"/>
    </row>
    <row r="3876" spans="1:5" x14ac:dyDescent="0.25">
      <c r="A3876" s="274"/>
      <c r="B3876" s="498"/>
      <c r="C3876" s="287"/>
      <c r="D3876" s="288"/>
      <c r="E3876" s="288"/>
    </row>
    <row r="3877" spans="1:5" x14ac:dyDescent="0.25">
      <c r="A3877" s="274"/>
      <c r="B3877" s="498"/>
      <c r="C3877" s="287"/>
      <c r="D3877" s="288"/>
      <c r="E3877" s="288"/>
    </row>
    <row r="3878" spans="1:5" x14ac:dyDescent="0.25">
      <c r="A3878" s="274"/>
      <c r="B3878" s="498"/>
      <c r="C3878" s="287"/>
      <c r="D3878" s="288"/>
      <c r="E3878" s="288"/>
    </row>
    <row r="3879" spans="1:5" x14ac:dyDescent="0.25">
      <c r="A3879" s="274"/>
      <c r="B3879" s="498"/>
      <c r="C3879" s="287"/>
      <c r="D3879" s="288"/>
      <c r="E3879" s="288"/>
    </row>
    <row r="3880" spans="1:5" x14ac:dyDescent="0.25">
      <c r="A3880" s="274"/>
      <c r="B3880" s="498"/>
      <c r="C3880" s="287"/>
      <c r="D3880" s="288"/>
      <c r="E3880" s="288"/>
    </row>
    <row r="3881" spans="1:5" x14ac:dyDescent="0.25">
      <c r="A3881" s="274"/>
      <c r="B3881" s="498"/>
      <c r="C3881" s="287"/>
      <c r="D3881" s="288"/>
      <c r="E3881" s="288"/>
    </row>
    <row r="3882" spans="1:5" x14ac:dyDescent="0.25">
      <c r="A3882" s="274"/>
      <c r="B3882" s="498"/>
      <c r="C3882" s="287"/>
      <c r="D3882" s="288"/>
      <c r="E3882" s="288"/>
    </row>
    <row r="3883" spans="1:5" x14ac:dyDescent="0.25">
      <c r="A3883" s="274"/>
      <c r="B3883" s="498"/>
      <c r="C3883" s="287"/>
      <c r="D3883" s="288"/>
      <c r="E3883" s="288"/>
    </row>
    <row r="3884" spans="1:5" x14ac:dyDescent="0.25">
      <c r="A3884" s="274"/>
      <c r="B3884" s="498"/>
      <c r="C3884" s="287"/>
      <c r="D3884" s="288"/>
      <c r="E3884" s="288"/>
    </row>
    <row r="3885" spans="1:5" x14ac:dyDescent="0.25">
      <c r="A3885" s="274"/>
      <c r="B3885" s="498"/>
      <c r="C3885" s="287"/>
      <c r="D3885" s="288"/>
      <c r="E3885" s="288"/>
    </row>
    <row r="3886" spans="1:5" x14ac:dyDescent="0.25">
      <c r="A3886" s="274"/>
      <c r="B3886" s="498"/>
      <c r="C3886" s="287"/>
      <c r="D3886" s="288"/>
      <c r="E3886" s="288"/>
    </row>
    <row r="3887" spans="1:5" x14ac:dyDescent="0.25">
      <c r="A3887" s="274"/>
      <c r="B3887" s="498"/>
      <c r="C3887" s="287"/>
      <c r="D3887" s="288"/>
      <c r="E3887" s="288"/>
    </row>
    <row r="3888" spans="1:5" x14ac:dyDescent="0.25">
      <c r="A3888" s="274"/>
      <c r="B3888" s="498"/>
      <c r="C3888" s="287"/>
      <c r="D3888" s="288"/>
      <c r="E3888" s="288"/>
    </row>
    <row r="3889" spans="1:5" x14ac:dyDescent="0.25">
      <c r="A3889" s="274"/>
      <c r="B3889" s="498"/>
      <c r="C3889" s="287"/>
      <c r="D3889" s="288"/>
      <c r="E3889" s="288"/>
    </row>
    <row r="3890" spans="1:5" x14ac:dyDescent="0.25">
      <c r="A3890" s="274"/>
      <c r="B3890" s="498"/>
      <c r="C3890" s="287"/>
      <c r="D3890" s="288"/>
      <c r="E3890" s="288"/>
    </row>
    <row r="3891" spans="1:5" x14ac:dyDescent="0.25">
      <c r="A3891" s="274"/>
      <c r="B3891" s="498"/>
      <c r="C3891" s="287"/>
      <c r="D3891" s="288"/>
      <c r="E3891" s="288"/>
    </row>
    <row r="3892" spans="1:5" x14ac:dyDescent="0.25">
      <c r="A3892" s="274"/>
      <c r="B3892" s="498"/>
      <c r="C3892" s="287"/>
      <c r="D3892" s="288"/>
      <c r="E3892" s="288"/>
    </row>
    <row r="3893" spans="1:5" x14ac:dyDescent="0.25">
      <c r="A3893" s="274"/>
      <c r="B3893" s="498"/>
      <c r="C3893" s="287"/>
      <c r="D3893" s="288"/>
      <c r="E3893" s="288"/>
    </row>
    <row r="3894" spans="1:5" x14ac:dyDescent="0.25">
      <c r="A3894" s="274"/>
      <c r="B3894" s="498"/>
      <c r="C3894" s="287"/>
      <c r="D3894" s="288"/>
      <c r="E3894" s="288"/>
    </row>
    <row r="3895" spans="1:5" x14ac:dyDescent="0.25">
      <c r="A3895" s="274"/>
      <c r="B3895" s="498"/>
      <c r="C3895" s="287"/>
      <c r="D3895" s="288"/>
      <c r="E3895" s="288"/>
    </row>
    <row r="3896" spans="1:5" x14ac:dyDescent="0.25">
      <c r="A3896" s="274"/>
      <c r="B3896" s="498"/>
      <c r="C3896" s="287"/>
      <c r="D3896" s="288"/>
      <c r="E3896" s="288"/>
    </row>
    <row r="3897" spans="1:5" x14ac:dyDescent="0.25">
      <c r="A3897" s="274"/>
      <c r="B3897" s="498"/>
      <c r="C3897" s="287"/>
      <c r="D3897" s="288"/>
      <c r="E3897" s="288"/>
    </row>
    <row r="3898" spans="1:5" x14ac:dyDescent="0.25">
      <c r="A3898" s="274"/>
      <c r="B3898" s="498"/>
      <c r="C3898" s="287"/>
      <c r="D3898" s="288"/>
      <c r="E3898" s="288"/>
    </row>
    <row r="3899" spans="1:5" x14ac:dyDescent="0.25">
      <c r="A3899" s="274"/>
      <c r="B3899" s="498"/>
      <c r="C3899" s="287"/>
      <c r="D3899" s="288"/>
      <c r="E3899" s="288"/>
    </row>
    <row r="3900" spans="1:5" x14ac:dyDescent="0.25">
      <c r="A3900" s="274"/>
      <c r="B3900" s="498"/>
      <c r="C3900" s="287"/>
      <c r="D3900" s="288"/>
      <c r="E3900" s="288"/>
    </row>
    <row r="3901" spans="1:5" x14ac:dyDescent="0.25">
      <c r="A3901" s="274"/>
      <c r="B3901" s="498"/>
      <c r="C3901" s="287"/>
      <c r="D3901" s="288"/>
      <c r="E3901" s="288"/>
    </row>
    <row r="3902" spans="1:5" x14ac:dyDescent="0.25">
      <c r="A3902" s="274"/>
      <c r="B3902" s="498"/>
      <c r="C3902" s="287"/>
      <c r="D3902" s="288"/>
      <c r="E3902" s="288"/>
    </row>
    <row r="3903" spans="1:5" x14ac:dyDescent="0.25">
      <c r="A3903" s="274"/>
      <c r="B3903" s="498"/>
      <c r="C3903" s="287"/>
      <c r="D3903" s="288"/>
      <c r="E3903" s="288"/>
    </row>
    <row r="3904" spans="1:5" x14ac:dyDescent="0.25">
      <c r="A3904" s="274"/>
      <c r="B3904" s="498"/>
      <c r="C3904" s="287"/>
      <c r="D3904" s="288"/>
      <c r="E3904" s="288"/>
    </row>
    <row r="3905" spans="1:5" x14ac:dyDescent="0.25">
      <c r="A3905" s="274"/>
      <c r="B3905" s="498"/>
      <c r="C3905" s="287"/>
      <c r="D3905" s="288"/>
      <c r="E3905" s="288"/>
    </row>
    <row r="3906" spans="1:5" x14ac:dyDescent="0.25">
      <c r="A3906" s="274"/>
      <c r="B3906" s="498"/>
      <c r="C3906" s="287"/>
      <c r="D3906" s="288"/>
      <c r="E3906" s="288"/>
    </row>
    <row r="3907" spans="1:5" x14ac:dyDescent="0.25">
      <c r="A3907" s="274"/>
      <c r="B3907" s="498"/>
      <c r="C3907" s="287"/>
      <c r="D3907" s="288"/>
      <c r="E3907" s="288"/>
    </row>
    <row r="3908" spans="1:5" x14ac:dyDescent="0.25">
      <c r="A3908" s="274"/>
      <c r="B3908" s="498"/>
      <c r="C3908" s="287"/>
      <c r="D3908" s="288"/>
      <c r="E3908" s="288"/>
    </row>
    <row r="3909" spans="1:5" x14ac:dyDescent="0.25">
      <c r="A3909" s="274"/>
      <c r="B3909" s="498"/>
      <c r="C3909" s="287"/>
      <c r="D3909" s="288"/>
      <c r="E3909" s="288"/>
    </row>
    <row r="3910" spans="1:5" x14ac:dyDescent="0.25">
      <c r="A3910" s="274"/>
      <c r="B3910" s="498"/>
      <c r="C3910" s="287"/>
      <c r="D3910" s="288"/>
      <c r="E3910" s="288"/>
    </row>
    <row r="3911" spans="1:5" x14ac:dyDescent="0.25">
      <c r="A3911" s="274"/>
      <c r="B3911" s="498"/>
      <c r="C3911" s="287"/>
      <c r="D3911" s="288"/>
      <c r="E3911" s="288"/>
    </row>
    <row r="3912" spans="1:5" x14ac:dyDescent="0.25">
      <c r="A3912" s="274"/>
      <c r="B3912" s="498"/>
      <c r="C3912" s="287"/>
      <c r="D3912" s="288"/>
      <c r="E3912" s="288"/>
    </row>
    <row r="3913" spans="1:5" x14ac:dyDescent="0.25">
      <c r="A3913" s="274"/>
      <c r="B3913" s="498"/>
      <c r="C3913" s="287"/>
      <c r="D3913" s="288"/>
      <c r="E3913" s="288"/>
    </row>
    <row r="3914" spans="1:5" x14ac:dyDescent="0.25">
      <c r="A3914" s="274"/>
      <c r="B3914" s="498"/>
      <c r="C3914" s="287"/>
      <c r="D3914" s="288"/>
      <c r="E3914" s="288"/>
    </row>
    <row r="3915" spans="1:5" x14ac:dyDescent="0.25">
      <c r="A3915" s="274"/>
      <c r="B3915" s="498"/>
      <c r="C3915" s="287"/>
      <c r="D3915" s="288"/>
      <c r="E3915" s="288"/>
    </row>
    <row r="3916" spans="1:5" x14ac:dyDescent="0.25">
      <c r="A3916" s="274"/>
      <c r="B3916" s="498"/>
      <c r="C3916" s="287"/>
      <c r="D3916" s="288"/>
      <c r="E3916" s="288"/>
    </row>
    <row r="3917" spans="1:5" x14ac:dyDescent="0.25">
      <c r="A3917" s="274"/>
      <c r="B3917" s="498"/>
      <c r="C3917" s="287"/>
      <c r="D3917" s="288"/>
      <c r="E3917" s="288"/>
    </row>
    <row r="3918" spans="1:5" x14ac:dyDescent="0.25">
      <c r="A3918" s="274"/>
      <c r="B3918" s="498"/>
      <c r="C3918" s="287"/>
      <c r="D3918" s="288"/>
      <c r="E3918" s="288"/>
    </row>
    <row r="3919" spans="1:5" x14ac:dyDescent="0.25">
      <c r="A3919" s="274"/>
      <c r="B3919" s="498"/>
      <c r="C3919" s="287"/>
      <c r="D3919" s="288"/>
      <c r="E3919" s="288"/>
    </row>
    <row r="3920" spans="1:5" x14ac:dyDescent="0.25">
      <c r="A3920" s="274"/>
      <c r="B3920" s="498"/>
      <c r="C3920" s="287"/>
      <c r="D3920" s="288"/>
      <c r="E3920" s="288"/>
    </row>
    <row r="3921" spans="1:5" x14ac:dyDescent="0.25">
      <c r="A3921" s="274"/>
      <c r="B3921" s="498"/>
      <c r="C3921" s="287"/>
      <c r="D3921" s="288"/>
      <c r="E3921" s="288"/>
    </row>
    <row r="3922" spans="1:5" x14ac:dyDescent="0.25">
      <c r="A3922" s="274"/>
      <c r="B3922" s="498"/>
      <c r="C3922" s="287"/>
      <c r="D3922" s="288"/>
      <c r="E3922" s="288"/>
    </row>
    <row r="3923" spans="1:5" x14ac:dyDescent="0.25">
      <c r="A3923" s="274"/>
      <c r="B3923" s="498"/>
      <c r="C3923" s="287"/>
      <c r="D3923" s="288"/>
      <c r="E3923" s="288"/>
    </row>
    <row r="3924" spans="1:5" x14ac:dyDescent="0.25">
      <c r="A3924" s="274"/>
      <c r="B3924" s="498"/>
      <c r="C3924" s="287"/>
      <c r="D3924" s="288"/>
      <c r="E3924" s="288"/>
    </row>
    <row r="3925" spans="1:5" x14ac:dyDescent="0.25">
      <c r="A3925" s="274"/>
      <c r="B3925" s="498"/>
      <c r="C3925" s="287"/>
      <c r="D3925" s="288"/>
      <c r="E3925" s="288"/>
    </row>
    <row r="3926" spans="1:5" x14ac:dyDescent="0.25">
      <c r="A3926" s="274"/>
      <c r="B3926" s="498"/>
      <c r="C3926" s="287"/>
      <c r="D3926" s="288"/>
      <c r="E3926" s="288"/>
    </row>
    <row r="3927" spans="1:5" x14ac:dyDescent="0.25">
      <c r="A3927" s="274"/>
      <c r="B3927" s="498"/>
      <c r="C3927" s="287"/>
      <c r="D3927" s="288"/>
      <c r="E3927" s="288"/>
    </row>
    <row r="3928" spans="1:5" x14ac:dyDescent="0.25">
      <c r="A3928" s="274"/>
      <c r="B3928" s="498"/>
      <c r="C3928" s="287"/>
      <c r="D3928" s="288"/>
      <c r="E3928" s="288"/>
    </row>
    <row r="3929" spans="1:5" x14ac:dyDescent="0.25">
      <c r="A3929" s="274"/>
      <c r="B3929" s="498"/>
      <c r="C3929" s="287"/>
      <c r="D3929" s="288"/>
      <c r="E3929" s="288"/>
    </row>
    <row r="3930" spans="1:5" x14ac:dyDescent="0.25">
      <c r="A3930" s="274"/>
      <c r="B3930" s="498"/>
      <c r="C3930" s="287"/>
      <c r="D3930" s="288"/>
      <c r="E3930" s="288"/>
    </row>
    <row r="3931" spans="1:5" x14ac:dyDescent="0.25">
      <c r="A3931" s="274"/>
      <c r="B3931" s="498"/>
      <c r="C3931" s="287"/>
      <c r="D3931" s="288"/>
      <c r="E3931" s="288"/>
    </row>
    <row r="3932" spans="1:5" x14ac:dyDescent="0.25">
      <c r="A3932" s="274"/>
      <c r="B3932" s="498"/>
      <c r="C3932" s="287"/>
      <c r="D3932" s="288"/>
      <c r="E3932" s="288"/>
    </row>
    <row r="3933" spans="1:5" x14ac:dyDescent="0.25">
      <c r="A3933" s="274"/>
      <c r="B3933" s="498"/>
      <c r="C3933" s="287"/>
      <c r="D3933" s="288"/>
      <c r="E3933" s="288"/>
    </row>
    <row r="3934" spans="1:5" x14ac:dyDescent="0.25">
      <c r="A3934" s="274"/>
      <c r="B3934" s="498"/>
      <c r="C3934" s="287"/>
      <c r="D3934" s="288"/>
      <c r="E3934" s="288"/>
    </row>
    <row r="3935" spans="1:5" x14ac:dyDescent="0.25">
      <c r="A3935" s="274"/>
      <c r="B3935" s="498"/>
      <c r="C3935" s="287"/>
      <c r="D3935" s="288"/>
      <c r="E3935" s="288"/>
    </row>
    <row r="3936" spans="1:5" x14ac:dyDescent="0.25">
      <c r="A3936" s="274"/>
      <c r="B3936" s="498"/>
      <c r="C3936" s="287"/>
      <c r="D3936" s="288"/>
      <c r="E3936" s="288"/>
    </row>
    <row r="3937" spans="1:5" x14ac:dyDescent="0.25">
      <c r="A3937" s="274"/>
      <c r="B3937" s="498"/>
      <c r="C3937" s="287"/>
      <c r="D3937" s="288"/>
      <c r="E3937" s="288"/>
    </row>
    <row r="3938" spans="1:5" x14ac:dyDescent="0.25">
      <c r="A3938" s="274"/>
      <c r="B3938" s="498"/>
      <c r="C3938" s="287"/>
      <c r="D3938" s="288"/>
      <c r="E3938" s="288"/>
    </row>
    <row r="3939" spans="1:5" x14ac:dyDescent="0.25">
      <c r="A3939" s="274"/>
      <c r="B3939" s="498"/>
      <c r="C3939" s="287"/>
      <c r="D3939" s="288"/>
      <c r="E3939" s="288"/>
    </row>
    <row r="3940" spans="1:5" x14ac:dyDescent="0.25">
      <c r="A3940" s="274"/>
      <c r="B3940" s="498"/>
      <c r="C3940" s="287"/>
      <c r="D3940" s="288"/>
      <c r="E3940" s="288"/>
    </row>
    <row r="3941" spans="1:5" x14ac:dyDescent="0.25">
      <c r="A3941" s="274"/>
      <c r="B3941" s="498"/>
      <c r="C3941" s="287"/>
      <c r="D3941" s="288"/>
      <c r="E3941" s="288"/>
    </row>
    <row r="3942" spans="1:5" x14ac:dyDescent="0.25">
      <c r="A3942" s="274"/>
      <c r="B3942" s="498"/>
      <c r="C3942" s="287"/>
      <c r="D3942" s="288"/>
      <c r="E3942" s="288"/>
    </row>
    <row r="3943" spans="1:5" x14ac:dyDescent="0.25">
      <c r="A3943" s="274"/>
      <c r="B3943" s="498"/>
      <c r="C3943" s="287"/>
      <c r="D3943" s="288"/>
      <c r="E3943" s="288"/>
    </row>
    <row r="3944" spans="1:5" x14ac:dyDescent="0.25">
      <c r="A3944" s="274"/>
      <c r="B3944" s="498"/>
      <c r="C3944" s="287"/>
      <c r="D3944" s="288"/>
      <c r="E3944" s="288"/>
    </row>
    <row r="3945" spans="1:5" x14ac:dyDescent="0.25">
      <c r="A3945" s="274"/>
      <c r="B3945" s="498"/>
      <c r="C3945" s="287"/>
      <c r="D3945" s="288"/>
      <c r="E3945" s="288"/>
    </row>
    <row r="3946" spans="1:5" x14ac:dyDescent="0.25">
      <c r="A3946" s="274"/>
      <c r="B3946" s="498"/>
      <c r="C3946" s="287"/>
      <c r="D3946" s="288"/>
      <c r="E3946" s="288"/>
    </row>
    <row r="3947" spans="1:5" x14ac:dyDescent="0.25">
      <c r="A3947" s="274"/>
      <c r="B3947" s="498"/>
      <c r="C3947" s="287"/>
      <c r="D3947" s="288"/>
      <c r="E3947" s="288"/>
    </row>
    <row r="3948" spans="1:5" x14ac:dyDescent="0.25">
      <c r="A3948" s="274"/>
      <c r="B3948" s="498"/>
      <c r="C3948" s="287"/>
      <c r="D3948" s="288"/>
      <c r="E3948" s="288"/>
    </row>
    <row r="3949" spans="1:5" x14ac:dyDescent="0.25">
      <c r="A3949" s="274"/>
      <c r="B3949" s="498"/>
      <c r="C3949" s="287"/>
      <c r="D3949" s="288"/>
      <c r="E3949" s="288"/>
    </row>
    <row r="3950" spans="1:5" x14ac:dyDescent="0.25">
      <c r="A3950" s="274"/>
      <c r="B3950" s="498"/>
      <c r="C3950" s="287"/>
      <c r="D3950" s="288"/>
      <c r="E3950" s="288"/>
    </row>
    <row r="3951" spans="1:5" x14ac:dyDescent="0.25">
      <c r="A3951" s="274"/>
      <c r="B3951" s="498"/>
      <c r="C3951" s="287"/>
      <c r="D3951" s="288"/>
      <c r="E3951" s="288"/>
    </row>
    <row r="3952" spans="1:5" x14ac:dyDescent="0.25">
      <c r="A3952" s="274"/>
      <c r="B3952" s="498"/>
      <c r="C3952" s="287"/>
      <c r="D3952" s="288"/>
      <c r="E3952" s="288"/>
    </row>
    <row r="3953" spans="1:5" x14ac:dyDescent="0.25">
      <c r="A3953" s="274"/>
      <c r="B3953" s="498"/>
      <c r="C3953" s="287"/>
      <c r="D3953" s="288"/>
      <c r="E3953" s="288"/>
    </row>
    <row r="3954" spans="1:5" x14ac:dyDescent="0.25">
      <c r="A3954" s="274"/>
      <c r="B3954" s="498"/>
      <c r="C3954" s="287"/>
      <c r="D3954" s="288"/>
      <c r="E3954" s="288"/>
    </row>
    <row r="3955" spans="1:5" x14ac:dyDescent="0.25">
      <c r="A3955" s="274"/>
      <c r="B3955" s="498"/>
      <c r="C3955" s="287"/>
      <c r="D3955" s="288"/>
      <c r="E3955" s="288"/>
    </row>
    <row r="3956" spans="1:5" x14ac:dyDescent="0.25">
      <c r="A3956" s="274"/>
      <c r="B3956" s="498"/>
      <c r="C3956" s="287"/>
      <c r="D3956" s="288"/>
      <c r="E3956" s="288"/>
    </row>
    <row r="3957" spans="1:5" x14ac:dyDescent="0.25">
      <c r="A3957" s="274"/>
      <c r="B3957" s="498"/>
      <c r="C3957" s="287"/>
      <c r="D3957" s="288"/>
      <c r="E3957" s="288"/>
    </row>
    <row r="3958" spans="1:5" x14ac:dyDescent="0.25">
      <c r="A3958" s="274"/>
      <c r="B3958" s="498"/>
      <c r="C3958" s="287"/>
      <c r="D3958" s="288"/>
      <c r="E3958" s="288"/>
    </row>
    <row r="3959" spans="1:5" x14ac:dyDescent="0.25">
      <c r="A3959" s="274"/>
      <c r="B3959" s="498"/>
      <c r="C3959" s="287"/>
      <c r="D3959" s="288"/>
      <c r="E3959" s="288"/>
    </row>
    <row r="3960" spans="1:5" x14ac:dyDescent="0.25">
      <c r="A3960" s="274"/>
      <c r="B3960" s="498"/>
      <c r="C3960" s="287"/>
      <c r="D3960" s="288"/>
      <c r="E3960" s="288"/>
    </row>
    <row r="3961" spans="1:5" x14ac:dyDescent="0.25">
      <c r="A3961" s="274"/>
      <c r="B3961" s="498"/>
      <c r="C3961" s="287"/>
      <c r="D3961" s="288"/>
      <c r="E3961" s="288"/>
    </row>
    <row r="3962" spans="1:5" x14ac:dyDescent="0.25">
      <c r="A3962" s="274"/>
      <c r="B3962" s="498"/>
      <c r="C3962" s="287"/>
      <c r="D3962" s="288"/>
      <c r="E3962" s="288"/>
    </row>
    <row r="3963" spans="1:5" x14ac:dyDescent="0.25">
      <c r="A3963" s="274"/>
      <c r="B3963" s="498"/>
      <c r="C3963" s="287"/>
      <c r="D3963" s="288"/>
      <c r="E3963" s="288"/>
    </row>
    <row r="3964" spans="1:5" x14ac:dyDescent="0.25">
      <c r="A3964" s="274"/>
      <c r="B3964" s="498"/>
      <c r="C3964" s="287"/>
      <c r="D3964" s="288"/>
      <c r="E3964" s="288"/>
    </row>
    <row r="3965" spans="1:5" x14ac:dyDescent="0.25">
      <c r="A3965" s="274"/>
      <c r="B3965" s="498"/>
      <c r="C3965" s="287"/>
      <c r="D3965" s="288"/>
      <c r="E3965" s="288"/>
    </row>
    <row r="3966" spans="1:5" x14ac:dyDescent="0.25">
      <c r="A3966" s="274"/>
      <c r="B3966" s="498"/>
      <c r="C3966" s="287"/>
      <c r="D3966" s="288"/>
      <c r="E3966" s="288"/>
    </row>
    <row r="3967" spans="1:5" x14ac:dyDescent="0.25">
      <c r="A3967" s="274"/>
      <c r="B3967" s="498"/>
      <c r="C3967" s="287"/>
      <c r="D3967" s="288"/>
      <c r="E3967" s="288"/>
    </row>
    <row r="3968" spans="1:5" x14ac:dyDescent="0.25">
      <c r="A3968" s="274"/>
      <c r="B3968" s="498"/>
      <c r="C3968" s="287"/>
      <c r="D3968" s="288"/>
      <c r="E3968" s="288"/>
    </row>
    <row r="3969" spans="1:5" x14ac:dyDescent="0.25">
      <c r="A3969" s="274"/>
      <c r="B3969" s="498"/>
      <c r="C3969" s="287"/>
      <c r="D3969" s="288"/>
      <c r="E3969" s="288"/>
    </row>
    <row r="3970" spans="1:5" x14ac:dyDescent="0.25">
      <c r="A3970" s="274"/>
      <c r="B3970" s="498"/>
      <c r="C3970" s="287"/>
      <c r="D3970" s="288"/>
      <c r="E3970" s="288"/>
    </row>
    <row r="3971" spans="1:5" x14ac:dyDescent="0.25">
      <c r="A3971" s="274"/>
      <c r="B3971" s="498"/>
      <c r="C3971" s="287"/>
      <c r="D3971" s="288"/>
      <c r="E3971" s="288"/>
    </row>
    <row r="3972" spans="1:5" x14ac:dyDescent="0.25">
      <c r="A3972" s="274"/>
      <c r="B3972" s="498"/>
      <c r="C3972" s="287"/>
      <c r="D3972" s="288"/>
      <c r="E3972" s="288"/>
    </row>
    <row r="3973" spans="1:5" x14ac:dyDescent="0.25">
      <c r="A3973" s="274"/>
      <c r="B3973" s="498"/>
      <c r="C3973" s="287"/>
      <c r="D3973" s="288"/>
      <c r="E3973" s="288"/>
    </row>
    <row r="3974" spans="1:5" x14ac:dyDescent="0.25">
      <c r="A3974" s="274"/>
      <c r="B3974" s="498"/>
      <c r="C3974" s="287"/>
      <c r="D3974" s="288"/>
      <c r="E3974" s="288"/>
    </row>
    <row r="3975" spans="1:5" x14ac:dyDescent="0.25">
      <c r="A3975" s="274"/>
      <c r="B3975" s="498"/>
      <c r="C3975" s="287"/>
      <c r="D3975" s="288"/>
      <c r="E3975" s="288"/>
    </row>
    <row r="3976" spans="1:5" x14ac:dyDescent="0.25">
      <c r="A3976" s="274"/>
      <c r="B3976" s="498"/>
      <c r="C3976" s="287"/>
      <c r="D3976" s="288"/>
      <c r="E3976" s="288"/>
    </row>
    <row r="3977" spans="1:5" x14ac:dyDescent="0.25">
      <c r="A3977" s="274"/>
      <c r="B3977" s="498"/>
      <c r="C3977" s="287"/>
      <c r="D3977" s="288"/>
      <c r="E3977" s="288"/>
    </row>
    <row r="3978" spans="1:5" x14ac:dyDescent="0.25">
      <c r="A3978" s="274"/>
      <c r="B3978" s="498"/>
      <c r="C3978" s="287"/>
      <c r="D3978" s="288"/>
      <c r="E3978" s="288"/>
    </row>
    <row r="3979" spans="1:5" x14ac:dyDescent="0.25">
      <c r="A3979" s="274"/>
      <c r="B3979" s="498"/>
      <c r="C3979" s="287"/>
      <c r="D3979" s="288"/>
      <c r="E3979" s="288"/>
    </row>
    <row r="3980" spans="1:5" x14ac:dyDescent="0.25">
      <c r="A3980" s="274"/>
      <c r="B3980" s="498"/>
      <c r="C3980" s="287"/>
      <c r="D3980" s="288"/>
      <c r="E3980" s="288"/>
    </row>
    <row r="3981" spans="1:5" x14ac:dyDescent="0.25">
      <c r="A3981" s="274"/>
      <c r="B3981" s="498"/>
      <c r="C3981" s="287"/>
      <c r="D3981" s="288"/>
      <c r="E3981" s="288"/>
    </row>
    <row r="3982" spans="1:5" x14ac:dyDescent="0.25">
      <c r="A3982" s="274"/>
      <c r="B3982" s="498"/>
      <c r="C3982" s="287"/>
      <c r="D3982" s="288"/>
      <c r="E3982" s="288"/>
    </row>
    <row r="3983" spans="1:5" x14ac:dyDescent="0.25">
      <c r="A3983" s="274"/>
      <c r="B3983" s="498"/>
      <c r="C3983" s="287"/>
      <c r="D3983" s="288"/>
      <c r="E3983" s="288"/>
    </row>
    <row r="3984" spans="1:5" x14ac:dyDescent="0.25">
      <c r="A3984" s="274"/>
      <c r="B3984" s="498"/>
      <c r="C3984" s="287"/>
      <c r="D3984" s="288"/>
      <c r="E3984" s="288"/>
    </row>
    <row r="3985" spans="1:5" x14ac:dyDescent="0.25">
      <c r="A3985" s="274"/>
      <c r="B3985" s="498"/>
      <c r="C3985" s="287"/>
      <c r="D3985" s="288"/>
      <c r="E3985" s="288"/>
    </row>
    <row r="3986" spans="1:5" x14ac:dyDescent="0.25">
      <c r="A3986" s="274"/>
      <c r="B3986" s="498"/>
      <c r="C3986" s="287"/>
      <c r="D3986" s="288"/>
      <c r="E3986" s="288"/>
    </row>
    <row r="3987" spans="1:5" x14ac:dyDescent="0.25">
      <c r="A3987" s="274"/>
      <c r="B3987" s="498"/>
      <c r="C3987" s="287"/>
      <c r="D3987" s="288"/>
      <c r="E3987" s="288"/>
    </row>
    <row r="3988" spans="1:5" x14ac:dyDescent="0.25">
      <c r="A3988" s="274"/>
      <c r="B3988" s="498"/>
      <c r="C3988" s="287"/>
      <c r="D3988" s="288"/>
      <c r="E3988" s="288"/>
    </row>
    <row r="3989" spans="1:5" x14ac:dyDescent="0.25">
      <c r="A3989" s="274"/>
      <c r="B3989" s="498"/>
      <c r="C3989" s="287"/>
      <c r="D3989" s="288"/>
      <c r="E3989" s="288"/>
    </row>
    <row r="3990" spans="1:5" x14ac:dyDescent="0.25">
      <c r="A3990" s="274"/>
      <c r="B3990" s="498"/>
      <c r="C3990" s="287"/>
      <c r="D3990" s="288"/>
      <c r="E3990" s="288"/>
    </row>
    <row r="3991" spans="1:5" x14ac:dyDescent="0.25">
      <c r="A3991" s="274"/>
      <c r="B3991" s="498"/>
      <c r="C3991" s="287"/>
      <c r="D3991" s="288"/>
      <c r="E3991" s="288"/>
    </row>
    <row r="3992" spans="1:5" x14ac:dyDescent="0.25">
      <c r="A3992" s="274"/>
      <c r="B3992" s="498"/>
      <c r="C3992" s="287"/>
      <c r="D3992" s="288"/>
      <c r="E3992" s="288"/>
    </row>
    <row r="3993" spans="1:5" x14ac:dyDescent="0.25">
      <c r="A3993" s="274"/>
      <c r="B3993" s="498"/>
      <c r="C3993" s="287"/>
      <c r="D3993" s="288"/>
      <c r="E3993" s="288"/>
    </row>
    <row r="3994" spans="1:5" x14ac:dyDescent="0.25">
      <c r="A3994" s="274"/>
      <c r="B3994" s="498"/>
      <c r="C3994" s="287"/>
      <c r="D3994" s="288"/>
      <c r="E3994" s="288"/>
    </row>
    <row r="3995" spans="1:5" x14ac:dyDescent="0.25">
      <c r="A3995" s="274"/>
      <c r="B3995" s="498"/>
      <c r="C3995" s="287"/>
      <c r="D3995" s="288"/>
      <c r="E3995" s="288"/>
    </row>
    <row r="3996" spans="1:5" x14ac:dyDescent="0.25">
      <c r="A3996" s="274"/>
      <c r="B3996" s="498"/>
      <c r="C3996" s="287"/>
      <c r="D3996" s="288"/>
      <c r="E3996" s="288"/>
    </row>
    <row r="3997" spans="1:5" x14ac:dyDescent="0.25">
      <c r="A3997" s="274"/>
      <c r="B3997" s="498"/>
      <c r="C3997" s="287"/>
      <c r="D3997" s="288"/>
      <c r="E3997" s="288"/>
    </row>
    <row r="3998" spans="1:5" x14ac:dyDescent="0.25">
      <c r="A3998" s="274"/>
      <c r="B3998" s="498"/>
      <c r="C3998" s="287"/>
      <c r="D3998" s="288"/>
      <c r="E3998" s="288"/>
    </row>
    <row r="3999" spans="1:5" x14ac:dyDescent="0.25">
      <c r="A3999" s="274"/>
      <c r="B3999" s="498"/>
      <c r="C3999" s="287"/>
      <c r="D3999" s="288"/>
      <c r="E3999" s="288"/>
    </row>
    <row r="4000" spans="1:5" x14ac:dyDescent="0.25">
      <c r="A4000" s="274"/>
      <c r="B4000" s="498"/>
      <c r="C4000" s="287"/>
      <c r="D4000" s="288"/>
      <c r="E4000" s="288"/>
    </row>
    <row r="4001" spans="1:5" x14ac:dyDescent="0.25">
      <c r="A4001" s="274"/>
      <c r="B4001" s="498"/>
      <c r="C4001" s="287"/>
      <c r="D4001" s="288"/>
      <c r="E4001" s="288"/>
    </row>
    <row r="4002" spans="1:5" x14ac:dyDescent="0.25">
      <c r="A4002" s="274"/>
      <c r="B4002" s="498"/>
      <c r="C4002" s="287"/>
      <c r="D4002" s="288"/>
      <c r="E4002" s="288"/>
    </row>
    <row r="4003" spans="1:5" x14ac:dyDescent="0.25">
      <c r="A4003" s="274"/>
      <c r="B4003" s="498"/>
      <c r="C4003" s="287"/>
      <c r="D4003" s="288"/>
      <c r="E4003" s="288"/>
    </row>
    <row r="4004" spans="1:5" x14ac:dyDescent="0.25">
      <c r="A4004" s="274"/>
      <c r="B4004" s="498"/>
      <c r="C4004" s="287"/>
      <c r="D4004" s="288"/>
      <c r="E4004" s="288"/>
    </row>
    <row r="4005" spans="1:5" x14ac:dyDescent="0.25">
      <c r="A4005" s="274"/>
      <c r="B4005" s="498"/>
      <c r="C4005" s="287"/>
      <c r="D4005" s="288"/>
      <c r="E4005" s="288"/>
    </row>
    <row r="4006" spans="1:5" x14ac:dyDescent="0.25">
      <c r="A4006" s="274"/>
      <c r="B4006" s="498"/>
      <c r="C4006" s="287"/>
      <c r="D4006" s="288"/>
      <c r="E4006" s="288"/>
    </row>
    <row r="4007" spans="1:5" x14ac:dyDescent="0.25">
      <c r="A4007" s="274"/>
      <c r="B4007" s="498"/>
      <c r="C4007" s="287"/>
      <c r="D4007" s="288"/>
      <c r="E4007" s="288"/>
    </row>
    <row r="4008" spans="1:5" x14ac:dyDescent="0.25">
      <c r="A4008" s="274"/>
      <c r="B4008" s="498"/>
      <c r="C4008" s="287"/>
      <c r="D4008" s="288"/>
      <c r="E4008" s="288"/>
    </row>
    <row r="4009" spans="1:5" x14ac:dyDescent="0.25">
      <c r="A4009" s="274"/>
      <c r="B4009" s="498"/>
      <c r="C4009" s="287"/>
      <c r="D4009" s="288"/>
      <c r="E4009" s="288"/>
    </row>
    <row r="4010" spans="1:5" x14ac:dyDescent="0.25">
      <c r="A4010" s="274"/>
      <c r="B4010" s="498"/>
      <c r="C4010" s="287"/>
      <c r="D4010" s="288"/>
      <c r="E4010" s="288"/>
    </row>
    <row r="4011" spans="1:5" x14ac:dyDescent="0.25">
      <c r="A4011" s="274"/>
      <c r="B4011" s="498"/>
      <c r="C4011" s="287"/>
      <c r="D4011" s="288"/>
      <c r="E4011" s="288"/>
    </row>
    <row r="4012" spans="1:5" x14ac:dyDescent="0.25">
      <c r="A4012" s="274"/>
      <c r="B4012" s="498"/>
      <c r="C4012" s="287"/>
      <c r="D4012" s="288"/>
      <c r="E4012" s="288"/>
    </row>
    <row r="4013" spans="1:5" x14ac:dyDescent="0.25">
      <c r="A4013" s="274"/>
      <c r="B4013" s="498"/>
      <c r="C4013" s="287"/>
      <c r="D4013" s="288"/>
      <c r="E4013" s="288"/>
    </row>
    <row r="4014" spans="1:5" x14ac:dyDescent="0.25">
      <c r="A4014" s="274"/>
      <c r="B4014" s="498"/>
      <c r="C4014" s="287"/>
      <c r="D4014" s="288"/>
      <c r="E4014" s="288"/>
    </row>
    <row r="4015" spans="1:5" x14ac:dyDescent="0.25">
      <c r="A4015" s="274"/>
      <c r="B4015" s="498"/>
      <c r="C4015" s="287"/>
      <c r="D4015" s="288"/>
      <c r="E4015" s="288"/>
    </row>
    <row r="4016" spans="1:5" x14ac:dyDescent="0.25">
      <c r="A4016" s="274"/>
      <c r="B4016" s="498"/>
      <c r="C4016" s="287"/>
      <c r="D4016" s="288"/>
      <c r="E4016" s="288"/>
    </row>
    <row r="4017" spans="1:5" x14ac:dyDescent="0.25">
      <c r="A4017" s="274"/>
      <c r="B4017" s="498"/>
      <c r="C4017" s="287"/>
      <c r="D4017" s="288"/>
      <c r="E4017" s="288"/>
    </row>
    <row r="4018" spans="1:5" x14ac:dyDescent="0.25">
      <c r="A4018" s="274"/>
      <c r="B4018" s="498"/>
      <c r="C4018" s="287"/>
      <c r="D4018" s="288"/>
      <c r="E4018" s="288"/>
    </row>
    <row r="4019" spans="1:5" x14ac:dyDescent="0.25">
      <c r="A4019" s="274"/>
      <c r="B4019" s="498"/>
      <c r="C4019" s="287"/>
      <c r="D4019" s="288"/>
      <c r="E4019" s="288"/>
    </row>
    <row r="4020" spans="1:5" x14ac:dyDescent="0.25">
      <c r="A4020" s="274"/>
      <c r="B4020" s="498"/>
      <c r="C4020" s="287"/>
      <c r="D4020" s="288"/>
      <c r="E4020" s="288"/>
    </row>
    <row r="4021" spans="1:5" x14ac:dyDescent="0.25">
      <c r="A4021" s="274"/>
      <c r="B4021" s="498"/>
      <c r="C4021" s="287"/>
      <c r="D4021" s="288"/>
      <c r="E4021" s="288"/>
    </row>
    <row r="4022" spans="1:5" x14ac:dyDescent="0.25">
      <c r="A4022" s="274"/>
      <c r="B4022" s="498"/>
      <c r="C4022" s="287"/>
      <c r="D4022" s="288"/>
      <c r="E4022" s="288"/>
    </row>
    <row r="4023" spans="1:5" x14ac:dyDescent="0.25">
      <c r="A4023" s="274"/>
      <c r="B4023" s="498"/>
      <c r="C4023" s="287"/>
      <c r="D4023" s="288"/>
      <c r="E4023" s="288"/>
    </row>
    <row r="4024" spans="1:5" x14ac:dyDescent="0.25">
      <c r="A4024" s="274"/>
      <c r="B4024" s="498"/>
      <c r="C4024" s="287"/>
      <c r="D4024" s="288"/>
      <c r="E4024" s="288"/>
    </row>
    <row r="4025" spans="1:5" x14ac:dyDescent="0.25">
      <c r="A4025" s="274"/>
      <c r="B4025" s="498"/>
      <c r="C4025" s="287"/>
      <c r="D4025" s="288"/>
      <c r="E4025" s="288"/>
    </row>
    <row r="4026" spans="1:5" x14ac:dyDescent="0.25">
      <c r="A4026" s="274"/>
      <c r="B4026" s="498"/>
      <c r="C4026" s="287"/>
      <c r="D4026" s="288"/>
      <c r="E4026" s="288"/>
    </row>
    <row r="4027" spans="1:5" x14ac:dyDescent="0.25">
      <c r="A4027" s="274"/>
      <c r="B4027" s="498"/>
      <c r="C4027" s="287"/>
      <c r="D4027" s="288"/>
      <c r="E4027" s="288"/>
    </row>
    <row r="4028" spans="1:5" x14ac:dyDescent="0.25">
      <c r="A4028" s="274"/>
      <c r="B4028" s="498"/>
      <c r="C4028" s="287"/>
      <c r="D4028" s="288"/>
      <c r="E4028" s="288"/>
    </row>
    <row r="4029" spans="1:5" x14ac:dyDescent="0.25">
      <c r="A4029" s="274"/>
      <c r="B4029" s="498"/>
      <c r="C4029" s="287"/>
      <c r="D4029" s="288"/>
      <c r="E4029" s="288"/>
    </row>
    <row r="4030" spans="1:5" x14ac:dyDescent="0.25">
      <c r="A4030" s="274"/>
      <c r="B4030" s="498"/>
      <c r="C4030" s="287"/>
      <c r="D4030" s="288"/>
      <c r="E4030" s="288"/>
    </row>
    <row r="4031" spans="1:5" x14ac:dyDescent="0.25">
      <c r="A4031" s="274"/>
      <c r="B4031" s="498"/>
      <c r="C4031" s="287"/>
      <c r="D4031" s="288"/>
      <c r="E4031" s="288"/>
    </row>
    <row r="4032" spans="1:5" x14ac:dyDescent="0.25">
      <c r="A4032" s="274"/>
      <c r="B4032" s="498"/>
      <c r="C4032" s="287"/>
      <c r="D4032" s="288"/>
      <c r="E4032" s="288"/>
    </row>
    <row r="4033" spans="1:5" x14ac:dyDescent="0.25">
      <c r="A4033" s="274"/>
      <c r="B4033" s="498"/>
      <c r="C4033" s="287"/>
      <c r="D4033" s="288"/>
      <c r="E4033" s="288"/>
    </row>
    <row r="4034" spans="1:5" x14ac:dyDescent="0.25">
      <c r="A4034" s="274"/>
      <c r="B4034" s="498"/>
      <c r="C4034" s="287"/>
      <c r="D4034" s="288"/>
      <c r="E4034" s="288"/>
    </row>
    <row r="4035" spans="1:5" x14ac:dyDescent="0.25">
      <c r="A4035" s="274"/>
      <c r="B4035" s="498"/>
      <c r="C4035" s="287"/>
      <c r="D4035" s="288"/>
      <c r="E4035" s="288"/>
    </row>
    <row r="4036" spans="1:5" x14ac:dyDescent="0.25">
      <c r="A4036" s="274"/>
      <c r="B4036" s="498"/>
      <c r="C4036" s="287"/>
      <c r="D4036" s="288"/>
      <c r="E4036" s="288"/>
    </row>
    <row r="4037" spans="1:5" x14ac:dyDescent="0.25">
      <c r="A4037" s="274"/>
      <c r="B4037" s="498"/>
      <c r="C4037" s="287"/>
      <c r="D4037" s="288"/>
      <c r="E4037" s="288"/>
    </row>
    <row r="4038" spans="1:5" x14ac:dyDescent="0.25">
      <c r="A4038" s="274"/>
      <c r="B4038" s="498"/>
      <c r="C4038" s="287"/>
      <c r="D4038" s="288"/>
      <c r="E4038" s="288"/>
    </row>
    <row r="4039" spans="1:5" x14ac:dyDescent="0.25">
      <c r="A4039" s="274"/>
      <c r="B4039" s="498"/>
      <c r="C4039" s="287"/>
      <c r="D4039" s="288"/>
      <c r="E4039" s="288"/>
    </row>
    <row r="4040" spans="1:5" x14ac:dyDescent="0.25">
      <c r="A4040" s="274"/>
      <c r="B4040" s="498"/>
      <c r="C4040" s="287"/>
      <c r="D4040" s="288"/>
      <c r="E4040" s="288"/>
    </row>
    <row r="4041" spans="1:5" x14ac:dyDescent="0.25">
      <c r="A4041" s="274"/>
      <c r="B4041" s="498"/>
      <c r="C4041" s="287"/>
      <c r="D4041" s="288"/>
      <c r="E4041" s="288"/>
    </row>
    <row r="4042" spans="1:5" x14ac:dyDescent="0.25">
      <c r="A4042" s="274"/>
      <c r="B4042" s="498"/>
      <c r="C4042" s="287"/>
      <c r="D4042" s="288"/>
      <c r="E4042" s="288"/>
    </row>
    <row r="4043" spans="1:5" x14ac:dyDescent="0.25">
      <c r="A4043" s="274"/>
      <c r="B4043" s="498"/>
      <c r="C4043" s="287"/>
      <c r="D4043" s="288"/>
      <c r="E4043" s="288"/>
    </row>
    <row r="4044" spans="1:5" x14ac:dyDescent="0.25">
      <c r="A4044" s="274"/>
      <c r="B4044" s="498"/>
      <c r="C4044" s="287"/>
      <c r="D4044" s="288"/>
      <c r="E4044" s="288"/>
    </row>
    <row r="4045" spans="1:5" x14ac:dyDescent="0.25">
      <c r="A4045" s="274"/>
      <c r="B4045" s="498"/>
      <c r="C4045" s="287"/>
      <c r="D4045" s="288"/>
      <c r="E4045" s="288"/>
    </row>
    <row r="4046" spans="1:5" x14ac:dyDescent="0.25">
      <c r="A4046" s="274"/>
      <c r="B4046" s="498"/>
      <c r="C4046" s="287"/>
      <c r="D4046" s="288"/>
      <c r="E4046" s="288"/>
    </row>
    <row r="4047" spans="1:5" x14ac:dyDescent="0.25">
      <c r="A4047" s="274"/>
      <c r="B4047" s="498"/>
      <c r="C4047" s="287"/>
      <c r="D4047" s="288"/>
      <c r="E4047" s="288"/>
    </row>
    <row r="4048" spans="1:5" x14ac:dyDescent="0.25">
      <c r="A4048" s="274"/>
      <c r="B4048" s="498"/>
      <c r="C4048" s="287"/>
      <c r="D4048" s="288"/>
      <c r="E4048" s="288"/>
    </row>
    <row r="4049" spans="1:5" x14ac:dyDescent="0.25">
      <c r="A4049" s="274"/>
      <c r="B4049" s="498"/>
      <c r="C4049" s="287"/>
      <c r="D4049" s="288"/>
      <c r="E4049" s="288"/>
    </row>
    <row r="4050" spans="1:5" x14ac:dyDescent="0.25">
      <c r="A4050" s="274"/>
      <c r="B4050" s="498"/>
      <c r="C4050" s="287"/>
      <c r="D4050" s="288"/>
      <c r="E4050" s="288"/>
    </row>
    <row r="4051" spans="1:5" x14ac:dyDescent="0.25">
      <c r="A4051" s="274"/>
      <c r="B4051" s="498"/>
      <c r="C4051" s="287"/>
      <c r="D4051" s="288"/>
      <c r="E4051" s="288"/>
    </row>
    <row r="4052" spans="1:5" x14ac:dyDescent="0.25">
      <c r="A4052" s="274"/>
      <c r="B4052" s="498"/>
      <c r="C4052" s="287"/>
      <c r="D4052" s="288"/>
      <c r="E4052" s="288"/>
    </row>
    <row r="4053" spans="1:5" x14ac:dyDescent="0.25">
      <c r="A4053" s="274"/>
      <c r="B4053" s="498"/>
      <c r="C4053" s="287"/>
      <c r="D4053" s="288"/>
      <c r="E4053" s="288"/>
    </row>
    <row r="4054" spans="1:5" x14ac:dyDescent="0.25">
      <c r="A4054" s="274"/>
      <c r="B4054" s="498"/>
      <c r="C4054" s="287"/>
      <c r="D4054" s="288"/>
      <c r="E4054" s="288"/>
    </row>
    <row r="4055" spans="1:5" x14ac:dyDescent="0.25">
      <c r="A4055" s="274"/>
      <c r="B4055" s="498"/>
      <c r="C4055" s="287"/>
      <c r="D4055" s="288"/>
      <c r="E4055" s="288"/>
    </row>
    <row r="4056" spans="1:5" x14ac:dyDescent="0.25">
      <c r="A4056" s="274"/>
      <c r="B4056" s="498"/>
      <c r="C4056" s="287"/>
      <c r="D4056" s="288"/>
      <c r="E4056" s="288"/>
    </row>
    <row r="4057" spans="1:5" x14ac:dyDescent="0.25">
      <c r="A4057" s="274"/>
      <c r="B4057" s="498"/>
      <c r="C4057" s="287"/>
      <c r="D4057" s="288"/>
      <c r="E4057" s="288"/>
    </row>
    <row r="4058" spans="1:5" x14ac:dyDescent="0.25">
      <c r="A4058" s="274"/>
      <c r="B4058" s="498"/>
      <c r="C4058" s="287"/>
      <c r="D4058" s="288"/>
      <c r="E4058" s="288"/>
    </row>
    <row r="4059" spans="1:5" x14ac:dyDescent="0.25">
      <c r="A4059" s="274"/>
      <c r="B4059" s="498"/>
      <c r="C4059" s="287"/>
      <c r="D4059" s="288"/>
      <c r="E4059" s="288"/>
    </row>
    <row r="4060" spans="1:5" x14ac:dyDescent="0.25">
      <c r="A4060" s="274"/>
      <c r="B4060" s="498"/>
      <c r="C4060" s="287"/>
      <c r="D4060" s="288"/>
      <c r="E4060" s="288"/>
    </row>
    <row r="4061" spans="1:5" x14ac:dyDescent="0.25">
      <c r="A4061" s="274"/>
      <c r="B4061" s="498"/>
      <c r="C4061" s="287"/>
      <c r="D4061" s="288"/>
      <c r="E4061" s="288"/>
    </row>
    <row r="4062" spans="1:5" x14ac:dyDescent="0.25">
      <c r="A4062" s="274"/>
      <c r="B4062" s="498"/>
      <c r="C4062" s="287"/>
      <c r="D4062" s="288"/>
      <c r="E4062" s="288"/>
    </row>
    <row r="4063" spans="1:5" x14ac:dyDescent="0.25">
      <c r="A4063" s="274"/>
      <c r="B4063" s="498"/>
      <c r="C4063" s="287"/>
      <c r="D4063" s="288"/>
      <c r="E4063" s="288"/>
    </row>
    <row r="4064" spans="1:5" x14ac:dyDescent="0.25">
      <c r="A4064" s="274"/>
      <c r="B4064" s="498"/>
      <c r="C4064" s="287"/>
      <c r="D4064" s="288"/>
      <c r="E4064" s="288"/>
    </row>
    <row r="4065" spans="1:5" x14ac:dyDescent="0.25">
      <c r="A4065" s="274"/>
      <c r="B4065" s="498"/>
      <c r="C4065" s="287"/>
      <c r="D4065" s="288"/>
      <c r="E4065" s="288"/>
    </row>
    <row r="4066" spans="1:5" x14ac:dyDescent="0.25">
      <c r="A4066" s="274"/>
      <c r="B4066" s="498"/>
      <c r="C4066" s="287"/>
      <c r="D4066" s="288"/>
      <c r="E4066" s="288"/>
    </row>
    <row r="4067" spans="1:5" x14ac:dyDescent="0.25">
      <c r="A4067" s="274"/>
      <c r="B4067" s="498"/>
      <c r="C4067" s="287"/>
      <c r="D4067" s="288"/>
      <c r="E4067" s="288"/>
    </row>
    <row r="4068" spans="1:5" x14ac:dyDescent="0.25">
      <c r="A4068" s="274"/>
      <c r="B4068" s="498"/>
      <c r="C4068" s="287"/>
      <c r="D4068" s="288"/>
      <c r="E4068" s="288"/>
    </row>
    <row r="4069" spans="1:5" x14ac:dyDescent="0.25">
      <c r="A4069" s="274"/>
      <c r="B4069" s="498"/>
      <c r="C4069" s="287"/>
      <c r="D4069" s="288"/>
      <c r="E4069" s="288"/>
    </row>
    <row r="4070" spans="1:5" x14ac:dyDescent="0.25">
      <c r="A4070" s="274"/>
      <c r="B4070" s="498"/>
      <c r="C4070" s="287"/>
      <c r="D4070" s="288"/>
      <c r="E4070" s="288"/>
    </row>
    <row r="4071" spans="1:5" x14ac:dyDescent="0.25">
      <c r="A4071" s="274"/>
      <c r="B4071" s="498"/>
      <c r="C4071" s="287"/>
      <c r="D4071" s="288"/>
      <c r="E4071" s="288"/>
    </row>
    <row r="4072" spans="1:5" x14ac:dyDescent="0.25">
      <c r="A4072" s="274"/>
      <c r="B4072" s="498"/>
      <c r="C4072" s="287"/>
      <c r="D4072" s="288"/>
      <c r="E4072" s="288"/>
    </row>
    <row r="4073" spans="1:5" x14ac:dyDescent="0.25">
      <c r="A4073" s="274"/>
      <c r="B4073" s="498"/>
      <c r="C4073" s="287"/>
      <c r="D4073" s="288"/>
      <c r="E4073" s="288"/>
    </row>
    <row r="4074" spans="1:5" x14ac:dyDescent="0.25">
      <c r="A4074" s="274"/>
      <c r="B4074" s="498"/>
      <c r="C4074" s="287"/>
      <c r="D4074" s="288"/>
      <c r="E4074" s="288"/>
    </row>
    <row r="4075" spans="1:5" x14ac:dyDescent="0.25">
      <c r="A4075" s="274"/>
      <c r="B4075" s="498"/>
      <c r="C4075" s="287"/>
      <c r="D4075" s="288"/>
      <c r="E4075" s="288"/>
    </row>
    <row r="4076" spans="1:5" x14ac:dyDescent="0.25">
      <c r="A4076" s="274"/>
      <c r="B4076" s="498"/>
      <c r="C4076" s="287"/>
      <c r="D4076" s="288"/>
      <c r="E4076" s="288"/>
    </row>
    <row r="4077" spans="1:5" x14ac:dyDescent="0.25">
      <c r="A4077" s="274"/>
      <c r="B4077" s="498"/>
      <c r="C4077" s="287"/>
      <c r="D4077" s="288"/>
      <c r="E4077" s="288"/>
    </row>
    <row r="4078" spans="1:5" x14ac:dyDescent="0.25">
      <c r="A4078" s="274"/>
      <c r="B4078" s="498"/>
      <c r="C4078" s="287"/>
      <c r="D4078" s="288"/>
      <c r="E4078" s="288"/>
    </row>
    <row r="4079" spans="1:5" x14ac:dyDescent="0.25">
      <c r="A4079" s="274"/>
      <c r="B4079" s="498"/>
      <c r="C4079" s="287"/>
      <c r="D4079" s="288"/>
      <c r="E4079" s="288"/>
    </row>
    <row r="4080" spans="1:5" x14ac:dyDescent="0.25">
      <c r="A4080" s="274"/>
      <c r="B4080" s="498"/>
      <c r="C4080" s="287"/>
      <c r="D4080" s="288"/>
      <c r="E4080" s="288"/>
    </row>
    <row r="4081" spans="1:5" x14ac:dyDescent="0.25">
      <c r="A4081" s="274"/>
      <c r="B4081" s="498"/>
      <c r="C4081" s="287"/>
      <c r="D4081" s="288"/>
      <c r="E4081" s="288"/>
    </row>
    <row r="4082" spans="1:5" x14ac:dyDescent="0.25">
      <c r="A4082" s="274"/>
      <c r="B4082" s="498"/>
      <c r="C4082" s="287"/>
      <c r="D4082" s="288"/>
      <c r="E4082" s="288"/>
    </row>
    <row r="4083" spans="1:5" x14ac:dyDescent="0.25">
      <c r="A4083" s="274"/>
      <c r="B4083" s="498"/>
      <c r="C4083" s="287"/>
      <c r="D4083" s="288"/>
      <c r="E4083" s="288"/>
    </row>
    <row r="4084" spans="1:5" x14ac:dyDescent="0.25">
      <c r="A4084" s="274"/>
      <c r="B4084" s="498"/>
      <c r="C4084" s="287"/>
      <c r="D4084" s="288"/>
      <c r="E4084" s="288"/>
    </row>
    <row r="4085" spans="1:5" x14ac:dyDescent="0.25">
      <c r="A4085" s="274"/>
      <c r="B4085" s="498"/>
      <c r="C4085" s="287"/>
      <c r="D4085" s="288"/>
      <c r="E4085" s="288"/>
    </row>
    <row r="4086" spans="1:5" x14ac:dyDescent="0.25">
      <c r="A4086" s="274"/>
      <c r="B4086" s="498"/>
      <c r="C4086" s="287"/>
      <c r="D4086" s="288"/>
      <c r="E4086" s="288"/>
    </row>
    <row r="4087" spans="1:5" x14ac:dyDescent="0.25">
      <c r="A4087" s="274"/>
      <c r="B4087" s="498"/>
      <c r="C4087" s="287"/>
      <c r="D4087" s="288"/>
      <c r="E4087" s="288"/>
    </row>
    <row r="4088" spans="1:5" x14ac:dyDescent="0.25">
      <c r="A4088" s="274"/>
      <c r="B4088" s="498"/>
      <c r="C4088" s="287"/>
      <c r="D4088" s="288"/>
      <c r="E4088" s="288"/>
    </row>
    <row r="4089" spans="1:5" x14ac:dyDescent="0.25">
      <c r="A4089" s="274"/>
      <c r="B4089" s="498"/>
      <c r="C4089" s="287"/>
      <c r="D4089" s="288"/>
      <c r="E4089" s="288"/>
    </row>
    <row r="4090" spans="1:5" x14ac:dyDescent="0.25">
      <c r="A4090" s="274"/>
      <c r="B4090" s="498"/>
      <c r="C4090" s="287"/>
      <c r="D4090" s="288"/>
      <c r="E4090" s="288"/>
    </row>
    <row r="4091" spans="1:5" x14ac:dyDescent="0.25">
      <c r="A4091" s="274"/>
      <c r="B4091" s="498"/>
      <c r="C4091" s="287"/>
      <c r="D4091" s="288"/>
      <c r="E4091" s="288"/>
    </row>
    <row r="4092" spans="1:5" x14ac:dyDescent="0.25">
      <c r="A4092" s="274"/>
      <c r="B4092" s="498"/>
      <c r="C4092" s="287"/>
      <c r="D4092" s="288"/>
      <c r="E4092" s="288"/>
    </row>
    <row r="4093" spans="1:5" x14ac:dyDescent="0.25">
      <c r="A4093" s="274"/>
      <c r="B4093" s="498"/>
      <c r="C4093" s="287"/>
      <c r="D4093" s="288"/>
      <c r="E4093" s="288"/>
    </row>
    <row r="4094" spans="1:5" x14ac:dyDescent="0.25">
      <c r="A4094" s="274"/>
      <c r="B4094" s="498"/>
      <c r="C4094" s="287"/>
      <c r="D4094" s="288"/>
      <c r="E4094" s="288"/>
    </row>
    <row r="4095" spans="1:5" x14ac:dyDescent="0.25">
      <c r="A4095" s="274"/>
      <c r="B4095" s="498"/>
      <c r="C4095" s="287"/>
      <c r="D4095" s="288"/>
      <c r="E4095" s="288"/>
    </row>
    <row r="4096" spans="1:5" x14ac:dyDescent="0.25">
      <c r="A4096" s="274"/>
      <c r="B4096" s="498"/>
      <c r="C4096" s="287"/>
      <c r="D4096" s="288"/>
      <c r="E4096" s="288"/>
    </row>
    <row r="4097" spans="1:5" x14ac:dyDescent="0.25">
      <c r="A4097" s="274"/>
      <c r="B4097" s="498"/>
      <c r="C4097" s="287"/>
      <c r="D4097" s="288"/>
      <c r="E4097" s="288"/>
    </row>
    <row r="4098" spans="1:5" x14ac:dyDescent="0.25">
      <c r="A4098" s="274"/>
      <c r="B4098" s="498"/>
      <c r="C4098" s="287"/>
      <c r="D4098" s="288"/>
      <c r="E4098" s="288"/>
    </row>
    <row r="4099" spans="1:5" x14ac:dyDescent="0.25">
      <c r="A4099" s="274"/>
      <c r="B4099" s="498"/>
      <c r="C4099" s="287"/>
      <c r="D4099" s="288"/>
      <c r="E4099" s="288"/>
    </row>
    <row r="4100" spans="1:5" x14ac:dyDescent="0.25">
      <c r="A4100" s="274"/>
      <c r="B4100" s="498"/>
      <c r="C4100" s="287"/>
      <c r="D4100" s="288"/>
      <c r="E4100" s="288"/>
    </row>
    <row r="4101" spans="1:5" x14ac:dyDescent="0.25">
      <c r="A4101" s="274"/>
      <c r="B4101" s="498"/>
      <c r="C4101" s="287"/>
      <c r="D4101" s="288"/>
      <c r="E4101" s="288"/>
    </row>
    <row r="4102" spans="1:5" x14ac:dyDescent="0.25">
      <c r="A4102" s="274"/>
      <c r="B4102" s="498"/>
      <c r="C4102" s="287"/>
      <c r="D4102" s="288"/>
      <c r="E4102" s="288"/>
    </row>
    <row r="4103" spans="1:5" x14ac:dyDescent="0.25">
      <c r="A4103" s="274"/>
      <c r="B4103" s="498"/>
      <c r="C4103" s="287"/>
      <c r="D4103" s="288"/>
      <c r="E4103" s="288"/>
    </row>
    <row r="4104" spans="1:5" x14ac:dyDescent="0.25">
      <c r="A4104" s="274"/>
      <c r="B4104" s="498"/>
      <c r="C4104" s="287"/>
      <c r="D4104" s="288"/>
      <c r="E4104" s="288"/>
    </row>
    <row r="4105" spans="1:5" x14ac:dyDescent="0.25">
      <c r="A4105" s="274"/>
      <c r="B4105" s="498"/>
      <c r="C4105" s="287"/>
      <c r="D4105" s="288"/>
      <c r="E4105" s="288"/>
    </row>
    <row r="4106" spans="1:5" x14ac:dyDescent="0.25">
      <c r="A4106" s="274"/>
      <c r="B4106" s="498"/>
      <c r="C4106" s="287"/>
      <c r="D4106" s="288"/>
      <c r="E4106" s="288"/>
    </row>
    <row r="4107" spans="1:5" x14ac:dyDescent="0.25">
      <c r="A4107" s="274"/>
      <c r="B4107" s="498"/>
      <c r="C4107" s="287"/>
      <c r="D4107" s="288"/>
      <c r="E4107" s="288"/>
    </row>
    <row r="4108" spans="1:5" x14ac:dyDescent="0.25">
      <c r="A4108" s="274"/>
      <c r="B4108" s="498"/>
      <c r="C4108" s="287"/>
      <c r="D4108" s="288"/>
      <c r="E4108" s="288"/>
    </row>
    <row r="4109" spans="1:5" x14ac:dyDescent="0.25">
      <c r="A4109" s="274"/>
      <c r="B4109" s="498"/>
      <c r="C4109" s="287"/>
      <c r="D4109" s="288"/>
      <c r="E4109" s="288"/>
    </row>
    <row r="4110" spans="1:5" x14ac:dyDescent="0.25">
      <c r="A4110" s="274"/>
      <c r="B4110" s="498"/>
      <c r="C4110" s="287"/>
      <c r="D4110" s="288"/>
      <c r="E4110" s="288"/>
    </row>
    <row r="4111" spans="1:5" x14ac:dyDescent="0.25">
      <c r="A4111" s="274"/>
      <c r="B4111" s="498"/>
      <c r="C4111" s="287"/>
      <c r="D4111" s="288"/>
      <c r="E4111" s="288"/>
    </row>
    <row r="4112" spans="1:5" x14ac:dyDescent="0.25">
      <c r="A4112" s="274"/>
      <c r="B4112" s="498"/>
      <c r="C4112" s="287"/>
      <c r="D4112" s="288"/>
      <c r="E4112" s="288"/>
    </row>
    <row r="4113" spans="1:5" x14ac:dyDescent="0.25">
      <c r="A4113" s="274"/>
      <c r="B4113" s="498"/>
      <c r="C4113" s="287"/>
      <c r="D4113" s="288"/>
      <c r="E4113" s="288"/>
    </row>
    <row r="4114" spans="1:5" x14ac:dyDescent="0.25">
      <c r="A4114" s="274"/>
      <c r="B4114" s="498"/>
      <c r="C4114" s="287"/>
      <c r="D4114" s="288"/>
      <c r="E4114" s="288"/>
    </row>
    <row r="4115" spans="1:5" x14ac:dyDescent="0.25">
      <c r="A4115" s="274"/>
      <c r="B4115" s="498"/>
      <c r="C4115" s="287"/>
      <c r="D4115" s="288"/>
      <c r="E4115" s="288"/>
    </row>
    <row r="4116" spans="1:5" x14ac:dyDescent="0.25">
      <c r="A4116" s="274"/>
      <c r="B4116" s="498"/>
      <c r="C4116" s="287"/>
      <c r="D4116" s="288"/>
      <c r="E4116" s="288"/>
    </row>
    <row r="4117" spans="1:5" x14ac:dyDescent="0.25">
      <c r="A4117" s="274"/>
      <c r="B4117" s="498"/>
      <c r="C4117" s="287"/>
      <c r="D4117" s="288"/>
      <c r="E4117" s="288"/>
    </row>
    <row r="4118" spans="1:5" x14ac:dyDescent="0.25">
      <c r="A4118" s="274"/>
      <c r="B4118" s="498"/>
      <c r="C4118" s="287"/>
      <c r="D4118" s="288"/>
      <c r="E4118" s="288"/>
    </row>
    <row r="4119" spans="1:5" x14ac:dyDescent="0.25">
      <c r="A4119" s="274"/>
      <c r="B4119" s="498"/>
      <c r="C4119" s="287"/>
      <c r="D4119" s="288"/>
      <c r="E4119" s="288"/>
    </row>
    <row r="4120" spans="1:5" x14ac:dyDescent="0.25">
      <c r="A4120" s="274"/>
      <c r="B4120" s="498"/>
      <c r="C4120" s="287"/>
      <c r="D4120" s="288"/>
      <c r="E4120" s="288"/>
    </row>
    <row r="4121" spans="1:5" x14ac:dyDescent="0.25">
      <c r="A4121" s="274"/>
      <c r="B4121" s="498"/>
      <c r="C4121" s="287"/>
      <c r="D4121" s="288"/>
      <c r="E4121" s="288"/>
    </row>
    <row r="4122" spans="1:5" x14ac:dyDescent="0.25">
      <c r="A4122" s="274"/>
      <c r="B4122" s="498"/>
      <c r="C4122" s="287"/>
      <c r="D4122" s="288"/>
      <c r="E4122" s="288"/>
    </row>
    <row r="4123" spans="1:5" x14ac:dyDescent="0.25">
      <c r="A4123" s="274"/>
      <c r="B4123" s="498"/>
      <c r="C4123" s="287"/>
      <c r="D4123" s="288"/>
      <c r="E4123" s="288"/>
    </row>
    <row r="4124" spans="1:5" x14ac:dyDescent="0.25">
      <c r="A4124" s="274"/>
      <c r="B4124" s="498"/>
      <c r="C4124" s="287"/>
      <c r="D4124" s="288"/>
      <c r="E4124" s="288"/>
    </row>
    <row r="4125" spans="1:5" x14ac:dyDescent="0.25">
      <c r="A4125" s="274"/>
      <c r="B4125" s="498"/>
      <c r="C4125" s="287"/>
      <c r="D4125" s="288"/>
      <c r="E4125" s="288"/>
    </row>
    <row r="4126" spans="1:5" x14ac:dyDescent="0.25">
      <c r="A4126" s="274"/>
      <c r="B4126" s="498"/>
      <c r="C4126" s="287"/>
      <c r="D4126" s="288"/>
      <c r="E4126" s="288"/>
    </row>
    <row r="4127" spans="1:5" x14ac:dyDescent="0.25">
      <c r="A4127" s="274"/>
      <c r="B4127" s="498"/>
      <c r="C4127" s="287"/>
      <c r="D4127" s="288"/>
      <c r="E4127" s="288"/>
    </row>
    <row r="4128" spans="1:5" x14ac:dyDescent="0.25">
      <c r="A4128" s="274"/>
      <c r="B4128" s="498"/>
      <c r="C4128" s="287"/>
      <c r="D4128" s="288"/>
      <c r="E4128" s="288"/>
    </row>
    <row r="4129" spans="1:5" x14ac:dyDescent="0.25">
      <c r="A4129" s="274"/>
      <c r="B4129" s="498"/>
      <c r="C4129" s="287"/>
      <c r="D4129" s="288"/>
      <c r="E4129" s="288"/>
    </row>
    <row r="4130" spans="1:5" x14ac:dyDescent="0.25">
      <c r="A4130" s="274"/>
      <c r="B4130" s="498"/>
      <c r="C4130" s="287"/>
      <c r="D4130" s="288"/>
      <c r="E4130" s="288"/>
    </row>
    <row r="4131" spans="1:5" x14ac:dyDescent="0.25">
      <c r="A4131" s="274"/>
      <c r="B4131" s="498"/>
      <c r="C4131" s="287"/>
      <c r="D4131" s="288"/>
      <c r="E4131" s="288"/>
    </row>
    <row r="4132" spans="1:5" x14ac:dyDescent="0.25">
      <c r="A4132" s="274"/>
      <c r="B4132" s="498"/>
      <c r="C4132" s="287"/>
      <c r="D4132" s="288"/>
      <c r="E4132" s="288"/>
    </row>
    <row r="4133" spans="1:5" x14ac:dyDescent="0.25">
      <c r="A4133" s="274"/>
      <c r="B4133" s="498"/>
      <c r="C4133" s="287"/>
      <c r="D4133" s="288"/>
      <c r="E4133" s="288"/>
    </row>
    <row r="4134" spans="1:5" x14ac:dyDescent="0.25">
      <c r="A4134" s="274"/>
      <c r="B4134" s="498"/>
      <c r="C4134" s="287"/>
      <c r="D4134" s="288"/>
      <c r="E4134" s="288"/>
    </row>
    <row r="4135" spans="1:5" x14ac:dyDescent="0.25">
      <c r="A4135" s="274"/>
      <c r="B4135" s="498"/>
      <c r="C4135" s="287"/>
      <c r="D4135" s="288"/>
      <c r="E4135" s="288"/>
    </row>
    <row r="4136" spans="1:5" x14ac:dyDescent="0.25">
      <c r="A4136" s="274"/>
      <c r="B4136" s="498"/>
      <c r="C4136" s="287"/>
      <c r="D4136" s="288"/>
      <c r="E4136" s="288"/>
    </row>
    <row r="4137" spans="1:5" x14ac:dyDescent="0.25">
      <c r="A4137" s="274"/>
      <c r="B4137" s="498"/>
      <c r="C4137" s="287"/>
      <c r="D4137" s="288"/>
      <c r="E4137" s="288"/>
    </row>
    <row r="4138" spans="1:5" x14ac:dyDescent="0.25">
      <c r="A4138" s="274"/>
      <c r="B4138" s="498"/>
      <c r="C4138" s="287"/>
      <c r="D4138" s="288"/>
      <c r="E4138" s="288"/>
    </row>
    <row r="4139" spans="1:5" x14ac:dyDescent="0.25">
      <c r="A4139" s="274"/>
      <c r="B4139" s="498"/>
      <c r="C4139" s="287"/>
      <c r="D4139" s="288"/>
      <c r="E4139" s="288"/>
    </row>
    <row r="4140" spans="1:5" x14ac:dyDescent="0.25">
      <c r="A4140" s="274"/>
      <c r="B4140" s="498"/>
      <c r="C4140" s="287"/>
      <c r="D4140" s="288"/>
      <c r="E4140" s="288"/>
    </row>
    <row r="4141" spans="1:5" x14ac:dyDescent="0.25">
      <c r="A4141" s="274"/>
      <c r="B4141" s="498"/>
      <c r="C4141" s="287"/>
      <c r="D4141" s="288"/>
      <c r="E4141" s="288"/>
    </row>
    <row r="4142" spans="1:5" x14ac:dyDescent="0.25">
      <c r="A4142" s="274"/>
      <c r="B4142" s="498"/>
      <c r="C4142" s="287"/>
      <c r="D4142" s="288"/>
      <c r="E4142" s="288"/>
    </row>
    <row r="4143" spans="1:5" x14ac:dyDescent="0.25">
      <c r="A4143" s="274"/>
      <c r="B4143" s="498"/>
      <c r="C4143" s="287"/>
      <c r="D4143" s="288"/>
      <c r="E4143" s="288"/>
    </row>
    <row r="4144" spans="1:5" x14ac:dyDescent="0.25">
      <c r="A4144" s="274"/>
      <c r="B4144" s="498"/>
      <c r="C4144" s="287"/>
      <c r="D4144" s="288"/>
      <c r="E4144" s="288"/>
    </row>
    <row r="4145" spans="1:5" x14ac:dyDescent="0.25">
      <c r="A4145" s="274"/>
      <c r="B4145" s="498"/>
      <c r="C4145" s="287"/>
      <c r="D4145" s="288"/>
      <c r="E4145" s="288"/>
    </row>
    <row r="4146" spans="1:5" x14ac:dyDescent="0.25">
      <c r="A4146" s="274"/>
      <c r="B4146" s="498"/>
      <c r="C4146" s="287"/>
      <c r="D4146" s="288"/>
      <c r="E4146" s="288"/>
    </row>
    <row r="4147" spans="1:5" x14ac:dyDescent="0.25">
      <c r="A4147" s="274"/>
      <c r="B4147" s="498"/>
      <c r="C4147" s="287"/>
      <c r="D4147" s="288"/>
      <c r="E4147" s="288"/>
    </row>
    <row r="4148" spans="1:5" x14ac:dyDescent="0.25">
      <c r="A4148" s="274"/>
      <c r="B4148" s="498"/>
      <c r="C4148" s="287"/>
      <c r="D4148" s="288"/>
      <c r="E4148" s="288"/>
    </row>
    <row r="4149" spans="1:5" x14ac:dyDescent="0.25">
      <c r="A4149" s="274"/>
      <c r="B4149" s="498"/>
      <c r="C4149" s="287"/>
      <c r="D4149" s="288"/>
      <c r="E4149" s="288"/>
    </row>
    <row r="4150" spans="1:5" x14ac:dyDescent="0.25">
      <c r="A4150" s="274"/>
      <c r="B4150" s="498"/>
      <c r="C4150" s="287"/>
      <c r="D4150" s="288"/>
      <c r="E4150" s="288"/>
    </row>
    <row r="4151" spans="1:5" x14ac:dyDescent="0.25">
      <c r="A4151" s="274"/>
      <c r="B4151" s="498"/>
      <c r="C4151" s="287"/>
      <c r="D4151" s="288"/>
      <c r="E4151" s="288"/>
    </row>
    <row r="4152" spans="1:5" x14ac:dyDescent="0.25">
      <c r="A4152" s="274"/>
      <c r="B4152" s="498"/>
      <c r="C4152" s="287"/>
      <c r="D4152" s="288"/>
      <c r="E4152" s="288"/>
    </row>
    <row r="4153" spans="1:5" x14ac:dyDescent="0.25">
      <c r="A4153" s="274"/>
      <c r="B4153" s="498"/>
      <c r="C4153" s="287"/>
      <c r="D4153" s="288"/>
      <c r="E4153" s="288"/>
    </row>
    <row r="4154" spans="1:5" x14ac:dyDescent="0.25">
      <c r="A4154" s="274"/>
      <c r="B4154" s="498"/>
      <c r="C4154" s="287"/>
      <c r="D4154" s="288"/>
      <c r="E4154" s="288"/>
    </row>
    <row r="4155" spans="1:5" x14ac:dyDescent="0.25">
      <c r="A4155" s="274"/>
      <c r="B4155" s="498"/>
      <c r="C4155" s="287"/>
      <c r="D4155" s="288"/>
      <c r="E4155" s="288"/>
    </row>
    <row r="4156" spans="1:5" x14ac:dyDescent="0.25">
      <c r="A4156" s="274"/>
      <c r="B4156" s="498"/>
      <c r="C4156" s="287"/>
      <c r="D4156" s="288"/>
      <c r="E4156" s="288"/>
    </row>
    <row r="4157" spans="1:5" x14ac:dyDescent="0.25">
      <c r="A4157" s="274"/>
      <c r="B4157" s="498"/>
      <c r="C4157" s="287"/>
      <c r="D4157" s="288"/>
      <c r="E4157" s="288"/>
    </row>
    <row r="4158" spans="1:5" x14ac:dyDescent="0.25">
      <c r="A4158" s="274"/>
      <c r="B4158" s="498"/>
      <c r="C4158" s="287"/>
      <c r="D4158" s="288"/>
      <c r="E4158" s="288"/>
    </row>
    <row r="4159" spans="1:5" x14ac:dyDescent="0.25">
      <c r="A4159" s="274"/>
      <c r="B4159" s="498"/>
      <c r="C4159" s="287"/>
      <c r="D4159" s="288"/>
      <c r="E4159" s="288"/>
    </row>
    <row r="4160" spans="1:5" x14ac:dyDescent="0.25">
      <c r="A4160" s="274"/>
      <c r="B4160" s="498"/>
      <c r="C4160" s="287"/>
      <c r="D4160" s="288"/>
      <c r="E4160" s="288"/>
    </row>
    <row r="4161" spans="1:5" x14ac:dyDescent="0.25">
      <c r="A4161" s="274"/>
      <c r="B4161" s="498"/>
      <c r="C4161" s="287"/>
      <c r="D4161" s="288"/>
      <c r="E4161" s="288"/>
    </row>
    <row r="4162" spans="1:5" x14ac:dyDescent="0.25">
      <c r="A4162" s="274"/>
      <c r="B4162" s="498"/>
      <c r="C4162" s="287"/>
      <c r="D4162" s="288"/>
      <c r="E4162" s="288"/>
    </row>
    <row r="4163" spans="1:5" x14ac:dyDescent="0.25">
      <c r="A4163" s="274"/>
      <c r="B4163" s="498"/>
      <c r="C4163" s="287"/>
      <c r="D4163" s="288"/>
      <c r="E4163" s="288"/>
    </row>
    <row r="4164" spans="1:5" x14ac:dyDescent="0.25">
      <c r="A4164" s="274"/>
      <c r="B4164" s="498"/>
      <c r="C4164" s="287"/>
      <c r="D4164" s="288"/>
      <c r="E4164" s="288"/>
    </row>
    <row r="4165" spans="1:5" x14ac:dyDescent="0.25">
      <c r="A4165" s="274"/>
      <c r="B4165" s="498"/>
      <c r="C4165" s="287"/>
      <c r="D4165" s="288"/>
      <c r="E4165" s="288"/>
    </row>
    <row r="4166" spans="1:5" x14ac:dyDescent="0.25">
      <c r="A4166" s="274"/>
      <c r="B4166" s="498"/>
      <c r="C4166" s="287"/>
      <c r="D4166" s="288"/>
      <c r="E4166" s="288"/>
    </row>
    <row r="4167" spans="1:5" x14ac:dyDescent="0.25">
      <c r="A4167" s="274"/>
      <c r="B4167" s="498"/>
      <c r="C4167" s="287"/>
      <c r="D4167" s="288"/>
      <c r="E4167" s="288"/>
    </row>
    <row r="4168" spans="1:5" x14ac:dyDescent="0.25">
      <c r="A4168" s="274"/>
      <c r="B4168" s="498"/>
      <c r="C4168" s="287"/>
      <c r="D4168" s="288"/>
      <c r="E4168" s="288"/>
    </row>
    <row r="4169" spans="1:5" x14ac:dyDescent="0.25">
      <c r="A4169" s="274"/>
      <c r="B4169" s="498"/>
      <c r="C4169" s="287"/>
      <c r="D4169" s="288"/>
      <c r="E4169" s="288"/>
    </row>
    <row r="4170" spans="1:5" x14ac:dyDescent="0.25">
      <c r="A4170" s="274"/>
      <c r="B4170" s="498"/>
      <c r="C4170" s="287"/>
      <c r="D4170" s="288"/>
      <c r="E4170" s="288"/>
    </row>
    <row r="4171" spans="1:5" x14ac:dyDescent="0.25">
      <c r="A4171" s="274"/>
      <c r="B4171" s="498"/>
      <c r="C4171" s="287"/>
      <c r="D4171" s="288"/>
      <c r="E4171" s="288"/>
    </row>
    <row r="4172" spans="1:5" x14ac:dyDescent="0.25">
      <c r="A4172" s="274"/>
      <c r="B4172" s="498"/>
      <c r="C4172" s="287"/>
      <c r="D4172" s="288"/>
      <c r="E4172" s="288"/>
    </row>
    <row r="4173" spans="1:5" x14ac:dyDescent="0.25">
      <c r="A4173" s="274"/>
      <c r="B4173" s="498"/>
      <c r="C4173" s="287"/>
      <c r="D4173" s="288"/>
      <c r="E4173" s="288"/>
    </row>
    <row r="4174" spans="1:5" x14ac:dyDescent="0.25">
      <c r="A4174" s="274"/>
      <c r="B4174" s="498"/>
      <c r="C4174" s="287"/>
      <c r="D4174" s="288"/>
      <c r="E4174" s="288"/>
    </row>
    <row r="4175" spans="1:5" x14ac:dyDescent="0.25">
      <c r="A4175" s="274"/>
      <c r="B4175" s="498"/>
      <c r="C4175" s="287"/>
      <c r="D4175" s="288"/>
      <c r="E4175" s="288"/>
    </row>
    <row r="4176" spans="1:5" x14ac:dyDescent="0.25">
      <c r="A4176" s="274"/>
      <c r="B4176" s="498"/>
      <c r="C4176" s="287"/>
      <c r="D4176" s="288"/>
      <c r="E4176" s="288"/>
    </row>
    <row r="4177" spans="1:5" x14ac:dyDescent="0.25">
      <c r="A4177" s="274"/>
      <c r="B4177" s="498"/>
      <c r="C4177" s="287"/>
      <c r="D4177" s="288"/>
      <c r="E4177" s="288"/>
    </row>
    <row r="4178" spans="1:5" x14ac:dyDescent="0.25">
      <c r="A4178" s="274"/>
      <c r="B4178" s="498"/>
      <c r="C4178" s="287"/>
      <c r="D4178" s="288"/>
      <c r="E4178" s="288"/>
    </row>
    <row r="4179" spans="1:5" x14ac:dyDescent="0.25">
      <c r="A4179" s="274"/>
      <c r="B4179" s="498"/>
      <c r="C4179" s="287"/>
      <c r="D4179" s="288"/>
      <c r="E4179" s="288"/>
    </row>
    <row r="4180" spans="1:5" x14ac:dyDescent="0.25">
      <c r="A4180" s="274"/>
      <c r="B4180" s="498"/>
      <c r="C4180" s="287"/>
      <c r="D4180" s="288"/>
      <c r="E4180" s="288"/>
    </row>
    <row r="4181" spans="1:5" x14ac:dyDescent="0.25">
      <c r="A4181" s="274"/>
      <c r="B4181" s="498"/>
      <c r="C4181" s="287"/>
      <c r="D4181" s="288"/>
      <c r="E4181" s="288"/>
    </row>
    <row r="4182" spans="1:5" x14ac:dyDescent="0.25">
      <c r="A4182" s="274"/>
      <c r="B4182" s="498"/>
      <c r="C4182" s="287"/>
      <c r="D4182" s="288"/>
      <c r="E4182" s="288"/>
    </row>
    <row r="4183" spans="1:5" x14ac:dyDescent="0.25">
      <c r="A4183" s="274"/>
      <c r="B4183" s="498"/>
      <c r="C4183" s="287"/>
      <c r="D4183" s="288"/>
      <c r="E4183" s="288"/>
    </row>
    <row r="4184" spans="1:5" x14ac:dyDescent="0.25">
      <c r="A4184" s="274"/>
      <c r="B4184" s="498"/>
      <c r="C4184" s="287"/>
      <c r="D4184" s="288"/>
      <c r="E4184" s="288"/>
    </row>
    <row r="4185" spans="1:5" x14ac:dyDescent="0.25">
      <c r="A4185" s="274"/>
      <c r="B4185" s="498"/>
      <c r="C4185" s="287"/>
      <c r="D4185" s="288"/>
      <c r="E4185" s="288"/>
    </row>
    <row r="4186" spans="1:5" x14ac:dyDescent="0.25">
      <c r="A4186" s="274"/>
      <c r="B4186" s="498"/>
      <c r="C4186" s="287"/>
      <c r="D4186" s="288"/>
      <c r="E4186" s="288"/>
    </row>
    <row r="4187" spans="1:5" x14ac:dyDescent="0.25">
      <c r="A4187" s="274"/>
      <c r="B4187" s="498"/>
      <c r="C4187" s="287"/>
      <c r="D4187" s="288"/>
      <c r="E4187" s="288"/>
    </row>
    <row r="4188" spans="1:5" x14ac:dyDescent="0.25">
      <c r="A4188" s="274"/>
      <c r="B4188" s="498"/>
      <c r="C4188" s="287"/>
      <c r="D4188" s="288"/>
      <c r="E4188" s="288"/>
    </row>
    <row r="4189" spans="1:5" x14ac:dyDescent="0.25">
      <c r="A4189" s="274"/>
      <c r="B4189" s="498"/>
      <c r="C4189" s="287"/>
      <c r="D4189" s="288"/>
      <c r="E4189" s="288"/>
    </row>
    <row r="4190" spans="1:5" x14ac:dyDescent="0.25">
      <c r="A4190" s="274"/>
      <c r="B4190" s="498"/>
      <c r="C4190" s="287"/>
      <c r="D4190" s="288"/>
      <c r="E4190" s="288"/>
    </row>
    <row r="4191" spans="1:5" x14ac:dyDescent="0.25">
      <c r="A4191" s="274"/>
      <c r="B4191" s="498"/>
      <c r="C4191" s="287"/>
      <c r="D4191" s="288"/>
      <c r="E4191" s="288"/>
    </row>
    <row r="4192" spans="1:5" x14ac:dyDescent="0.25">
      <c r="A4192" s="274"/>
      <c r="B4192" s="498"/>
      <c r="C4192" s="287"/>
      <c r="D4192" s="288"/>
      <c r="E4192" s="288"/>
    </row>
    <row r="4193" spans="1:5" x14ac:dyDescent="0.25">
      <c r="A4193" s="274"/>
      <c r="B4193" s="498"/>
      <c r="C4193" s="287"/>
      <c r="D4193" s="288"/>
      <c r="E4193" s="288"/>
    </row>
    <row r="4194" spans="1:5" x14ac:dyDescent="0.25">
      <c r="A4194" s="274"/>
      <c r="B4194" s="498"/>
      <c r="C4194" s="287"/>
      <c r="D4194" s="288"/>
      <c r="E4194" s="288"/>
    </row>
    <row r="4195" spans="1:5" x14ac:dyDescent="0.25">
      <c r="A4195" s="274"/>
      <c r="B4195" s="498"/>
      <c r="C4195" s="287"/>
      <c r="D4195" s="288"/>
      <c r="E4195" s="288"/>
    </row>
    <row r="4196" spans="1:5" x14ac:dyDescent="0.25">
      <c r="A4196" s="274"/>
      <c r="B4196" s="498"/>
      <c r="C4196" s="287"/>
      <c r="D4196" s="288"/>
      <c r="E4196" s="288"/>
    </row>
    <row r="4197" spans="1:5" x14ac:dyDescent="0.25">
      <c r="A4197" s="274"/>
      <c r="B4197" s="498"/>
      <c r="C4197" s="287"/>
      <c r="D4197" s="288"/>
      <c r="E4197" s="288"/>
    </row>
    <row r="4198" spans="1:5" x14ac:dyDescent="0.25">
      <c r="A4198" s="274"/>
      <c r="B4198" s="498"/>
      <c r="C4198" s="287"/>
      <c r="D4198" s="288"/>
      <c r="E4198" s="288"/>
    </row>
    <row r="4199" spans="1:5" x14ac:dyDescent="0.25">
      <c r="A4199" s="274"/>
      <c r="B4199" s="498"/>
      <c r="C4199" s="287"/>
      <c r="D4199" s="288"/>
      <c r="E4199" s="288"/>
    </row>
    <row r="4200" spans="1:5" x14ac:dyDescent="0.25">
      <c r="A4200" s="274"/>
      <c r="B4200" s="498"/>
      <c r="C4200" s="287"/>
      <c r="D4200" s="288"/>
      <c r="E4200" s="288"/>
    </row>
    <row r="4201" spans="1:5" x14ac:dyDescent="0.25">
      <c r="A4201" s="274"/>
      <c r="B4201" s="498"/>
      <c r="C4201" s="287"/>
      <c r="D4201" s="288"/>
      <c r="E4201" s="288"/>
    </row>
    <row r="4202" spans="1:5" x14ac:dyDescent="0.25">
      <c r="A4202" s="274"/>
      <c r="B4202" s="498"/>
      <c r="C4202" s="287"/>
      <c r="D4202" s="288"/>
      <c r="E4202" s="288"/>
    </row>
    <row r="4203" spans="1:5" x14ac:dyDescent="0.25">
      <c r="A4203" s="274"/>
      <c r="B4203" s="498"/>
      <c r="C4203" s="287"/>
      <c r="D4203" s="288"/>
      <c r="E4203" s="288"/>
    </row>
    <row r="4204" spans="1:5" x14ac:dyDescent="0.25">
      <c r="A4204" s="274"/>
      <c r="B4204" s="498"/>
      <c r="C4204" s="287"/>
      <c r="D4204" s="288"/>
      <c r="E4204" s="288"/>
    </row>
    <row r="4205" spans="1:5" x14ac:dyDescent="0.25">
      <c r="A4205" s="274"/>
      <c r="B4205" s="498"/>
      <c r="C4205" s="287"/>
      <c r="D4205" s="288"/>
      <c r="E4205" s="288"/>
    </row>
    <row r="4206" spans="1:5" x14ac:dyDescent="0.25">
      <c r="A4206" s="274"/>
      <c r="B4206" s="498"/>
      <c r="C4206" s="287"/>
      <c r="D4206" s="288"/>
      <c r="E4206" s="288"/>
    </row>
    <row r="4207" spans="1:5" x14ac:dyDescent="0.25">
      <c r="A4207" s="274"/>
      <c r="B4207" s="498"/>
      <c r="C4207" s="287"/>
      <c r="D4207" s="288"/>
      <c r="E4207" s="288"/>
    </row>
    <row r="4208" spans="1:5" x14ac:dyDescent="0.25">
      <c r="A4208" s="274"/>
      <c r="B4208" s="498"/>
      <c r="C4208" s="287"/>
      <c r="D4208" s="288"/>
      <c r="E4208" s="288"/>
    </row>
    <row r="4209" spans="1:5" x14ac:dyDescent="0.25">
      <c r="A4209" s="274"/>
      <c r="B4209" s="498"/>
      <c r="C4209" s="287"/>
      <c r="D4209" s="288"/>
      <c r="E4209" s="288"/>
    </row>
    <row r="4210" spans="1:5" x14ac:dyDescent="0.25">
      <c r="A4210" s="274"/>
      <c r="B4210" s="498"/>
      <c r="C4210" s="287"/>
      <c r="D4210" s="288"/>
      <c r="E4210" s="288"/>
    </row>
    <row r="4211" spans="1:5" x14ac:dyDescent="0.25">
      <c r="A4211" s="274"/>
      <c r="B4211" s="498"/>
      <c r="C4211" s="287"/>
      <c r="D4211" s="288"/>
      <c r="E4211" s="288"/>
    </row>
    <row r="4212" spans="1:5" x14ac:dyDescent="0.25">
      <c r="A4212" s="274"/>
      <c r="B4212" s="498"/>
      <c r="C4212" s="287"/>
      <c r="D4212" s="288"/>
      <c r="E4212" s="288"/>
    </row>
    <row r="4213" spans="1:5" x14ac:dyDescent="0.25">
      <c r="A4213" s="274"/>
      <c r="B4213" s="498"/>
      <c r="C4213" s="287"/>
      <c r="D4213" s="288"/>
      <c r="E4213" s="288"/>
    </row>
    <row r="4214" spans="1:5" x14ac:dyDescent="0.25">
      <c r="A4214" s="274"/>
      <c r="B4214" s="498"/>
      <c r="C4214" s="287"/>
      <c r="D4214" s="288"/>
      <c r="E4214" s="288"/>
    </row>
    <row r="4215" spans="1:5" x14ac:dyDescent="0.25">
      <c r="A4215" s="274"/>
      <c r="B4215" s="498"/>
      <c r="C4215" s="287"/>
      <c r="D4215" s="288"/>
      <c r="E4215" s="288"/>
    </row>
    <row r="4216" spans="1:5" x14ac:dyDescent="0.25">
      <c r="A4216" s="274"/>
      <c r="B4216" s="498"/>
      <c r="C4216" s="287"/>
      <c r="D4216" s="288"/>
      <c r="E4216" s="288"/>
    </row>
    <row r="4217" spans="1:5" x14ac:dyDescent="0.25">
      <c r="A4217" s="274"/>
      <c r="B4217" s="498"/>
      <c r="C4217" s="287"/>
      <c r="D4217" s="288"/>
      <c r="E4217" s="288"/>
    </row>
    <row r="4218" spans="1:5" x14ac:dyDescent="0.25">
      <c r="A4218" s="274"/>
      <c r="B4218" s="498"/>
      <c r="C4218" s="287"/>
      <c r="D4218" s="288"/>
      <c r="E4218" s="288"/>
    </row>
    <row r="4219" spans="1:5" x14ac:dyDescent="0.25">
      <c r="A4219" s="274"/>
      <c r="B4219" s="498"/>
      <c r="C4219" s="287"/>
      <c r="D4219" s="288"/>
      <c r="E4219" s="288"/>
    </row>
    <row r="4220" spans="1:5" x14ac:dyDescent="0.25">
      <c r="A4220" s="274"/>
      <c r="B4220" s="498"/>
      <c r="C4220" s="287"/>
      <c r="D4220" s="288"/>
      <c r="E4220" s="288"/>
    </row>
    <row r="4221" spans="1:5" x14ac:dyDescent="0.25">
      <c r="A4221" s="274"/>
      <c r="B4221" s="498"/>
      <c r="C4221" s="287"/>
      <c r="D4221" s="288"/>
      <c r="E4221" s="288"/>
    </row>
    <row r="4222" spans="1:5" x14ac:dyDescent="0.25">
      <c r="A4222" s="274"/>
      <c r="B4222" s="498"/>
      <c r="C4222" s="287"/>
      <c r="D4222" s="288"/>
      <c r="E4222" s="288"/>
    </row>
    <row r="4223" spans="1:5" x14ac:dyDescent="0.25">
      <c r="A4223" s="274"/>
      <c r="B4223" s="498"/>
      <c r="C4223" s="287"/>
      <c r="D4223" s="288"/>
      <c r="E4223" s="288"/>
    </row>
    <row r="4224" spans="1:5" x14ac:dyDescent="0.25">
      <c r="A4224" s="274"/>
      <c r="B4224" s="498"/>
      <c r="C4224" s="287"/>
      <c r="D4224" s="288"/>
      <c r="E4224" s="288"/>
    </row>
    <row r="4225" spans="1:5" x14ac:dyDescent="0.25">
      <c r="A4225" s="274"/>
      <c r="B4225" s="498"/>
      <c r="C4225" s="287"/>
      <c r="D4225" s="288"/>
      <c r="E4225" s="288"/>
    </row>
    <row r="4226" spans="1:5" x14ac:dyDescent="0.25">
      <c r="A4226" s="274"/>
      <c r="B4226" s="498"/>
      <c r="C4226" s="287"/>
      <c r="D4226" s="288"/>
      <c r="E4226" s="288"/>
    </row>
    <row r="4227" spans="1:5" x14ac:dyDescent="0.25">
      <c r="A4227" s="274"/>
      <c r="B4227" s="498"/>
      <c r="C4227" s="287"/>
      <c r="D4227" s="288"/>
      <c r="E4227" s="288"/>
    </row>
    <row r="4228" spans="1:5" x14ac:dyDescent="0.25">
      <c r="A4228" s="274"/>
      <c r="B4228" s="498"/>
      <c r="C4228" s="287"/>
      <c r="D4228" s="288"/>
      <c r="E4228" s="288"/>
    </row>
    <row r="4229" spans="1:5" x14ac:dyDescent="0.25">
      <c r="A4229" s="274"/>
      <c r="B4229" s="498"/>
      <c r="C4229" s="287"/>
      <c r="D4229" s="288"/>
      <c r="E4229" s="288"/>
    </row>
    <row r="4230" spans="1:5" x14ac:dyDescent="0.25">
      <c r="A4230" s="274"/>
      <c r="B4230" s="498"/>
      <c r="C4230" s="287"/>
      <c r="D4230" s="288"/>
      <c r="E4230" s="288"/>
    </row>
    <row r="4231" spans="1:5" x14ac:dyDescent="0.25">
      <c r="A4231" s="274"/>
      <c r="B4231" s="498"/>
      <c r="C4231" s="287"/>
      <c r="D4231" s="288"/>
      <c r="E4231" s="288"/>
    </row>
    <row r="4232" spans="1:5" x14ac:dyDescent="0.25">
      <c r="A4232" s="274"/>
      <c r="B4232" s="498"/>
      <c r="C4232" s="287"/>
      <c r="D4232" s="288"/>
      <c r="E4232" s="288"/>
    </row>
    <row r="4233" spans="1:5" x14ac:dyDescent="0.25">
      <c r="A4233" s="274"/>
      <c r="B4233" s="498"/>
      <c r="C4233" s="287"/>
      <c r="D4233" s="288"/>
      <c r="E4233" s="288"/>
    </row>
    <row r="4234" spans="1:5" x14ac:dyDescent="0.25">
      <c r="A4234" s="274"/>
      <c r="B4234" s="498"/>
      <c r="C4234" s="287"/>
      <c r="D4234" s="288"/>
      <c r="E4234" s="288"/>
    </row>
    <row r="4235" spans="1:5" x14ac:dyDescent="0.25">
      <c r="A4235" s="274"/>
      <c r="B4235" s="498"/>
      <c r="C4235" s="287"/>
      <c r="D4235" s="288"/>
      <c r="E4235" s="288"/>
    </row>
    <row r="4236" spans="1:5" x14ac:dyDescent="0.25">
      <c r="A4236" s="274"/>
      <c r="B4236" s="498"/>
      <c r="C4236" s="287"/>
      <c r="D4236" s="288"/>
      <c r="E4236" s="288"/>
    </row>
    <row r="4237" spans="1:5" x14ac:dyDescent="0.25">
      <c r="A4237" s="274"/>
      <c r="B4237" s="498"/>
      <c r="C4237" s="287"/>
      <c r="D4237" s="288"/>
      <c r="E4237" s="288"/>
    </row>
    <row r="4238" spans="1:5" x14ac:dyDescent="0.25">
      <c r="A4238" s="274"/>
      <c r="B4238" s="498"/>
      <c r="C4238" s="287"/>
      <c r="D4238" s="288"/>
      <c r="E4238" s="288"/>
    </row>
    <row r="4239" spans="1:5" x14ac:dyDescent="0.25">
      <c r="A4239" s="274"/>
      <c r="B4239" s="498"/>
      <c r="C4239" s="287"/>
      <c r="D4239" s="288"/>
      <c r="E4239" s="288"/>
    </row>
    <row r="4240" spans="1:5" x14ac:dyDescent="0.25">
      <c r="A4240" s="274"/>
      <c r="B4240" s="498"/>
      <c r="C4240" s="287"/>
      <c r="D4240" s="288"/>
      <c r="E4240" s="288"/>
    </row>
    <row r="4241" spans="1:5" x14ac:dyDescent="0.25">
      <c r="A4241" s="274"/>
      <c r="B4241" s="498"/>
      <c r="C4241" s="287"/>
      <c r="D4241" s="288"/>
      <c r="E4241" s="288"/>
    </row>
    <row r="4242" spans="1:5" x14ac:dyDescent="0.25">
      <c r="A4242" s="274"/>
      <c r="B4242" s="498"/>
      <c r="C4242" s="287"/>
      <c r="D4242" s="288"/>
      <c r="E4242" s="288"/>
    </row>
    <row r="4243" spans="1:5" x14ac:dyDescent="0.25">
      <c r="A4243" s="274"/>
      <c r="B4243" s="498"/>
      <c r="C4243" s="287"/>
      <c r="D4243" s="288"/>
      <c r="E4243" s="288"/>
    </row>
    <row r="4244" spans="1:5" x14ac:dyDescent="0.25">
      <c r="A4244" s="274"/>
      <c r="B4244" s="498"/>
      <c r="C4244" s="287"/>
      <c r="D4244" s="288"/>
      <c r="E4244" s="288"/>
    </row>
    <row r="4245" spans="1:5" x14ac:dyDescent="0.25">
      <c r="A4245" s="274"/>
      <c r="B4245" s="498"/>
      <c r="C4245" s="287"/>
      <c r="D4245" s="288"/>
      <c r="E4245" s="288"/>
    </row>
    <row r="4246" spans="1:5" x14ac:dyDescent="0.25">
      <c r="A4246" s="274"/>
      <c r="B4246" s="498"/>
      <c r="C4246" s="287"/>
      <c r="D4246" s="288"/>
      <c r="E4246" s="288"/>
    </row>
    <row r="4247" spans="1:5" x14ac:dyDescent="0.25">
      <c r="A4247" s="274"/>
      <c r="B4247" s="498"/>
      <c r="C4247" s="287"/>
      <c r="D4247" s="288"/>
      <c r="E4247" s="288"/>
    </row>
    <row r="4248" spans="1:5" x14ac:dyDescent="0.25">
      <c r="A4248" s="274"/>
      <c r="B4248" s="498"/>
      <c r="C4248" s="287"/>
      <c r="D4248" s="288"/>
      <c r="E4248" s="288"/>
    </row>
    <row r="4249" spans="1:5" x14ac:dyDescent="0.25">
      <c r="A4249" s="274"/>
      <c r="B4249" s="498"/>
      <c r="C4249" s="287"/>
      <c r="D4249" s="288"/>
      <c r="E4249" s="288"/>
    </row>
    <row r="4250" spans="1:5" x14ac:dyDescent="0.25">
      <c r="A4250" s="274"/>
      <c r="B4250" s="498"/>
      <c r="C4250" s="287"/>
      <c r="D4250" s="288"/>
      <c r="E4250" s="288"/>
    </row>
    <row r="4251" spans="1:5" x14ac:dyDescent="0.25">
      <c r="A4251" s="274"/>
      <c r="B4251" s="498"/>
      <c r="C4251" s="287"/>
      <c r="D4251" s="288"/>
      <c r="E4251" s="288"/>
    </row>
    <row r="4252" spans="1:5" x14ac:dyDescent="0.25">
      <c r="A4252" s="274"/>
      <c r="B4252" s="498"/>
      <c r="C4252" s="287"/>
      <c r="D4252" s="288"/>
      <c r="E4252" s="288"/>
    </row>
    <row r="4253" spans="1:5" x14ac:dyDescent="0.25">
      <c r="A4253" s="274"/>
      <c r="B4253" s="498"/>
      <c r="C4253" s="287"/>
      <c r="D4253" s="288"/>
      <c r="E4253" s="288"/>
    </row>
    <row r="4254" spans="1:5" x14ac:dyDescent="0.25">
      <c r="A4254" s="274"/>
      <c r="B4254" s="498"/>
      <c r="C4254" s="287"/>
      <c r="D4254" s="288"/>
      <c r="E4254" s="288"/>
    </row>
    <row r="4255" spans="1:5" x14ac:dyDescent="0.25">
      <c r="A4255" s="274"/>
      <c r="B4255" s="498"/>
      <c r="C4255" s="287"/>
      <c r="D4255" s="288"/>
      <c r="E4255" s="288"/>
    </row>
    <row r="4256" spans="1:5" x14ac:dyDescent="0.25">
      <c r="A4256" s="274"/>
      <c r="B4256" s="498"/>
      <c r="C4256" s="287"/>
      <c r="D4256" s="288"/>
      <c r="E4256" s="288"/>
    </row>
    <row r="4257" spans="1:5" x14ac:dyDescent="0.25">
      <c r="A4257" s="274"/>
      <c r="B4257" s="498"/>
      <c r="C4257" s="287"/>
      <c r="D4257" s="288"/>
      <c r="E4257" s="288"/>
    </row>
    <row r="4258" spans="1:5" x14ac:dyDescent="0.25">
      <c r="A4258" s="274"/>
      <c r="B4258" s="498"/>
      <c r="C4258" s="287"/>
      <c r="D4258" s="288"/>
      <c r="E4258" s="288"/>
    </row>
    <row r="4259" spans="1:5" x14ac:dyDescent="0.25">
      <c r="A4259" s="274"/>
      <c r="B4259" s="498"/>
      <c r="C4259" s="287"/>
      <c r="D4259" s="288"/>
      <c r="E4259" s="288"/>
    </row>
    <row r="4260" spans="1:5" x14ac:dyDescent="0.25">
      <c r="A4260" s="274"/>
      <c r="B4260" s="498"/>
      <c r="C4260" s="287"/>
      <c r="D4260" s="288"/>
      <c r="E4260" s="288"/>
    </row>
    <row r="4261" spans="1:5" x14ac:dyDescent="0.25">
      <c r="A4261" s="274"/>
      <c r="B4261" s="498"/>
      <c r="C4261" s="287"/>
      <c r="D4261" s="288"/>
      <c r="E4261" s="288"/>
    </row>
    <row r="4262" spans="1:5" x14ac:dyDescent="0.25">
      <c r="A4262" s="274"/>
      <c r="B4262" s="498"/>
      <c r="C4262" s="287"/>
      <c r="D4262" s="288"/>
      <c r="E4262" s="288"/>
    </row>
    <row r="4263" spans="1:5" x14ac:dyDescent="0.25">
      <c r="A4263" s="274"/>
      <c r="B4263" s="498"/>
      <c r="C4263" s="287"/>
      <c r="D4263" s="288"/>
      <c r="E4263" s="288"/>
    </row>
    <row r="4264" spans="1:5" x14ac:dyDescent="0.25">
      <c r="A4264" s="274"/>
      <c r="B4264" s="498"/>
      <c r="C4264" s="287"/>
      <c r="D4264" s="288"/>
      <c r="E4264" s="288"/>
    </row>
    <row r="4265" spans="1:5" x14ac:dyDescent="0.25">
      <c r="A4265" s="274"/>
      <c r="B4265" s="498"/>
      <c r="C4265" s="287"/>
      <c r="D4265" s="288"/>
      <c r="E4265" s="288"/>
    </row>
    <row r="4266" spans="1:5" x14ac:dyDescent="0.25">
      <c r="A4266" s="274"/>
      <c r="B4266" s="498"/>
      <c r="C4266" s="287"/>
      <c r="D4266" s="288"/>
      <c r="E4266" s="288"/>
    </row>
    <row r="4267" spans="1:5" x14ac:dyDescent="0.25">
      <c r="A4267" s="274"/>
      <c r="B4267" s="498"/>
      <c r="C4267" s="287"/>
      <c r="D4267" s="288"/>
      <c r="E4267" s="288"/>
    </row>
    <row r="4268" spans="1:5" x14ac:dyDescent="0.25">
      <c r="A4268" s="274"/>
      <c r="B4268" s="498"/>
      <c r="C4268" s="287"/>
      <c r="D4268" s="288"/>
      <c r="E4268" s="288"/>
    </row>
    <row r="4269" spans="1:5" x14ac:dyDescent="0.25">
      <c r="A4269" s="274"/>
      <c r="B4269" s="498"/>
      <c r="C4269" s="287"/>
      <c r="D4269" s="288"/>
      <c r="E4269" s="288"/>
    </row>
    <row r="4270" spans="1:5" x14ac:dyDescent="0.25">
      <c r="A4270" s="274"/>
      <c r="B4270" s="498"/>
      <c r="C4270" s="287"/>
      <c r="D4270" s="288"/>
      <c r="E4270" s="288"/>
    </row>
    <row r="4271" spans="1:5" x14ac:dyDescent="0.25">
      <c r="A4271" s="274"/>
      <c r="B4271" s="498"/>
      <c r="C4271" s="287"/>
      <c r="D4271" s="288"/>
      <c r="E4271" s="288"/>
    </row>
    <row r="4272" spans="1:5" x14ac:dyDescent="0.25">
      <c r="A4272" s="274"/>
      <c r="B4272" s="498"/>
      <c r="C4272" s="287"/>
      <c r="D4272" s="288"/>
      <c r="E4272" s="288"/>
    </row>
    <row r="4273" spans="1:5" x14ac:dyDescent="0.25">
      <c r="A4273" s="274"/>
      <c r="B4273" s="498"/>
      <c r="C4273" s="287"/>
      <c r="D4273" s="288"/>
      <c r="E4273" s="288"/>
    </row>
    <row r="4274" spans="1:5" x14ac:dyDescent="0.25">
      <c r="A4274" s="274"/>
      <c r="B4274" s="498"/>
      <c r="C4274" s="287"/>
      <c r="D4274" s="288"/>
      <c r="E4274" s="288"/>
    </row>
    <row r="4275" spans="1:5" x14ac:dyDescent="0.25">
      <c r="A4275" s="274"/>
      <c r="B4275" s="498"/>
      <c r="C4275" s="287"/>
      <c r="D4275" s="288"/>
      <c r="E4275" s="288"/>
    </row>
    <row r="4276" spans="1:5" x14ac:dyDescent="0.25">
      <c r="A4276" s="274"/>
      <c r="B4276" s="498"/>
      <c r="C4276" s="287"/>
      <c r="D4276" s="288"/>
      <c r="E4276" s="288"/>
    </row>
    <row r="4277" spans="1:5" x14ac:dyDescent="0.25">
      <c r="A4277" s="274"/>
      <c r="B4277" s="498"/>
      <c r="C4277" s="287"/>
      <c r="D4277" s="288"/>
      <c r="E4277" s="288"/>
    </row>
    <row r="4278" spans="1:5" x14ac:dyDescent="0.25">
      <c r="A4278" s="274"/>
      <c r="B4278" s="498"/>
      <c r="C4278" s="287"/>
      <c r="D4278" s="288"/>
      <c r="E4278" s="288"/>
    </row>
    <row r="4279" spans="1:5" x14ac:dyDescent="0.25">
      <c r="A4279" s="274"/>
      <c r="B4279" s="498"/>
      <c r="C4279" s="287"/>
      <c r="D4279" s="288"/>
      <c r="E4279" s="288"/>
    </row>
    <row r="4280" spans="1:5" x14ac:dyDescent="0.25">
      <c r="A4280" s="274"/>
      <c r="B4280" s="498"/>
      <c r="C4280" s="287"/>
      <c r="D4280" s="288"/>
      <c r="E4280" s="288"/>
    </row>
    <row r="4281" spans="1:5" x14ac:dyDescent="0.25">
      <c r="A4281" s="274"/>
      <c r="B4281" s="498"/>
      <c r="C4281" s="287"/>
      <c r="D4281" s="288"/>
      <c r="E4281" s="288"/>
    </row>
    <row r="4282" spans="1:5" x14ac:dyDescent="0.25">
      <c r="A4282" s="274"/>
      <c r="B4282" s="498"/>
      <c r="C4282" s="287"/>
      <c r="D4282" s="288"/>
      <c r="E4282" s="288"/>
    </row>
    <row r="4283" spans="1:5" x14ac:dyDescent="0.25">
      <c r="A4283" s="274"/>
      <c r="B4283" s="498"/>
      <c r="C4283" s="287"/>
      <c r="D4283" s="288"/>
      <c r="E4283" s="288"/>
    </row>
    <row r="4284" spans="1:5" x14ac:dyDescent="0.25">
      <c r="A4284" s="274"/>
      <c r="B4284" s="498"/>
      <c r="C4284" s="287"/>
      <c r="D4284" s="288"/>
      <c r="E4284" s="288"/>
    </row>
    <row r="4285" spans="1:5" x14ac:dyDescent="0.25">
      <c r="A4285" s="274"/>
      <c r="B4285" s="498"/>
      <c r="C4285" s="287"/>
      <c r="D4285" s="288"/>
      <c r="E4285" s="288"/>
    </row>
    <row r="4286" spans="1:5" x14ac:dyDescent="0.25">
      <c r="A4286" s="274"/>
      <c r="B4286" s="498"/>
      <c r="C4286" s="287"/>
      <c r="D4286" s="288"/>
      <c r="E4286" s="288"/>
    </row>
    <row r="4287" spans="1:5" x14ac:dyDescent="0.25">
      <c r="A4287" s="274"/>
      <c r="B4287" s="498"/>
      <c r="C4287" s="287"/>
      <c r="D4287" s="288"/>
      <c r="E4287" s="288"/>
    </row>
    <row r="4288" spans="1:5" x14ac:dyDescent="0.25">
      <c r="A4288" s="274"/>
      <c r="B4288" s="498"/>
      <c r="C4288" s="287"/>
      <c r="D4288" s="288"/>
      <c r="E4288" s="288"/>
    </row>
    <row r="4289" spans="1:5" x14ac:dyDescent="0.25">
      <c r="A4289" s="274"/>
      <c r="B4289" s="498"/>
      <c r="C4289" s="287"/>
      <c r="D4289" s="288"/>
      <c r="E4289" s="288"/>
    </row>
    <row r="4290" spans="1:5" x14ac:dyDescent="0.25">
      <c r="A4290" s="274"/>
      <c r="B4290" s="498"/>
      <c r="C4290" s="287"/>
      <c r="D4290" s="288"/>
      <c r="E4290" s="288"/>
    </row>
    <row r="4291" spans="1:5" x14ac:dyDescent="0.25">
      <c r="A4291" s="274"/>
      <c r="B4291" s="498"/>
      <c r="C4291" s="287"/>
      <c r="D4291" s="288"/>
      <c r="E4291" s="288"/>
    </row>
    <row r="4292" spans="1:5" x14ac:dyDescent="0.25">
      <c r="A4292" s="274"/>
      <c r="B4292" s="498"/>
      <c r="C4292" s="287"/>
      <c r="D4292" s="288"/>
      <c r="E4292" s="288"/>
    </row>
    <row r="4293" spans="1:5" x14ac:dyDescent="0.25">
      <c r="A4293" s="274"/>
      <c r="B4293" s="498"/>
      <c r="C4293" s="287"/>
      <c r="D4293" s="288"/>
      <c r="E4293" s="288"/>
    </row>
    <row r="4294" spans="1:5" x14ac:dyDescent="0.25">
      <c r="A4294" s="274"/>
      <c r="B4294" s="498"/>
      <c r="C4294" s="287"/>
      <c r="D4294" s="288"/>
      <c r="E4294" s="288"/>
    </row>
    <row r="4295" spans="1:5" x14ac:dyDescent="0.25">
      <c r="A4295" s="274"/>
      <c r="B4295" s="498"/>
      <c r="C4295" s="287"/>
      <c r="D4295" s="288"/>
      <c r="E4295" s="288"/>
    </row>
    <row r="4296" spans="1:5" x14ac:dyDescent="0.25">
      <c r="A4296" s="274"/>
      <c r="B4296" s="498"/>
      <c r="C4296" s="287"/>
      <c r="D4296" s="288"/>
      <c r="E4296" s="288"/>
    </row>
    <row r="4297" spans="1:5" x14ac:dyDescent="0.25">
      <c r="A4297" s="274"/>
      <c r="B4297" s="498"/>
      <c r="C4297" s="287"/>
      <c r="D4297" s="288"/>
      <c r="E4297" s="288"/>
    </row>
    <row r="4298" spans="1:5" x14ac:dyDescent="0.25">
      <c r="A4298" s="274"/>
      <c r="B4298" s="498"/>
      <c r="C4298" s="287"/>
      <c r="D4298" s="288"/>
      <c r="E4298" s="288"/>
    </row>
    <row r="4299" spans="1:5" x14ac:dyDescent="0.25">
      <c r="A4299" s="274"/>
      <c r="B4299" s="498"/>
      <c r="C4299" s="287"/>
      <c r="D4299" s="288"/>
      <c r="E4299" s="288"/>
    </row>
    <row r="4300" spans="1:5" x14ac:dyDescent="0.25">
      <c r="A4300" s="274"/>
      <c r="B4300" s="498"/>
      <c r="C4300" s="287"/>
      <c r="D4300" s="288"/>
      <c r="E4300" s="288"/>
    </row>
    <row r="4301" spans="1:5" x14ac:dyDescent="0.25">
      <c r="A4301" s="274"/>
      <c r="B4301" s="498"/>
      <c r="C4301" s="287"/>
      <c r="D4301" s="288"/>
      <c r="E4301" s="288"/>
    </row>
    <row r="4302" spans="1:5" x14ac:dyDescent="0.25">
      <c r="A4302" s="274"/>
      <c r="B4302" s="498"/>
      <c r="C4302" s="287"/>
      <c r="D4302" s="288"/>
      <c r="E4302" s="288"/>
    </row>
    <row r="4303" spans="1:5" x14ac:dyDescent="0.25">
      <c r="A4303" s="274"/>
      <c r="B4303" s="498"/>
      <c r="C4303" s="287"/>
      <c r="D4303" s="288"/>
      <c r="E4303" s="288"/>
    </row>
    <row r="4304" spans="1:5" x14ac:dyDescent="0.25">
      <c r="A4304" s="274"/>
      <c r="B4304" s="498"/>
      <c r="C4304" s="287"/>
      <c r="D4304" s="288"/>
      <c r="E4304" s="288"/>
    </row>
    <row r="4305" spans="1:5" x14ac:dyDescent="0.25">
      <c r="A4305" s="274"/>
      <c r="B4305" s="498"/>
      <c r="C4305" s="287"/>
      <c r="D4305" s="288"/>
      <c r="E4305" s="288"/>
    </row>
    <row r="4306" spans="1:5" x14ac:dyDescent="0.25">
      <c r="A4306" s="274"/>
      <c r="B4306" s="498"/>
      <c r="C4306" s="287"/>
      <c r="D4306" s="288"/>
      <c r="E4306" s="288"/>
    </row>
    <row r="4307" spans="1:5" x14ac:dyDescent="0.25">
      <c r="A4307" s="274"/>
      <c r="B4307" s="498"/>
      <c r="C4307" s="287"/>
      <c r="D4307" s="288"/>
      <c r="E4307" s="288"/>
    </row>
    <row r="4308" spans="1:5" x14ac:dyDescent="0.25">
      <c r="A4308" s="274"/>
      <c r="B4308" s="498"/>
      <c r="C4308" s="287"/>
      <c r="D4308" s="288"/>
      <c r="E4308" s="288"/>
    </row>
    <row r="4309" spans="1:5" x14ac:dyDescent="0.25">
      <c r="A4309" s="274"/>
      <c r="B4309" s="498"/>
      <c r="C4309" s="287"/>
      <c r="D4309" s="288"/>
      <c r="E4309" s="288"/>
    </row>
    <row r="4310" spans="1:5" x14ac:dyDescent="0.25">
      <c r="A4310" s="274"/>
      <c r="B4310" s="498"/>
      <c r="C4310" s="287"/>
      <c r="D4310" s="288"/>
      <c r="E4310" s="288"/>
    </row>
    <row r="4311" spans="1:5" x14ac:dyDescent="0.25">
      <c r="A4311" s="274"/>
      <c r="B4311" s="498"/>
      <c r="C4311" s="287"/>
      <c r="D4311" s="288"/>
      <c r="E4311" s="288"/>
    </row>
    <row r="4312" spans="1:5" x14ac:dyDescent="0.25">
      <c r="A4312" s="274"/>
      <c r="B4312" s="498"/>
      <c r="C4312" s="287"/>
      <c r="D4312" s="288"/>
      <c r="E4312" s="288"/>
    </row>
    <row r="4313" spans="1:5" x14ac:dyDescent="0.25">
      <c r="A4313" s="274"/>
      <c r="B4313" s="498"/>
      <c r="C4313" s="287"/>
      <c r="D4313" s="288"/>
      <c r="E4313" s="288"/>
    </row>
    <row r="4314" spans="1:5" x14ac:dyDescent="0.25">
      <c r="A4314" s="274"/>
      <c r="B4314" s="498"/>
      <c r="C4314" s="287"/>
      <c r="D4314" s="288"/>
      <c r="E4314" s="288"/>
    </row>
    <row r="4315" spans="1:5" x14ac:dyDescent="0.25">
      <c r="A4315" s="274"/>
      <c r="B4315" s="498"/>
      <c r="C4315" s="287"/>
      <c r="D4315" s="288"/>
      <c r="E4315" s="288"/>
    </row>
    <row r="4316" spans="1:5" x14ac:dyDescent="0.25">
      <c r="A4316" s="274"/>
      <c r="B4316" s="498"/>
      <c r="C4316" s="287"/>
      <c r="D4316" s="288"/>
      <c r="E4316" s="288"/>
    </row>
    <row r="4317" spans="1:5" x14ac:dyDescent="0.25">
      <c r="A4317" s="274"/>
      <c r="B4317" s="498"/>
      <c r="C4317" s="287"/>
      <c r="D4317" s="288"/>
      <c r="E4317" s="288"/>
    </row>
    <row r="4318" spans="1:5" x14ac:dyDescent="0.25">
      <c r="A4318" s="274"/>
      <c r="B4318" s="498"/>
      <c r="C4318" s="287"/>
      <c r="D4318" s="288"/>
      <c r="E4318" s="288"/>
    </row>
    <row r="4319" spans="1:5" x14ac:dyDescent="0.25">
      <c r="A4319" s="274"/>
      <c r="B4319" s="498"/>
      <c r="C4319" s="287"/>
      <c r="D4319" s="288"/>
      <c r="E4319" s="288"/>
    </row>
    <row r="4320" spans="1:5" x14ac:dyDescent="0.25">
      <c r="A4320" s="274"/>
      <c r="B4320" s="498"/>
      <c r="C4320" s="287"/>
      <c r="D4320" s="288"/>
      <c r="E4320" s="288"/>
    </row>
    <row r="4321" spans="1:5" x14ac:dyDescent="0.25">
      <c r="A4321" s="274"/>
      <c r="B4321" s="498"/>
      <c r="C4321" s="287"/>
      <c r="D4321" s="288"/>
      <c r="E4321" s="288"/>
    </row>
    <row r="4322" spans="1:5" x14ac:dyDescent="0.25">
      <c r="A4322" s="274"/>
      <c r="B4322" s="498"/>
      <c r="C4322" s="287"/>
      <c r="D4322" s="288"/>
      <c r="E4322" s="288"/>
    </row>
    <row r="4323" spans="1:5" x14ac:dyDescent="0.25">
      <c r="A4323" s="274"/>
      <c r="B4323" s="498"/>
      <c r="C4323" s="287"/>
      <c r="D4323" s="288"/>
      <c r="E4323" s="288"/>
    </row>
    <row r="4324" spans="1:5" x14ac:dyDescent="0.25">
      <c r="A4324" s="274"/>
      <c r="B4324" s="498"/>
      <c r="C4324" s="287"/>
      <c r="D4324" s="288"/>
      <c r="E4324" s="288"/>
    </row>
    <row r="4325" spans="1:5" x14ac:dyDescent="0.25">
      <c r="A4325" s="274"/>
      <c r="B4325" s="498"/>
      <c r="C4325" s="287"/>
      <c r="D4325" s="288"/>
      <c r="E4325" s="288"/>
    </row>
    <row r="4326" spans="1:5" x14ac:dyDescent="0.25">
      <c r="A4326" s="274"/>
      <c r="B4326" s="498"/>
      <c r="C4326" s="287"/>
      <c r="D4326" s="288"/>
      <c r="E4326" s="288"/>
    </row>
    <row r="4327" spans="1:5" x14ac:dyDescent="0.25">
      <c r="A4327" s="274"/>
      <c r="B4327" s="498"/>
      <c r="C4327" s="287"/>
      <c r="D4327" s="288"/>
      <c r="E4327" s="288"/>
    </row>
    <row r="4328" spans="1:5" x14ac:dyDescent="0.25">
      <c r="A4328" s="274"/>
      <c r="B4328" s="498"/>
      <c r="C4328" s="287"/>
      <c r="D4328" s="288"/>
      <c r="E4328" s="288"/>
    </row>
    <row r="4329" spans="1:5" x14ac:dyDescent="0.25">
      <c r="A4329" s="274"/>
      <c r="B4329" s="498"/>
      <c r="C4329" s="287"/>
      <c r="D4329" s="288"/>
      <c r="E4329" s="288"/>
    </row>
    <row r="4330" spans="1:5" x14ac:dyDescent="0.25">
      <c r="A4330" s="274"/>
      <c r="B4330" s="498"/>
      <c r="C4330" s="287"/>
      <c r="D4330" s="288"/>
      <c r="E4330" s="288"/>
    </row>
    <row r="4331" spans="1:5" x14ac:dyDescent="0.25">
      <c r="A4331" s="274"/>
      <c r="B4331" s="498"/>
      <c r="C4331" s="287"/>
      <c r="D4331" s="288"/>
      <c r="E4331" s="288"/>
    </row>
    <row r="4332" spans="1:5" x14ac:dyDescent="0.25">
      <c r="A4332" s="274"/>
      <c r="B4332" s="498"/>
      <c r="C4332" s="287"/>
      <c r="D4332" s="288"/>
      <c r="E4332" s="288"/>
    </row>
    <row r="4333" spans="1:5" x14ac:dyDescent="0.25">
      <c r="A4333" s="274"/>
      <c r="B4333" s="498"/>
      <c r="C4333" s="287"/>
      <c r="D4333" s="288"/>
      <c r="E4333" s="288"/>
    </row>
    <row r="4334" spans="1:5" x14ac:dyDescent="0.25">
      <c r="A4334" s="274"/>
      <c r="B4334" s="498"/>
      <c r="C4334" s="287"/>
      <c r="D4334" s="288"/>
      <c r="E4334" s="288"/>
    </row>
    <row r="4335" spans="1:5" x14ac:dyDescent="0.25">
      <c r="A4335" s="274"/>
      <c r="B4335" s="498"/>
      <c r="C4335" s="287"/>
      <c r="D4335" s="288"/>
      <c r="E4335" s="288"/>
    </row>
    <row r="4336" spans="1:5" x14ac:dyDescent="0.25">
      <c r="A4336" s="274"/>
      <c r="B4336" s="498"/>
      <c r="C4336" s="287"/>
      <c r="D4336" s="288"/>
      <c r="E4336" s="288"/>
    </row>
    <row r="4337" spans="1:5" x14ac:dyDescent="0.25">
      <c r="A4337" s="274"/>
      <c r="B4337" s="498"/>
      <c r="C4337" s="287"/>
      <c r="D4337" s="288"/>
      <c r="E4337" s="288"/>
    </row>
    <row r="4338" spans="1:5" x14ac:dyDescent="0.25">
      <c r="A4338" s="274"/>
      <c r="B4338" s="498"/>
      <c r="C4338" s="287"/>
      <c r="D4338" s="288"/>
      <c r="E4338" s="288"/>
    </row>
    <row r="4339" spans="1:5" x14ac:dyDescent="0.25">
      <c r="A4339" s="274"/>
      <c r="B4339" s="498"/>
      <c r="C4339" s="287"/>
      <c r="D4339" s="288"/>
      <c r="E4339" s="288"/>
    </row>
    <row r="4340" spans="1:5" x14ac:dyDescent="0.25">
      <c r="A4340" s="274"/>
      <c r="B4340" s="498"/>
      <c r="C4340" s="287"/>
      <c r="D4340" s="288"/>
      <c r="E4340" s="288"/>
    </row>
    <row r="4341" spans="1:5" x14ac:dyDescent="0.25">
      <c r="A4341" s="274"/>
      <c r="B4341" s="498"/>
      <c r="C4341" s="287"/>
      <c r="D4341" s="288"/>
      <c r="E4341" s="288"/>
    </row>
    <row r="4342" spans="1:5" x14ac:dyDescent="0.25">
      <c r="A4342" s="274"/>
      <c r="B4342" s="498"/>
      <c r="C4342" s="287"/>
      <c r="D4342" s="288"/>
      <c r="E4342" s="288"/>
    </row>
    <row r="4343" spans="1:5" x14ac:dyDescent="0.25">
      <c r="A4343" s="274"/>
      <c r="B4343" s="498"/>
      <c r="C4343" s="287"/>
      <c r="D4343" s="288"/>
      <c r="E4343" s="288"/>
    </row>
    <row r="4344" spans="1:5" x14ac:dyDescent="0.25">
      <c r="A4344" s="274"/>
      <c r="B4344" s="498"/>
      <c r="C4344" s="287"/>
      <c r="D4344" s="288"/>
      <c r="E4344" s="288"/>
    </row>
    <row r="4345" spans="1:5" x14ac:dyDescent="0.25">
      <c r="A4345" s="274"/>
      <c r="B4345" s="498"/>
      <c r="C4345" s="287"/>
      <c r="D4345" s="288"/>
      <c r="E4345" s="288"/>
    </row>
    <row r="4346" spans="1:5" x14ac:dyDescent="0.25">
      <c r="A4346" s="274"/>
      <c r="B4346" s="498"/>
      <c r="C4346" s="287"/>
      <c r="D4346" s="288"/>
      <c r="E4346" s="288"/>
    </row>
    <row r="4347" spans="1:5" x14ac:dyDescent="0.25">
      <c r="A4347" s="274"/>
      <c r="B4347" s="498"/>
      <c r="C4347" s="287"/>
      <c r="D4347" s="288"/>
      <c r="E4347" s="288"/>
    </row>
    <row r="4348" spans="1:5" x14ac:dyDescent="0.25">
      <c r="A4348" s="274"/>
      <c r="B4348" s="498"/>
      <c r="C4348" s="287"/>
      <c r="D4348" s="288"/>
      <c r="E4348" s="288"/>
    </row>
    <row r="4349" spans="1:5" x14ac:dyDescent="0.25">
      <c r="A4349" s="274"/>
      <c r="B4349" s="498"/>
      <c r="C4349" s="287"/>
      <c r="D4349" s="288"/>
      <c r="E4349" s="288"/>
    </row>
    <row r="4350" spans="1:5" x14ac:dyDescent="0.25">
      <c r="A4350" s="274"/>
      <c r="B4350" s="498"/>
      <c r="C4350" s="287"/>
      <c r="D4350" s="288"/>
      <c r="E4350" s="288"/>
    </row>
    <row r="4351" spans="1:5" x14ac:dyDescent="0.25">
      <c r="A4351" s="274"/>
      <c r="B4351" s="498"/>
      <c r="C4351" s="287"/>
      <c r="D4351" s="288"/>
      <c r="E4351" s="288"/>
    </row>
    <row r="4352" spans="1:5" x14ac:dyDescent="0.25">
      <c r="A4352" s="274"/>
      <c r="B4352" s="498"/>
      <c r="C4352" s="287"/>
      <c r="D4352" s="288"/>
      <c r="E4352" s="288"/>
    </row>
    <row r="4353" spans="1:5" x14ac:dyDescent="0.25">
      <c r="A4353" s="274"/>
      <c r="B4353" s="498"/>
      <c r="C4353" s="287"/>
      <c r="D4353" s="288"/>
      <c r="E4353" s="288"/>
    </row>
    <row r="4354" spans="1:5" x14ac:dyDescent="0.25">
      <c r="A4354" s="274"/>
      <c r="B4354" s="498"/>
      <c r="C4354" s="287"/>
      <c r="D4354" s="288"/>
      <c r="E4354" s="288"/>
    </row>
    <row r="4355" spans="1:5" x14ac:dyDescent="0.25">
      <c r="A4355" s="274"/>
      <c r="B4355" s="498"/>
      <c r="C4355" s="287"/>
      <c r="D4355" s="288"/>
      <c r="E4355" s="288"/>
    </row>
    <row r="4356" spans="1:5" x14ac:dyDescent="0.25">
      <c r="A4356" s="274"/>
      <c r="B4356" s="498"/>
      <c r="C4356" s="287"/>
      <c r="D4356" s="288"/>
      <c r="E4356" s="288"/>
    </row>
    <row r="4357" spans="1:5" x14ac:dyDescent="0.25">
      <c r="A4357" s="274"/>
      <c r="B4357" s="498"/>
      <c r="C4357" s="287"/>
      <c r="D4357" s="288"/>
      <c r="E4357" s="288"/>
    </row>
    <row r="4358" spans="1:5" x14ac:dyDescent="0.25">
      <c r="A4358" s="274"/>
      <c r="B4358" s="498"/>
      <c r="C4358" s="287"/>
      <c r="D4358" s="288"/>
      <c r="E4358" s="288"/>
    </row>
    <row r="4359" spans="1:5" x14ac:dyDescent="0.25">
      <c r="A4359" s="274"/>
      <c r="B4359" s="498"/>
      <c r="C4359" s="287"/>
      <c r="D4359" s="288"/>
      <c r="E4359" s="288"/>
    </row>
    <row r="4360" spans="1:5" x14ac:dyDescent="0.25">
      <c r="A4360" s="274"/>
      <c r="B4360" s="498"/>
      <c r="C4360" s="287"/>
      <c r="D4360" s="288"/>
      <c r="E4360" s="288"/>
    </row>
    <row r="4361" spans="1:5" x14ac:dyDescent="0.25">
      <c r="A4361" s="274"/>
      <c r="B4361" s="498"/>
      <c r="C4361" s="287"/>
      <c r="D4361" s="288"/>
      <c r="E4361" s="288"/>
    </row>
    <row r="4362" spans="1:5" x14ac:dyDescent="0.25">
      <c r="A4362" s="274"/>
      <c r="B4362" s="498"/>
      <c r="C4362" s="287"/>
      <c r="D4362" s="288"/>
      <c r="E4362" s="288"/>
    </row>
    <row r="4363" spans="1:5" x14ac:dyDescent="0.25">
      <c r="A4363" s="274"/>
      <c r="B4363" s="498"/>
      <c r="C4363" s="287"/>
      <c r="D4363" s="288"/>
      <c r="E4363" s="288"/>
    </row>
    <row r="4364" spans="1:5" x14ac:dyDescent="0.25">
      <c r="A4364" s="274"/>
      <c r="B4364" s="498"/>
      <c r="C4364" s="287"/>
      <c r="D4364" s="288"/>
      <c r="E4364" s="288"/>
    </row>
    <row r="4365" spans="1:5" x14ac:dyDescent="0.25">
      <c r="A4365" s="274"/>
      <c r="B4365" s="498"/>
      <c r="C4365" s="287"/>
      <c r="D4365" s="288"/>
      <c r="E4365" s="288"/>
    </row>
    <row r="4366" spans="1:5" x14ac:dyDescent="0.25">
      <c r="A4366" s="274"/>
      <c r="B4366" s="498"/>
      <c r="C4366" s="287"/>
      <c r="D4366" s="288"/>
      <c r="E4366" s="288"/>
    </row>
    <row r="4367" spans="1:5" x14ac:dyDescent="0.25">
      <c r="A4367" s="274"/>
      <c r="B4367" s="498"/>
      <c r="C4367" s="287"/>
      <c r="D4367" s="288"/>
      <c r="E4367" s="288"/>
    </row>
    <row r="4368" spans="1:5" x14ac:dyDescent="0.25">
      <c r="A4368" s="274"/>
      <c r="B4368" s="498"/>
      <c r="C4368" s="287"/>
      <c r="D4368" s="288"/>
      <c r="E4368" s="288"/>
    </row>
    <row r="4369" spans="1:5" x14ac:dyDescent="0.25">
      <c r="A4369" s="274"/>
      <c r="B4369" s="498"/>
      <c r="C4369" s="287"/>
      <c r="D4369" s="288"/>
      <c r="E4369" s="288"/>
    </row>
    <row r="4370" spans="1:5" x14ac:dyDescent="0.25">
      <c r="A4370" s="274"/>
      <c r="B4370" s="498"/>
      <c r="C4370" s="287"/>
      <c r="D4370" s="288"/>
      <c r="E4370" s="288"/>
    </row>
    <row r="4371" spans="1:5" x14ac:dyDescent="0.25">
      <c r="A4371" s="274"/>
      <c r="B4371" s="498"/>
      <c r="C4371" s="287"/>
      <c r="D4371" s="288"/>
      <c r="E4371" s="288"/>
    </row>
    <row r="4372" spans="1:5" x14ac:dyDescent="0.25">
      <c r="A4372" s="274"/>
      <c r="B4372" s="498"/>
      <c r="C4372" s="287"/>
      <c r="D4372" s="288"/>
      <c r="E4372" s="288"/>
    </row>
    <row r="4373" spans="1:5" x14ac:dyDescent="0.25">
      <c r="A4373" s="274"/>
      <c r="B4373" s="498"/>
      <c r="C4373" s="287"/>
      <c r="D4373" s="288"/>
      <c r="E4373" s="288"/>
    </row>
    <row r="4374" spans="1:5" x14ac:dyDescent="0.25">
      <c r="A4374" s="274"/>
      <c r="B4374" s="498"/>
      <c r="C4374" s="287"/>
      <c r="D4374" s="288"/>
      <c r="E4374" s="288"/>
    </row>
    <row r="4375" spans="1:5" x14ac:dyDescent="0.25">
      <c r="A4375" s="274"/>
      <c r="B4375" s="498"/>
      <c r="C4375" s="287"/>
      <c r="D4375" s="288"/>
      <c r="E4375" s="288"/>
    </row>
    <row r="4376" spans="1:5" x14ac:dyDescent="0.25">
      <c r="A4376" s="274"/>
      <c r="B4376" s="498"/>
      <c r="C4376" s="287"/>
      <c r="D4376" s="288"/>
      <c r="E4376" s="288"/>
    </row>
    <row r="4377" spans="1:5" x14ac:dyDescent="0.25">
      <c r="A4377" s="274"/>
      <c r="B4377" s="498"/>
      <c r="C4377" s="287"/>
      <c r="D4377" s="288"/>
      <c r="E4377" s="288"/>
    </row>
    <row r="4378" spans="1:5" x14ac:dyDescent="0.25">
      <c r="A4378" s="274"/>
      <c r="B4378" s="498"/>
      <c r="C4378" s="287"/>
      <c r="D4378" s="288"/>
      <c r="E4378" s="288"/>
    </row>
    <row r="4379" spans="1:5" x14ac:dyDescent="0.25">
      <c r="A4379" s="274"/>
      <c r="B4379" s="498"/>
      <c r="C4379" s="287"/>
      <c r="D4379" s="288"/>
      <c r="E4379" s="288"/>
    </row>
    <row r="4380" spans="1:5" x14ac:dyDescent="0.25">
      <c r="A4380" s="274"/>
      <c r="B4380" s="498"/>
      <c r="C4380" s="287"/>
      <c r="D4380" s="288"/>
      <c r="E4380" s="288"/>
    </row>
    <row r="4381" spans="1:5" x14ac:dyDescent="0.25">
      <c r="A4381" s="274"/>
      <c r="B4381" s="498"/>
      <c r="C4381" s="287"/>
      <c r="D4381" s="288"/>
      <c r="E4381" s="288"/>
    </row>
    <row r="4382" spans="1:5" x14ac:dyDescent="0.25">
      <c r="A4382" s="274"/>
      <c r="B4382" s="498"/>
      <c r="C4382" s="287"/>
      <c r="D4382" s="288"/>
      <c r="E4382" s="288"/>
    </row>
    <row r="4383" spans="1:5" x14ac:dyDescent="0.25">
      <c r="A4383" s="274"/>
      <c r="B4383" s="498"/>
      <c r="C4383" s="287"/>
      <c r="D4383" s="288"/>
      <c r="E4383" s="288"/>
    </row>
    <row r="4384" spans="1:5" x14ac:dyDescent="0.25">
      <c r="A4384" s="274"/>
      <c r="B4384" s="498"/>
      <c r="C4384" s="287"/>
      <c r="D4384" s="288"/>
      <c r="E4384" s="288"/>
    </row>
    <row r="4385" spans="1:5" x14ac:dyDescent="0.25">
      <c r="A4385" s="274"/>
      <c r="B4385" s="498"/>
      <c r="C4385" s="287"/>
      <c r="D4385" s="288"/>
      <c r="E4385" s="288"/>
    </row>
    <row r="4386" spans="1:5" x14ac:dyDescent="0.25">
      <c r="A4386" s="274"/>
      <c r="B4386" s="498"/>
      <c r="C4386" s="287"/>
      <c r="D4386" s="288"/>
      <c r="E4386" s="288"/>
    </row>
    <row r="4387" spans="1:5" x14ac:dyDescent="0.25">
      <c r="A4387" s="274"/>
      <c r="B4387" s="498"/>
      <c r="C4387" s="287"/>
      <c r="D4387" s="288"/>
      <c r="E4387" s="288"/>
    </row>
    <row r="4388" spans="1:5" x14ac:dyDescent="0.25">
      <c r="A4388" s="274"/>
      <c r="B4388" s="498"/>
      <c r="C4388" s="287"/>
      <c r="D4388" s="288"/>
      <c r="E4388" s="288"/>
    </row>
    <row r="4389" spans="1:5" x14ac:dyDescent="0.25">
      <c r="A4389" s="274"/>
      <c r="B4389" s="498"/>
      <c r="C4389" s="287"/>
      <c r="D4389" s="288"/>
      <c r="E4389" s="288"/>
    </row>
    <row r="4390" spans="1:5" x14ac:dyDescent="0.25">
      <c r="A4390" s="274"/>
      <c r="B4390" s="498"/>
      <c r="C4390" s="287"/>
      <c r="D4390" s="288"/>
      <c r="E4390" s="288"/>
    </row>
    <row r="4391" spans="1:5" x14ac:dyDescent="0.25">
      <c r="A4391" s="274"/>
      <c r="B4391" s="498"/>
      <c r="C4391" s="287"/>
      <c r="D4391" s="288"/>
      <c r="E4391" s="288"/>
    </row>
    <row r="4392" spans="1:5" x14ac:dyDescent="0.25">
      <c r="A4392" s="274"/>
      <c r="B4392" s="498"/>
      <c r="C4392" s="287"/>
      <c r="D4392" s="288"/>
      <c r="E4392" s="288"/>
    </row>
    <row r="4393" spans="1:5" x14ac:dyDescent="0.25">
      <c r="A4393" s="274"/>
      <c r="B4393" s="498"/>
      <c r="C4393" s="287"/>
      <c r="D4393" s="288"/>
      <c r="E4393" s="288"/>
    </row>
    <row r="4394" spans="1:5" x14ac:dyDescent="0.25">
      <c r="A4394" s="274"/>
      <c r="B4394" s="498"/>
      <c r="C4394" s="287"/>
      <c r="D4394" s="288"/>
      <c r="E4394" s="288"/>
    </row>
    <row r="4395" spans="1:5" x14ac:dyDescent="0.25">
      <c r="A4395" s="274"/>
      <c r="B4395" s="498"/>
      <c r="C4395" s="287"/>
      <c r="D4395" s="288"/>
      <c r="E4395" s="288"/>
    </row>
    <row r="4396" spans="1:5" x14ac:dyDescent="0.25">
      <c r="A4396" s="274"/>
      <c r="B4396" s="498"/>
      <c r="C4396" s="287"/>
      <c r="D4396" s="288"/>
      <c r="E4396" s="288"/>
    </row>
    <row r="4397" spans="1:5" x14ac:dyDescent="0.25">
      <c r="A4397" s="274"/>
      <c r="B4397" s="498"/>
      <c r="C4397" s="287"/>
      <c r="D4397" s="288"/>
      <c r="E4397" s="288"/>
    </row>
    <row r="4398" spans="1:5" x14ac:dyDescent="0.25">
      <c r="A4398" s="274"/>
      <c r="B4398" s="498"/>
      <c r="C4398" s="287"/>
      <c r="D4398" s="288"/>
      <c r="E4398" s="288"/>
    </row>
    <row r="4399" spans="1:5" x14ac:dyDescent="0.25">
      <c r="A4399" s="274"/>
      <c r="B4399" s="498"/>
      <c r="C4399" s="287"/>
      <c r="D4399" s="288"/>
      <c r="E4399" s="288"/>
    </row>
    <row r="4400" spans="1:5" x14ac:dyDescent="0.25">
      <c r="A4400" s="274"/>
      <c r="B4400" s="498"/>
      <c r="C4400" s="287"/>
      <c r="D4400" s="288"/>
      <c r="E4400" s="288"/>
    </row>
    <row r="4401" spans="1:5" x14ac:dyDescent="0.25">
      <c r="A4401" s="274"/>
      <c r="B4401" s="498"/>
      <c r="C4401" s="287"/>
      <c r="D4401" s="288"/>
      <c r="E4401" s="288"/>
    </row>
    <row r="4402" spans="1:5" x14ac:dyDescent="0.25">
      <c r="A4402" s="274"/>
      <c r="B4402" s="498"/>
      <c r="C4402" s="287"/>
      <c r="D4402" s="288"/>
      <c r="E4402" s="288"/>
    </row>
    <row r="4403" spans="1:5" x14ac:dyDescent="0.25">
      <c r="A4403" s="274"/>
      <c r="B4403" s="498"/>
      <c r="C4403" s="287"/>
      <c r="D4403" s="288"/>
      <c r="E4403" s="288"/>
    </row>
    <row r="4404" spans="1:5" x14ac:dyDescent="0.25">
      <c r="A4404" s="274"/>
      <c r="B4404" s="498"/>
      <c r="C4404" s="287"/>
      <c r="D4404" s="288"/>
      <c r="E4404" s="288"/>
    </row>
    <row r="4405" spans="1:5" x14ac:dyDescent="0.25">
      <c r="A4405" s="274"/>
      <c r="B4405" s="498"/>
      <c r="C4405" s="287"/>
      <c r="D4405" s="288"/>
      <c r="E4405" s="288"/>
    </row>
    <row r="4406" spans="1:5" x14ac:dyDescent="0.25">
      <c r="A4406" s="274"/>
      <c r="B4406" s="498"/>
      <c r="C4406" s="287"/>
      <c r="D4406" s="288"/>
      <c r="E4406" s="288"/>
    </row>
    <row r="4407" spans="1:5" x14ac:dyDescent="0.25">
      <c r="A4407" s="274"/>
      <c r="B4407" s="498"/>
      <c r="C4407" s="287"/>
      <c r="D4407" s="288"/>
      <c r="E4407" s="288"/>
    </row>
    <row r="4408" spans="1:5" x14ac:dyDescent="0.25">
      <c r="A4408" s="274"/>
      <c r="B4408" s="498"/>
      <c r="C4408" s="287"/>
      <c r="D4408" s="288"/>
      <c r="E4408" s="288"/>
    </row>
    <row r="4409" spans="1:5" x14ac:dyDescent="0.25">
      <c r="A4409" s="274"/>
      <c r="B4409" s="498"/>
      <c r="C4409" s="287"/>
      <c r="D4409" s="288"/>
      <c r="E4409" s="288"/>
    </row>
    <row r="4410" spans="1:5" x14ac:dyDescent="0.25">
      <c r="A4410" s="274"/>
      <c r="B4410" s="498"/>
      <c r="C4410" s="287"/>
      <c r="D4410" s="288"/>
      <c r="E4410" s="288"/>
    </row>
    <row r="4411" spans="1:5" x14ac:dyDescent="0.25">
      <c r="A4411" s="274"/>
      <c r="B4411" s="498"/>
      <c r="C4411" s="287"/>
      <c r="D4411" s="288"/>
      <c r="E4411" s="288"/>
    </row>
    <row r="4412" spans="1:5" x14ac:dyDescent="0.25">
      <c r="A4412" s="274"/>
      <c r="B4412" s="498"/>
      <c r="C4412" s="287"/>
      <c r="D4412" s="288"/>
      <c r="E4412" s="288"/>
    </row>
    <row r="4413" spans="1:5" x14ac:dyDescent="0.25">
      <c r="A4413" s="274"/>
      <c r="B4413" s="498"/>
      <c r="C4413" s="287"/>
      <c r="D4413" s="288"/>
      <c r="E4413" s="288"/>
    </row>
    <row r="4414" spans="1:5" x14ac:dyDescent="0.25">
      <c r="A4414" s="274"/>
      <c r="B4414" s="498"/>
      <c r="C4414" s="287"/>
      <c r="D4414" s="288"/>
      <c r="E4414" s="288"/>
    </row>
    <row r="4415" spans="1:5" x14ac:dyDescent="0.25">
      <c r="A4415" s="274"/>
      <c r="B4415" s="498"/>
      <c r="C4415" s="287"/>
      <c r="D4415" s="288"/>
      <c r="E4415" s="288"/>
    </row>
    <row r="4416" spans="1:5" x14ac:dyDescent="0.25">
      <c r="A4416" s="274"/>
      <c r="B4416" s="498"/>
      <c r="C4416" s="287"/>
      <c r="D4416" s="288"/>
      <c r="E4416" s="288"/>
    </row>
    <row r="4417" spans="1:5" x14ac:dyDescent="0.25">
      <c r="A4417" s="274"/>
      <c r="B4417" s="498"/>
      <c r="C4417" s="287"/>
      <c r="D4417" s="288"/>
      <c r="E4417" s="288"/>
    </row>
    <row r="4418" spans="1:5" x14ac:dyDescent="0.25">
      <c r="A4418" s="274"/>
      <c r="B4418" s="498"/>
      <c r="C4418" s="287"/>
      <c r="D4418" s="288"/>
      <c r="E4418" s="288"/>
    </row>
    <row r="4419" spans="1:5" x14ac:dyDescent="0.25">
      <c r="A4419" s="274"/>
      <c r="B4419" s="498"/>
      <c r="C4419" s="287"/>
      <c r="D4419" s="288"/>
      <c r="E4419" s="288"/>
    </row>
    <row r="4420" spans="1:5" x14ac:dyDescent="0.25">
      <c r="A4420" s="274"/>
      <c r="B4420" s="498"/>
      <c r="C4420" s="287"/>
      <c r="D4420" s="288"/>
      <c r="E4420" s="288"/>
    </row>
    <row r="4421" spans="1:5" x14ac:dyDescent="0.25">
      <c r="A4421" s="274"/>
      <c r="B4421" s="498"/>
      <c r="C4421" s="287"/>
      <c r="D4421" s="288"/>
      <c r="E4421" s="288"/>
    </row>
    <row r="4422" spans="1:5" x14ac:dyDescent="0.25">
      <c r="A4422" s="274"/>
      <c r="B4422" s="498"/>
      <c r="C4422" s="287"/>
      <c r="D4422" s="288"/>
      <c r="E4422" s="288"/>
    </row>
    <row r="4423" spans="1:5" x14ac:dyDescent="0.25">
      <c r="A4423" s="274"/>
      <c r="B4423" s="498"/>
      <c r="C4423" s="287"/>
      <c r="D4423" s="288"/>
      <c r="E4423" s="288"/>
    </row>
    <row r="4424" spans="1:5" x14ac:dyDescent="0.25">
      <c r="A4424" s="274"/>
      <c r="B4424" s="498"/>
      <c r="C4424" s="287"/>
      <c r="D4424" s="288"/>
      <c r="E4424" s="288"/>
    </row>
    <row r="4425" spans="1:5" x14ac:dyDescent="0.25">
      <c r="A4425" s="274"/>
      <c r="B4425" s="498"/>
      <c r="C4425" s="287"/>
      <c r="D4425" s="288"/>
      <c r="E4425" s="288"/>
    </row>
    <row r="4426" spans="1:5" x14ac:dyDescent="0.25">
      <c r="A4426" s="274"/>
      <c r="B4426" s="498"/>
      <c r="C4426" s="287"/>
      <c r="D4426" s="288"/>
      <c r="E4426" s="288"/>
    </row>
    <row r="4427" spans="1:5" x14ac:dyDescent="0.25">
      <c r="A4427" s="274"/>
      <c r="B4427" s="498"/>
      <c r="C4427" s="287"/>
      <c r="D4427" s="288"/>
      <c r="E4427" s="288"/>
    </row>
    <row r="4428" spans="1:5" x14ac:dyDescent="0.25">
      <c r="A4428" s="274"/>
      <c r="B4428" s="498"/>
      <c r="C4428" s="287"/>
      <c r="D4428" s="288"/>
      <c r="E4428" s="288"/>
    </row>
    <row r="4429" spans="1:5" x14ac:dyDescent="0.25">
      <c r="A4429" s="274"/>
      <c r="B4429" s="498"/>
      <c r="C4429" s="287"/>
      <c r="D4429" s="288"/>
      <c r="E4429" s="288"/>
    </row>
    <row r="4430" spans="1:5" x14ac:dyDescent="0.25">
      <c r="A4430" s="274"/>
      <c r="B4430" s="498"/>
      <c r="C4430" s="287"/>
      <c r="D4430" s="288"/>
      <c r="E4430" s="288"/>
    </row>
    <row r="4431" spans="1:5" x14ac:dyDescent="0.25">
      <c r="A4431" s="274"/>
      <c r="B4431" s="498"/>
      <c r="C4431" s="287"/>
      <c r="D4431" s="288"/>
      <c r="E4431" s="288"/>
    </row>
    <row r="4432" spans="1:5" x14ac:dyDescent="0.25">
      <c r="A4432" s="274"/>
      <c r="B4432" s="498"/>
      <c r="C4432" s="287"/>
      <c r="D4432" s="288"/>
      <c r="E4432" s="288"/>
    </row>
    <row r="4433" spans="1:5" x14ac:dyDescent="0.25">
      <c r="A4433" s="274"/>
      <c r="B4433" s="498"/>
      <c r="C4433" s="287"/>
      <c r="D4433" s="288"/>
      <c r="E4433" s="288"/>
    </row>
    <row r="4434" spans="1:5" x14ac:dyDescent="0.25">
      <c r="A4434" s="274"/>
      <c r="B4434" s="498"/>
      <c r="C4434" s="287"/>
      <c r="D4434" s="288"/>
      <c r="E4434" s="288"/>
    </row>
    <row r="4435" spans="1:5" x14ac:dyDescent="0.25">
      <c r="A4435" s="274"/>
      <c r="B4435" s="498"/>
      <c r="C4435" s="287"/>
      <c r="D4435" s="288"/>
      <c r="E4435" s="288"/>
    </row>
    <row r="4436" spans="1:5" x14ac:dyDescent="0.25">
      <c r="A4436" s="274"/>
      <c r="B4436" s="498"/>
      <c r="C4436" s="287"/>
      <c r="D4436" s="288"/>
      <c r="E4436" s="288"/>
    </row>
    <row r="4437" spans="1:5" x14ac:dyDescent="0.25">
      <c r="A4437" s="274"/>
      <c r="B4437" s="498"/>
      <c r="C4437" s="287"/>
      <c r="D4437" s="288"/>
      <c r="E4437" s="288"/>
    </row>
    <row r="4438" spans="1:5" x14ac:dyDescent="0.25">
      <c r="A4438" s="274"/>
      <c r="B4438" s="498"/>
      <c r="C4438" s="287"/>
      <c r="D4438" s="288"/>
      <c r="E4438" s="288"/>
    </row>
    <row r="4439" spans="1:5" x14ac:dyDescent="0.25">
      <c r="A4439" s="274"/>
      <c r="B4439" s="498"/>
      <c r="C4439" s="287"/>
      <c r="D4439" s="288"/>
      <c r="E4439" s="288"/>
    </row>
    <row r="4440" spans="1:5" x14ac:dyDescent="0.25">
      <c r="A4440" s="274"/>
      <c r="B4440" s="498"/>
      <c r="C4440" s="287"/>
      <c r="D4440" s="288"/>
      <c r="E4440" s="288"/>
    </row>
    <row r="4441" spans="1:5" x14ac:dyDescent="0.25">
      <c r="A4441" s="274"/>
      <c r="B4441" s="498"/>
      <c r="C4441" s="287"/>
      <c r="D4441" s="288"/>
      <c r="E4441" s="288"/>
    </row>
    <row r="4442" spans="1:5" x14ac:dyDescent="0.25">
      <c r="A4442" s="274"/>
      <c r="B4442" s="498"/>
      <c r="C4442" s="287"/>
      <c r="D4442" s="288"/>
      <c r="E4442" s="288"/>
    </row>
    <row r="4443" spans="1:5" x14ac:dyDescent="0.25">
      <c r="A4443" s="274"/>
      <c r="B4443" s="498"/>
      <c r="C4443" s="287"/>
      <c r="D4443" s="288"/>
      <c r="E4443" s="288"/>
    </row>
    <row r="4444" spans="1:5" x14ac:dyDescent="0.25">
      <c r="A4444" s="274"/>
      <c r="B4444" s="498"/>
      <c r="C4444" s="287"/>
      <c r="D4444" s="288"/>
      <c r="E4444" s="288"/>
    </row>
    <row r="4445" spans="1:5" x14ac:dyDescent="0.25">
      <c r="A4445" s="274"/>
      <c r="B4445" s="498"/>
      <c r="C4445" s="287"/>
      <c r="D4445" s="288"/>
      <c r="E4445" s="288"/>
    </row>
    <row r="4446" spans="1:5" x14ac:dyDescent="0.25">
      <c r="A4446" s="274"/>
      <c r="B4446" s="498"/>
      <c r="C4446" s="287"/>
      <c r="D4446" s="288"/>
      <c r="E4446" s="288"/>
    </row>
    <row r="4447" spans="1:5" x14ac:dyDescent="0.25">
      <c r="A4447" s="274"/>
      <c r="B4447" s="498"/>
      <c r="C4447" s="287"/>
      <c r="D4447" s="288"/>
      <c r="E4447" s="288"/>
    </row>
    <row r="4448" spans="1:5" x14ac:dyDescent="0.25">
      <c r="A4448" s="274"/>
      <c r="B4448" s="498"/>
      <c r="C4448" s="287"/>
      <c r="D4448" s="288"/>
      <c r="E4448" s="288"/>
    </row>
    <row r="4449" spans="1:5" x14ac:dyDescent="0.25">
      <c r="A4449" s="274"/>
      <c r="B4449" s="498"/>
      <c r="C4449" s="287"/>
      <c r="D4449" s="288"/>
      <c r="E4449" s="288"/>
    </row>
    <row r="4450" spans="1:5" x14ac:dyDescent="0.25">
      <c r="A4450" s="274"/>
      <c r="B4450" s="498"/>
      <c r="C4450" s="287"/>
      <c r="D4450" s="288"/>
      <c r="E4450" s="288"/>
    </row>
    <row r="4451" spans="1:5" x14ac:dyDescent="0.25">
      <c r="A4451" s="274"/>
      <c r="B4451" s="498"/>
      <c r="C4451" s="287"/>
      <c r="D4451" s="288"/>
      <c r="E4451" s="288"/>
    </row>
    <row r="4452" spans="1:5" x14ac:dyDescent="0.25">
      <c r="A4452" s="274"/>
      <c r="B4452" s="498"/>
      <c r="C4452" s="287"/>
      <c r="D4452" s="288"/>
      <c r="E4452" s="288"/>
    </row>
    <row r="4453" spans="1:5" x14ac:dyDescent="0.25">
      <c r="A4453" s="274"/>
      <c r="B4453" s="498"/>
      <c r="C4453" s="287"/>
      <c r="D4453" s="288"/>
      <c r="E4453" s="288"/>
    </row>
    <row r="4454" spans="1:5" x14ac:dyDescent="0.25">
      <c r="A4454" s="274"/>
      <c r="B4454" s="498"/>
      <c r="C4454" s="287"/>
      <c r="D4454" s="288"/>
      <c r="E4454" s="288"/>
    </row>
    <row r="4455" spans="1:5" x14ac:dyDescent="0.25">
      <c r="A4455" s="274"/>
      <c r="B4455" s="498"/>
      <c r="C4455" s="287"/>
      <c r="D4455" s="288"/>
      <c r="E4455" s="288"/>
    </row>
    <row r="4456" spans="1:5" x14ac:dyDescent="0.25">
      <c r="A4456" s="274"/>
      <c r="B4456" s="498"/>
      <c r="C4456" s="287"/>
      <c r="D4456" s="288"/>
      <c r="E4456" s="288"/>
    </row>
    <row r="4457" spans="1:5" x14ac:dyDescent="0.25">
      <c r="A4457" s="274"/>
      <c r="B4457" s="498"/>
      <c r="C4457" s="287"/>
      <c r="D4457" s="288"/>
      <c r="E4457" s="288"/>
    </row>
    <row r="4458" spans="1:5" x14ac:dyDescent="0.25">
      <c r="A4458" s="274"/>
      <c r="B4458" s="498"/>
      <c r="C4458" s="287"/>
      <c r="D4458" s="288"/>
      <c r="E4458" s="288"/>
    </row>
    <row r="4459" spans="1:5" x14ac:dyDescent="0.25">
      <c r="A4459" s="274"/>
      <c r="B4459" s="498"/>
      <c r="C4459" s="287"/>
      <c r="D4459" s="288"/>
      <c r="E4459" s="288"/>
    </row>
    <row r="4460" spans="1:5" x14ac:dyDescent="0.25">
      <c r="A4460" s="274"/>
      <c r="B4460" s="498"/>
      <c r="C4460" s="287"/>
      <c r="D4460" s="288"/>
      <c r="E4460" s="288"/>
    </row>
    <row r="4461" spans="1:5" x14ac:dyDescent="0.25">
      <c r="A4461" s="274"/>
      <c r="B4461" s="498"/>
      <c r="C4461" s="287"/>
      <c r="D4461" s="288"/>
      <c r="E4461" s="288"/>
    </row>
    <row r="4462" spans="1:5" x14ac:dyDescent="0.25">
      <c r="A4462" s="274"/>
      <c r="B4462" s="498"/>
      <c r="C4462" s="287"/>
      <c r="D4462" s="288"/>
      <c r="E4462" s="288"/>
    </row>
    <row r="4463" spans="1:5" x14ac:dyDescent="0.25">
      <c r="A4463" s="274"/>
      <c r="B4463" s="498"/>
      <c r="C4463" s="287"/>
      <c r="D4463" s="288"/>
      <c r="E4463" s="288"/>
    </row>
    <row r="4464" spans="1:5" x14ac:dyDescent="0.25">
      <c r="A4464" s="274"/>
      <c r="B4464" s="498"/>
      <c r="C4464" s="287"/>
      <c r="D4464" s="288"/>
      <c r="E4464" s="288"/>
    </row>
    <row r="4465" spans="1:5" x14ac:dyDescent="0.25">
      <c r="A4465" s="274"/>
      <c r="B4465" s="498"/>
      <c r="C4465" s="287"/>
      <c r="D4465" s="288"/>
      <c r="E4465" s="288"/>
    </row>
    <row r="4466" spans="1:5" x14ac:dyDescent="0.25">
      <c r="A4466" s="274"/>
      <c r="B4466" s="498"/>
      <c r="C4466" s="287"/>
      <c r="D4466" s="288"/>
      <c r="E4466" s="288"/>
    </row>
    <row r="4467" spans="1:5" x14ac:dyDescent="0.25">
      <c r="A4467" s="274"/>
      <c r="B4467" s="498"/>
      <c r="C4467" s="287"/>
      <c r="D4467" s="288"/>
      <c r="E4467" s="288"/>
    </row>
    <row r="4468" spans="1:5" x14ac:dyDescent="0.25">
      <c r="A4468" s="274"/>
      <c r="B4468" s="498"/>
      <c r="C4468" s="287"/>
      <c r="D4468" s="288"/>
      <c r="E4468" s="288"/>
    </row>
    <row r="4469" spans="1:5" x14ac:dyDescent="0.25">
      <c r="A4469" s="274"/>
      <c r="B4469" s="498"/>
      <c r="C4469" s="287"/>
      <c r="D4469" s="288"/>
      <c r="E4469" s="288"/>
    </row>
    <row r="4470" spans="1:5" x14ac:dyDescent="0.25">
      <c r="A4470" s="274"/>
      <c r="B4470" s="498"/>
      <c r="C4470" s="287"/>
      <c r="D4470" s="288"/>
      <c r="E4470" s="288"/>
    </row>
    <row r="4471" spans="1:5" x14ac:dyDescent="0.25">
      <c r="A4471" s="274"/>
      <c r="B4471" s="498"/>
      <c r="C4471" s="287"/>
      <c r="D4471" s="288"/>
      <c r="E4471" s="288"/>
    </row>
    <row r="4472" spans="1:5" x14ac:dyDescent="0.25">
      <c r="A4472" s="274"/>
      <c r="B4472" s="498"/>
      <c r="C4472" s="287"/>
      <c r="D4472" s="288"/>
      <c r="E4472" s="288"/>
    </row>
    <row r="4473" spans="1:5" x14ac:dyDescent="0.25">
      <c r="A4473" s="274"/>
      <c r="B4473" s="498"/>
      <c r="C4473" s="287"/>
      <c r="D4473" s="288"/>
      <c r="E4473" s="288"/>
    </row>
    <row r="4474" spans="1:5" x14ac:dyDescent="0.25">
      <c r="A4474" s="274"/>
      <c r="B4474" s="498"/>
      <c r="C4474" s="287"/>
      <c r="D4474" s="288"/>
      <c r="E4474" s="288"/>
    </row>
    <row r="4475" spans="1:5" x14ac:dyDescent="0.25">
      <c r="A4475" s="274"/>
      <c r="B4475" s="498"/>
      <c r="C4475" s="287"/>
      <c r="D4475" s="288"/>
      <c r="E4475" s="288"/>
    </row>
    <row r="4476" spans="1:5" x14ac:dyDescent="0.25">
      <c r="A4476" s="274"/>
      <c r="B4476" s="498"/>
      <c r="C4476" s="287"/>
      <c r="D4476" s="288"/>
      <c r="E4476" s="288"/>
    </row>
    <row r="4477" spans="1:5" x14ac:dyDescent="0.25">
      <c r="A4477" s="274"/>
      <c r="B4477" s="498"/>
      <c r="C4477" s="287"/>
      <c r="D4477" s="288"/>
      <c r="E4477" s="288"/>
    </row>
    <row r="4478" spans="1:5" x14ac:dyDescent="0.25">
      <c r="A4478" s="274"/>
      <c r="B4478" s="498"/>
      <c r="C4478" s="287"/>
      <c r="D4478" s="288"/>
      <c r="E4478" s="288"/>
    </row>
    <row r="4479" spans="1:5" x14ac:dyDescent="0.25">
      <c r="A4479" s="274"/>
      <c r="B4479" s="498"/>
      <c r="C4479" s="287"/>
      <c r="D4479" s="288"/>
      <c r="E4479" s="288"/>
    </row>
    <row r="4480" spans="1:5" x14ac:dyDescent="0.25">
      <c r="A4480" s="274"/>
      <c r="B4480" s="498"/>
      <c r="C4480" s="287"/>
      <c r="D4480" s="288"/>
      <c r="E4480" s="288"/>
    </row>
    <row r="4481" spans="1:5" x14ac:dyDescent="0.25">
      <c r="A4481" s="274"/>
      <c r="B4481" s="498"/>
      <c r="C4481" s="287"/>
      <c r="D4481" s="288"/>
      <c r="E4481" s="288"/>
    </row>
    <row r="4482" spans="1:5" x14ac:dyDescent="0.25">
      <c r="A4482" s="274"/>
      <c r="B4482" s="498"/>
      <c r="C4482" s="287"/>
      <c r="D4482" s="288"/>
      <c r="E4482" s="288"/>
    </row>
    <row r="4483" spans="1:5" x14ac:dyDescent="0.25">
      <c r="A4483" s="274"/>
      <c r="B4483" s="498"/>
      <c r="C4483" s="287"/>
      <c r="D4483" s="288"/>
      <c r="E4483" s="288"/>
    </row>
    <row r="4484" spans="1:5" x14ac:dyDescent="0.25">
      <c r="A4484" s="274"/>
      <c r="B4484" s="498"/>
      <c r="C4484" s="287"/>
      <c r="D4484" s="288"/>
      <c r="E4484" s="288"/>
    </row>
    <row r="4485" spans="1:5" x14ac:dyDescent="0.25">
      <c r="A4485" s="274"/>
      <c r="B4485" s="498"/>
      <c r="C4485" s="287"/>
      <c r="D4485" s="288"/>
      <c r="E4485" s="288"/>
    </row>
    <row r="4486" spans="1:5" x14ac:dyDescent="0.25">
      <c r="A4486" s="274"/>
      <c r="B4486" s="498"/>
      <c r="C4486" s="287"/>
      <c r="D4486" s="288"/>
      <c r="E4486" s="288"/>
    </row>
    <row r="4487" spans="1:5" x14ac:dyDescent="0.25">
      <c r="A4487" s="274"/>
      <c r="B4487" s="498"/>
      <c r="C4487" s="287"/>
      <c r="D4487" s="288"/>
      <c r="E4487" s="288"/>
    </row>
    <row r="4488" spans="1:5" x14ac:dyDescent="0.25">
      <c r="A4488" s="274"/>
      <c r="B4488" s="498"/>
      <c r="C4488" s="287"/>
      <c r="D4488" s="288"/>
      <c r="E4488" s="288"/>
    </row>
    <row r="4489" spans="1:5" x14ac:dyDescent="0.25">
      <c r="A4489" s="274"/>
      <c r="B4489" s="498"/>
      <c r="C4489" s="287"/>
      <c r="D4489" s="288"/>
      <c r="E4489" s="288"/>
    </row>
    <row r="4490" spans="1:5" x14ac:dyDescent="0.25">
      <c r="A4490" s="274"/>
      <c r="B4490" s="498"/>
      <c r="C4490" s="287"/>
      <c r="D4490" s="288"/>
      <c r="E4490" s="288"/>
    </row>
    <row r="4491" spans="1:5" x14ac:dyDescent="0.25">
      <c r="A4491" s="274"/>
      <c r="B4491" s="498"/>
      <c r="C4491" s="287"/>
      <c r="D4491" s="288"/>
      <c r="E4491" s="288"/>
    </row>
    <row r="4492" spans="1:5" x14ac:dyDescent="0.25">
      <c r="A4492" s="274"/>
      <c r="B4492" s="498"/>
      <c r="C4492" s="287"/>
      <c r="D4492" s="288"/>
      <c r="E4492" s="288"/>
    </row>
    <row r="4493" spans="1:5" x14ac:dyDescent="0.25">
      <c r="A4493" s="274"/>
      <c r="B4493" s="498"/>
      <c r="C4493" s="287"/>
      <c r="D4493" s="288"/>
      <c r="E4493" s="288"/>
    </row>
    <row r="4494" spans="1:5" x14ac:dyDescent="0.25">
      <c r="A4494" s="274"/>
      <c r="B4494" s="498"/>
      <c r="C4494" s="287"/>
      <c r="D4494" s="288"/>
      <c r="E4494" s="288"/>
    </row>
    <row r="4495" spans="1:5" x14ac:dyDescent="0.25">
      <c r="A4495" s="274"/>
      <c r="B4495" s="498"/>
      <c r="C4495" s="287"/>
      <c r="D4495" s="288"/>
      <c r="E4495" s="288"/>
    </row>
    <row r="4496" spans="1:5" x14ac:dyDescent="0.25">
      <c r="A4496" s="274"/>
      <c r="B4496" s="498"/>
      <c r="C4496" s="287"/>
      <c r="D4496" s="288"/>
      <c r="E4496" s="288"/>
    </row>
    <row r="4497" spans="1:5" x14ac:dyDescent="0.25">
      <c r="A4497" s="274"/>
      <c r="B4497" s="498"/>
      <c r="C4497" s="287"/>
      <c r="D4497" s="288"/>
      <c r="E4497" s="288"/>
    </row>
    <row r="4498" spans="1:5" x14ac:dyDescent="0.25">
      <c r="A4498" s="274"/>
      <c r="B4498" s="498"/>
      <c r="C4498" s="287"/>
      <c r="D4498" s="288"/>
      <c r="E4498" s="288"/>
    </row>
    <row r="4499" spans="1:5" x14ac:dyDescent="0.25">
      <c r="A4499" s="274"/>
      <c r="B4499" s="498"/>
      <c r="C4499" s="287"/>
      <c r="D4499" s="288"/>
      <c r="E4499" s="288"/>
    </row>
    <row r="4500" spans="1:5" x14ac:dyDescent="0.25">
      <c r="A4500" s="274"/>
      <c r="B4500" s="498"/>
      <c r="C4500" s="287"/>
      <c r="D4500" s="288"/>
      <c r="E4500" s="288"/>
    </row>
    <row r="4501" spans="1:5" x14ac:dyDescent="0.25">
      <c r="A4501" s="274"/>
      <c r="B4501" s="498"/>
      <c r="C4501" s="287"/>
      <c r="D4501" s="288"/>
      <c r="E4501" s="288"/>
    </row>
    <row r="4502" spans="1:5" x14ac:dyDescent="0.25">
      <c r="A4502" s="274"/>
      <c r="B4502" s="498"/>
      <c r="C4502" s="287"/>
      <c r="D4502" s="288"/>
      <c r="E4502" s="288"/>
    </row>
    <row r="4503" spans="1:5" x14ac:dyDescent="0.25">
      <c r="A4503" s="274"/>
      <c r="B4503" s="498"/>
      <c r="C4503" s="287"/>
      <c r="D4503" s="288"/>
      <c r="E4503" s="288"/>
    </row>
    <row r="4504" spans="1:5" x14ac:dyDescent="0.25">
      <c r="A4504" s="274"/>
      <c r="B4504" s="498"/>
      <c r="C4504" s="287"/>
      <c r="D4504" s="288"/>
      <c r="E4504" s="288"/>
    </row>
    <row r="4505" spans="1:5" x14ac:dyDescent="0.25">
      <c r="A4505" s="274"/>
      <c r="B4505" s="498"/>
      <c r="C4505" s="287"/>
      <c r="D4505" s="288"/>
      <c r="E4505" s="288"/>
    </row>
    <row r="4506" spans="1:5" x14ac:dyDescent="0.25">
      <c r="A4506" s="274"/>
      <c r="B4506" s="498"/>
      <c r="C4506" s="287"/>
      <c r="D4506" s="288"/>
      <c r="E4506" s="288"/>
    </row>
    <row r="4507" spans="1:5" x14ac:dyDescent="0.25">
      <c r="A4507" s="274"/>
      <c r="B4507" s="498"/>
      <c r="C4507" s="287"/>
      <c r="D4507" s="288"/>
      <c r="E4507" s="288"/>
    </row>
    <row r="4508" spans="1:5" x14ac:dyDescent="0.25">
      <c r="A4508" s="274"/>
      <c r="B4508" s="498"/>
      <c r="C4508" s="287"/>
      <c r="D4508" s="288"/>
      <c r="E4508" s="288"/>
    </row>
    <row r="4509" spans="1:5" x14ac:dyDescent="0.25">
      <c r="A4509" s="274"/>
      <c r="B4509" s="498"/>
      <c r="C4509" s="287"/>
      <c r="D4509" s="288"/>
      <c r="E4509" s="288"/>
    </row>
    <row r="4510" spans="1:5" x14ac:dyDescent="0.25">
      <c r="A4510" s="274"/>
      <c r="B4510" s="498"/>
      <c r="C4510" s="287"/>
      <c r="D4510" s="288"/>
      <c r="E4510" s="288"/>
    </row>
    <row r="4511" spans="1:5" x14ac:dyDescent="0.25">
      <c r="A4511" s="274"/>
      <c r="B4511" s="498"/>
      <c r="C4511" s="287"/>
      <c r="D4511" s="288"/>
      <c r="E4511" s="288"/>
    </row>
    <row r="4512" spans="1:5" x14ac:dyDescent="0.25">
      <c r="A4512" s="274"/>
      <c r="B4512" s="498"/>
      <c r="C4512" s="287"/>
      <c r="D4512" s="288"/>
      <c r="E4512" s="288"/>
    </row>
    <row r="4513" spans="1:5" x14ac:dyDescent="0.25">
      <c r="A4513" s="274"/>
      <c r="B4513" s="498"/>
      <c r="C4513" s="287"/>
      <c r="D4513" s="288"/>
      <c r="E4513" s="288"/>
    </row>
    <row r="4514" spans="1:5" x14ac:dyDescent="0.25">
      <c r="A4514" s="274"/>
      <c r="B4514" s="498"/>
      <c r="C4514" s="287"/>
      <c r="D4514" s="288"/>
      <c r="E4514" s="288"/>
    </row>
    <row r="4515" spans="1:5" x14ac:dyDescent="0.25">
      <c r="A4515" s="274"/>
      <c r="B4515" s="498"/>
      <c r="C4515" s="287"/>
      <c r="D4515" s="288"/>
      <c r="E4515" s="288"/>
    </row>
    <row r="4516" spans="1:5" x14ac:dyDescent="0.25">
      <c r="A4516" s="274"/>
      <c r="B4516" s="498"/>
      <c r="C4516" s="287"/>
      <c r="D4516" s="288"/>
      <c r="E4516" s="288"/>
    </row>
    <row r="4517" spans="1:5" x14ac:dyDescent="0.25">
      <c r="A4517" s="274"/>
      <c r="B4517" s="498"/>
      <c r="C4517" s="287"/>
      <c r="D4517" s="288"/>
      <c r="E4517" s="288"/>
    </row>
    <row r="4518" spans="1:5" x14ac:dyDescent="0.25">
      <c r="A4518" s="274"/>
      <c r="B4518" s="498"/>
      <c r="C4518" s="287"/>
      <c r="D4518" s="288"/>
      <c r="E4518" s="288"/>
    </row>
    <row r="4519" spans="1:5" x14ac:dyDescent="0.25">
      <c r="A4519" s="274"/>
      <c r="B4519" s="498"/>
      <c r="C4519" s="287"/>
      <c r="D4519" s="288"/>
      <c r="E4519" s="288"/>
    </row>
    <row r="4520" spans="1:5" x14ac:dyDescent="0.25">
      <c r="A4520" s="274"/>
      <c r="B4520" s="498"/>
      <c r="C4520" s="287"/>
      <c r="D4520" s="288"/>
      <c r="E4520" s="288"/>
    </row>
    <row r="4521" spans="1:5" x14ac:dyDescent="0.25">
      <c r="A4521" s="274"/>
      <c r="B4521" s="498"/>
      <c r="C4521" s="287"/>
      <c r="D4521" s="288"/>
      <c r="E4521" s="288"/>
    </row>
    <row r="4522" spans="1:5" x14ac:dyDescent="0.25">
      <c r="A4522" s="274"/>
      <c r="B4522" s="498"/>
      <c r="C4522" s="287"/>
      <c r="D4522" s="288"/>
      <c r="E4522" s="288"/>
    </row>
    <row r="4523" spans="1:5" x14ac:dyDescent="0.25">
      <c r="A4523" s="274"/>
      <c r="B4523" s="498"/>
      <c r="C4523" s="287"/>
      <c r="D4523" s="288"/>
      <c r="E4523" s="288"/>
    </row>
    <row r="4524" spans="1:5" x14ac:dyDescent="0.25">
      <c r="A4524" s="274"/>
      <c r="B4524" s="498"/>
      <c r="C4524" s="287"/>
      <c r="D4524" s="288"/>
      <c r="E4524" s="288"/>
    </row>
    <row r="4525" spans="1:5" x14ac:dyDescent="0.25">
      <c r="A4525" s="274"/>
      <c r="B4525" s="498"/>
      <c r="C4525" s="287"/>
      <c r="D4525" s="288"/>
      <c r="E4525" s="288"/>
    </row>
    <row r="4526" spans="1:5" x14ac:dyDescent="0.25">
      <c r="A4526" s="274"/>
      <c r="B4526" s="498"/>
      <c r="C4526" s="287"/>
      <c r="D4526" s="288"/>
      <c r="E4526" s="288"/>
    </row>
    <row r="4527" spans="1:5" x14ac:dyDescent="0.25">
      <c r="A4527" s="274"/>
      <c r="B4527" s="498"/>
      <c r="C4527" s="287"/>
      <c r="D4527" s="288"/>
      <c r="E4527" s="288"/>
    </row>
    <row r="4528" spans="1:5" x14ac:dyDescent="0.25">
      <c r="A4528" s="274"/>
      <c r="B4528" s="498"/>
      <c r="C4528" s="287"/>
      <c r="D4528" s="288"/>
      <c r="E4528" s="288"/>
    </row>
    <row r="4529" spans="1:5" x14ac:dyDescent="0.25">
      <c r="A4529" s="274"/>
      <c r="B4529" s="498"/>
      <c r="C4529" s="287"/>
      <c r="D4529" s="288"/>
      <c r="E4529" s="288"/>
    </row>
    <row r="4530" spans="1:5" x14ac:dyDescent="0.25">
      <c r="A4530" s="274"/>
      <c r="B4530" s="498"/>
      <c r="C4530" s="287"/>
      <c r="D4530" s="288"/>
      <c r="E4530" s="288"/>
    </row>
    <row r="4531" spans="1:5" x14ac:dyDescent="0.25">
      <c r="A4531" s="274"/>
      <c r="B4531" s="498"/>
      <c r="C4531" s="287"/>
      <c r="D4531" s="288"/>
      <c r="E4531" s="288"/>
    </row>
    <row r="4532" spans="1:5" x14ac:dyDescent="0.25">
      <c r="A4532" s="274"/>
      <c r="B4532" s="498"/>
      <c r="C4532" s="287"/>
      <c r="D4532" s="288"/>
      <c r="E4532" s="288"/>
    </row>
    <row r="4533" spans="1:5" x14ac:dyDescent="0.25">
      <c r="A4533" s="274"/>
      <c r="B4533" s="498"/>
      <c r="C4533" s="287"/>
      <c r="D4533" s="288"/>
      <c r="E4533" s="288"/>
    </row>
    <row r="4534" spans="1:5" x14ac:dyDescent="0.25">
      <c r="A4534" s="274"/>
      <c r="B4534" s="498"/>
      <c r="C4534" s="287"/>
      <c r="D4534" s="288"/>
      <c r="E4534" s="288"/>
    </row>
    <row r="4535" spans="1:5" x14ac:dyDescent="0.25">
      <c r="A4535" s="274"/>
      <c r="B4535" s="498"/>
      <c r="C4535" s="287"/>
      <c r="D4535" s="288"/>
      <c r="E4535" s="288"/>
    </row>
    <row r="4536" spans="1:5" x14ac:dyDescent="0.25">
      <c r="A4536" s="274"/>
      <c r="B4536" s="498"/>
      <c r="C4536" s="287"/>
      <c r="D4536" s="288"/>
      <c r="E4536" s="288"/>
    </row>
    <row r="4537" spans="1:5" x14ac:dyDescent="0.25">
      <c r="A4537" s="274"/>
      <c r="B4537" s="498"/>
      <c r="C4537" s="287"/>
      <c r="D4537" s="288"/>
      <c r="E4537" s="288"/>
    </row>
    <row r="4538" spans="1:5" x14ac:dyDescent="0.25">
      <c r="A4538" s="274"/>
      <c r="B4538" s="498"/>
      <c r="C4538" s="287"/>
      <c r="D4538" s="288"/>
      <c r="E4538" s="288"/>
    </row>
    <row r="4539" spans="1:5" x14ac:dyDescent="0.25">
      <c r="A4539" s="274"/>
      <c r="B4539" s="498"/>
      <c r="C4539" s="287"/>
      <c r="D4539" s="288"/>
      <c r="E4539" s="288"/>
    </row>
    <row r="4540" spans="1:5" x14ac:dyDescent="0.25">
      <c r="A4540" s="274"/>
      <c r="B4540" s="498"/>
      <c r="C4540" s="287"/>
      <c r="D4540" s="288"/>
      <c r="E4540" s="288"/>
    </row>
    <row r="4541" spans="1:5" x14ac:dyDescent="0.25">
      <c r="A4541" s="274"/>
      <c r="B4541" s="498"/>
      <c r="C4541" s="287"/>
      <c r="D4541" s="288"/>
      <c r="E4541" s="288"/>
    </row>
    <row r="4542" spans="1:5" x14ac:dyDescent="0.25">
      <c r="A4542" s="274"/>
      <c r="B4542" s="498"/>
      <c r="C4542" s="287"/>
      <c r="D4542" s="288"/>
      <c r="E4542" s="288"/>
    </row>
    <row r="4543" spans="1:5" x14ac:dyDescent="0.25">
      <c r="A4543" s="274"/>
      <c r="B4543" s="498"/>
      <c r="C4543" s="287"/>
      <c r="D4543" s="288"/>
      <c r="E4543" s="288"/>
    </row>
    <row r="4544" spans="1:5" x14ac:dyDescent="0.25">
      <c r="A4544" s="274"/>
      <c r="B4544" s="498"/>
      <c r="C4544" s="287"/>
      <c r="D4544" s="288"/>
      <c r="E4544" s="288"/>
    </row>
    <row r="4545" spans="1:5" x14ac:dyDescent="0.25">
      <c r="A4545" s="274"/>
      <c r="B4545" s="498"/>
      <c r="C4545" s="287"/>
      <c r="D4545" s="288"/>
      <c r="E4545" s="288"/>
    </row>
    <row r="4546" spans="1:5" x14ac:dyDescent="0.25">
      <c r="A4546" s="274"/>
      <c r="B4546" s="498"/>
      <c r="C4546" s="287"/>
      <c r="D4546" s="288"/>
      <c r="E4546" s="288"/>
    </row>
    <row r="4547" spans="1:5" x14ac:dyDescent="0.25">
      <c r="A4547" s="274"/>
      <c r="B4547" s="498"/>
      <c r="C4547" s="287"/>
      <c r="D4547" s="288"/>
      <c r="E4547" s="288"/>
    </row>
    <row r="4548" spans="1:5" x14ac:dyDescent="0.25">
      <c r="A4548" s="274"/>
      <c r="B4548" s="498"/>
      <c r="C4548" s="287"/>
      <c r="D4548" s="288"/>
      <c r="E4548" s="288"/>
    </row>
    <row r="4549" spans="1:5" x14ac:dyDescent="0.25">
      <c r="A4549" s="274"/>
      <c r="B4549" s="498"/>
      <c r="C4549" s="287"/>
      <c r="D4549" s="288"/>
      <c r="E4549" s="288"/>
    </row>
    <row r="4550" spans="1:5" x14ac:dyDescent="0.25">
      <c r="A4550" s="274"/>
      <c r="B4550" s="498"/>
      <c r="C4550" s="287"/>
      <c r="D4550" s="288"/>
      <c r="E4550" s="288"/>
    </row>
    <row r="4551" spans="1:5" x14ac:dyDescent="0.25">
      <c r="A4551" s="274"/>
      <c r="B4551" s="498"/>
      <c r="C4551" s="287"/>
      <c r="D4551" s="288"/>
      <c r="E4551" s="288"/>
    </row>
    <row r="4552" spans="1:5" x14ac:dyDescent="0.25">
      <c r="A4552" s="274"/>
      <c r="B4552" s="498"/>
      <c r="C4552" s="287"/>
      <c r="D4552" s="288"/>
      <c r="E4552" s="288"/>
    </row>
    <row r="4553" spans="1:5" x14ac:dyDescent="0.25">
      <c r="A4553" s="274"/>
      <c r="B4553" s="498"/>
      <c r="C4553" s="287"/>
      <c r="D4553" s="288"/>
      <c r="E4553" s="288"/>
    </row>
    <row r="4554" spans="1:5" x14ac:dyDescent="0.25">
      <c r="A4554" s="274"/>
      <c r="B4554" s="498"/>
      <c r="C4554" s="287"/>
      <c r="D4554" s="288"/>
      <c r="E4554" s="288"/>
    </row>
    <row r="4555" spans="1:5" x14ac:dyDescent="0.25">
      <c r="A4555" s="274"/>
      <c r="B4555" s="498"/>
      <c r="C4555" s="287"/>
      <c r="D4555" s="288"/>
      <c r="E4555" s="288"/>
    </row>
    <row r="4556" spans="1:5" x14ac:dyDescent="0.25">
      <c r="A4556" s="274"/>
      <c r="B4556" s="498"/>
      <c r="C4556" s="287"/>
      <c r="D4556" s="288"/>
      <c r="E4556" s="288"/>
    </row>
    <row r="4557" spans="1:5" x14ac:dyDescent="0.25">
      <c r="A4557" s="274"/>
      <c r="B4557" s="498"/>
      <c r="C4557" s="287"/>
      <c r="D4557" s="288"/>
      <c r="E4557" s="288"/>
    </row>
    <row r="4558" spans="1:5" x14ac:dyDescent="0.25">
      <c r="A4558" s="274"/>
      <c r="B4558" s="498"/>
      <c r="C4558" s="287"/>
      <c r="D4558" s="288"/>
      <c r="E4558" s="288"/>
    </row>
    <row r="4559" spans="1:5" x14ac:dyDescent="0.25">
      <c r="A4559" s="274"/>
      <c r="B4559" s="498"/>
      <c r="C4559" s="287"/>
      <c r="D4559" s="288"/>
      <c r="E4559" s="288"/>
    </row>
    <row r="4560" spans="1:5" x14ac:dyDescent="0.25">
      <c r="A4560" s="274"/>
      <c r="B4560" s="498"/>
      <c r="C4560" s="287"/>
      <c r="D4560" s="288"/>
      <c r="E4560" s="288"/>
    </row>
    <row r="4561" spans="1:5" x14ac:dyDescent="0.25">
      <c r="A4561" s="274"/>
      <c r="B4561" s="498"/>
      <c r="C4561" s="287"/>
      <c r="D4561" s="288"/>
      <c r="E4561" s="288"/>
    </row>
    <row r="4562" spans="1:5" x14ac:dyDescent="0.25">
      <c r="A4562" s="274"/>
      <c r="B4562" s="498"/>
      <c r="C4562" s="287"/>
      <c r="D4562" s="288"/>
      <c r="E4562" s="288"/>
    </row>
    <row r="4563" spans="1:5" x14ac:dyDescent="0.25">
      <c r="A4563" s="274"/>
      <c r="B4563" s="498"/>
      <c r="C4563" s="287"/>
      <c r="D4563" s="288"/>
      <c r="E4563" s="288"/>
    </row>
    <row r="4564" spans="1:5" x14ac:dyDescent="0.25">
      <c r="A4564" s="274"/>
      <c r="B4564" s="498"/>
      <c r="C4564" s="287"/>
      <c r="D4564" s="288"/>
      <c r="E4564" s="288"/>
    </row>
    <row r="4565" spans="1:5" x14ac:dyDescent="0.25">
      <c r="A4565" s="274"/>
      <c r="B4565" s="498"/>
      <c r="C4565" s="287"/>
      <c r="D4565" s="288"/>
      <c r="E4565" s="288"/>
    </row>
    <row r="4566" spans="1:5" x14ac:dyDescent="0.25">
      <c r="A4566" s="274"/>
      <c r="B4566" s="498"/>
      <c r="C4566" s="287"/>
      <c r="D4566" s="288"/>
      <c r="E4566" s="288"/>
    </row>
    <row r="4567" spans="1:5" x14ac:dyDescent="0.25">
      <c r="A4567" s="274"/>
      <c r="B4567" s="498"/>
      <c r="C4567" s="287"/>
      <c r="D4567" s="288"/>
      <c r="E4567" s="288"/>
    </row>
    <row r="4568" spans="1:5" x14ac:dyDescent="0.25">
      <c r="A4568" s="274"/>
      <c r="B4568" s="498"/>
      <c r="C4568" s="287"/>
      <c r="D4568" s="288"/>
      <c r="E4568" s="288"/>
    </row>
    <row r="4569" spans="1:5" x14ac:dyDescent="0.25">
      <c r="A4569" s="274"/>
      <c r="B4569" s="498"/>
      <c r="C4569" s="287"/>
      <c r="D4569" s="288"/>
      <c r="E4569" s="288"/>
    </row>
    <row r="4570" spans="1:5" x14ac:dyDescent="0.25">
      <c r="A4570" s="274"/>
      <c r="B4570" s="498"/>
      <c r="C4570" s="287"/>
      <c r="D4570" s="288"/>
      <c r="E4570" s="288"/>
    </row>
    <row r="4571" spans="1:5" x14ac:dyDescent="0.25">
      <c r="A4571" s="274"/>
      <c r="B4571" s="498"/>
      <c r="C4571" s="287"/>
      <c r="D4571" s="288"/>
      <c r="E4571" s="288"/>
    </row>
    <row r="4572" spans="1:5" x14ac:dyDescent="0.25">
      <c r="A4572" s="274"/>
      <c r="B4572" s="498"/>
      <c r="C4572" s="287"/>
      <c r="D4572" s="288"/>
      <c r="E4572" s="288"/>
    </row>
    <row r="4573" spans="1:5" x14ac:dyDescent="0.25">
      <c r="A4573" s="274"/>
      <c r="B4573" s="498"/>
      <c r="C4573" s="287"/>
      <c r="D4573" s="288"/>
      <c r="E4573" s="288"/>
    </row>
    <row r="4574" spans="1:5" x14ac:dyDescent="0.25">
      <c r="A4574" s="274"/>
      <c r="B4574" s="498"/>
      <c r="C4574" s="287"/>
      <c r="D4574" s="288"/>
      <c r="E4574" s="288"/>
    </row>
    <row r="4575" spans="1:5" x14ac:dyDescent="0.25">
      <c r="A4575" s="274"/>
      <c r="B4575" s="498"/>
      <c r="C4575" s="287"/>
      <c r="D4575" s="288"/>
      <c r="E4575" s="288"/>
    </row>
    <row r="4576" spans="1:5" x14ac:dyDescent="0.25">
      <c r="A4576" s="274"/>
      <c r="B4576" s="498"/>
      <c r="C4576" s="287"/>
      <c r="D4576" s="288"/>
      <c r="E4576" s="288"/>
    </row>
    <row r="4577" spans="1:5" x14ac:dyDescent="0.25">
      <c r="A4577" s="274"/>
      <c r="B4577" s="498"/>
      <c r="C4577" s="287"/>
      <c r="D4577" s="288"/>
      <c r="E4577" s="288"/>
    </row>
    <row r="4578" spans="1:5" x14ac:dyDescent="0.25">
      <c r="A4578" s="274"/>
      <c r="B4578" s="498"/>
      <c r="C4578" s="287"/>
      <c r="D4578" s="288"/>
      <c r="E4578" s="288"/>
    </row>
    <row r="4579" spans="1:5" x14ac:dyDescent="0.25">
      <c r="A4579" s="274"/>
      <c r="B4579" s="498"/>
      <c r="C4579" s="287"/>
      <c r="D4579" s="288"/>
      <c r="E4579" s="288"/>
    </row>
    <row r="4580" spans="1:5" x14ac:dyDescent="0.25">
      <c r="A4580" s="274"/>
      <c r="B4580" s="498"/>
      <c r="C4580" s="287"/>
      <c r="D4580" s="288"/>
      <c r="E4580" s="288"/>
    </row>
    <row r="4581" spans="1:5" x14ac:dyDescent="0.25">
      <c r="A4581" s="274"/>
      <c r="B4581" s="498"/>
      <c r="C4581" s="287"/>
      <c r="D4581" s="288"/>
      <c r="E4581" s="288"/>
    </row>
    <row r="4582" spans="1:5" x14ac:dyDescent="0.25">
      <c r="A4582" s="274"/>
      <c r="B4582" s="498"/>
      <c r="C4582" s="287"/>
      <c r="D4582" s="288"/>
      <c r="E4582" s="288"/>
    </row>
    <row r="4583" spans="1:5" x14ac:dyDescent="0.25">
      <c r="A4583" s="274"/>
      <c r="B4583" s="498"/>
      <c r="C4583" s="287"/>
      <c r="D4583" s="288"/>
      <c r="E4583" s="288"/>
    </row>
    <row r="4584" spans="1:5" x14ac:dyDescent="0.25">
      <c r="A4584" s="274"/>
      <c r="B4584" s="498"/>
      <c r="C4584" s="287"/>
      <c r="D4584" s="288"/>
      <c r="E4584" s="288"/>
    </row>
    <row r="4585" spans="1:5" x14ac:dyDescent="0.25">
      <c r="A4585" s="274"/>
      <c r="B4585" s="498"/>
      <c r="C4585" s="287"/>
      <c r="D4585" s="288"/>
      <c r="E4585" s="288"/>
    </row>
    <row r="4586" spans="1:5" x14ac:dyDescent="0.25">
      <c r="A4586" s="274"/>
      <c r="B4586" s="498"/>
      <c r="C4586" s="287"/>
      <c r="D4586" s="288"/>
      <c r="E4586" s="288"/>
    </row>
    <row r="4587" spans="1:5" x14ac:dyDescent="0.25">
      <c r="A4587" s="274"/>
      <c r="B4587" s="498"/>
      <c r="C4587" s="287"/>
      <c r="D4587" s="288"/>
      <c r="E4587" s="288"/>
    </row>
    <row r="4588" spans="1:5" x14ac:dyDescent="0.25">
      <c r="A4588" s="274"/>
      <c r="B4588" s="498"/>
      <c r="C4588" s="287"/>
      <c r="D4588" s="288"/>
      <c r="E4588" s="288"/>
    </row>
    <row r="4589" spans="1:5" x14ac:dyDescent="0.25">
      <c r="A4589" s="274"/>
      <c r="B4589" s="498"/>
      <c r="C4589" s="287"/>
      <c r="D4589" s="288"/>
      <c r="E4589" s="288"/>
    </row>
    <row r="4590" spans="1:5" x14ac:dyDescent="0.25">
      <c r="A4590" s="274"/>
      <c r="B4590" s="498"/>
      <c r="C4590" s="287"/>
      <c r="D4590" s="288"/>
      <c r="E4590" s="288"/>
    </row>
    <row r="4591" spans="1:5" x14ac:dyDescent="0.25">
      <c r="A4591" s="274"/>
      <c r="B4591" s="498"/>
      <c r="C4591" s="287"/>
      <c r="D4591" s="288"/>
      <c r="E4591" s="288"/>
    </row>
    <row r="4592" spans="1:5" x14ac:dyDescent="0.25">
      <c r="A4592" s="274"/>
      <c r="B4592" s="498"/>
      <c r="C4592" s="287"/>
      <c r="D4592" s="288"/>
      <c r="E4592" s="288"/>
    </row>
    <row r="4593" spans="1:5" x14ac:dyDescent="0.25">
      <c r="A4593" s="274"/>
      <c r="B4593" s="498"/>
      <c r="C4593" s="287"/>
      <c r="D4593" s="288"/>
      <c r="E4593" s="288"/>
    </row>
    <row r="4594" spans="1:5" x14ac:dyDescent="0.25">
      <c r="A4594" s="274"/>
      <c r="B4594" s="498"/>
      <c r="C4594" s="287"/>
      <c r="D4594" s="288"/>
      <c r="E4594" s="288"/>
    </row>
    <row r="4595" spans="1:5" x14ac:dyDescent="0.25">
      <c r="A4595" s="274"/>
      <c r="B4595" s="498"/>
      <c r="C4595" s="287"/>
      <c r="D4595" s="288"/>
      <c r="E4595" s="288"/>
    </row>
    <row r="4596" spans="1:5" x14ac:dyDescent="0.25">
      <c r="A4596" s="274"/>
      <c r="B4596" s="498"/>
      <c r="C4596" s="287"/>
      <c r="D4596" s="288"/>
      <c r="E4596" s="288"/>
    </row>
    <row r="4597" spans="1:5" x14ac:dyDescent="0.25">
      <c r="A4597" s="274"/>
      <c r="B4597" s="498"/>
      <c r="C4597" s="287"/>
      <c r="D4597" s="288"/>
      <c r="E4597" s="288"/>
    </row>
    <row r="4598" spans="1:5" x14ac:dyDescent="0.25">
      <c r="A4598" s="274"/>
      <c r="B4598" s="498"/>
      <c r="C4598" s="287"/>
      <c r="D4598" s="288"/>
      <c r="E4598" s="288"/>
    </row>
    <row r="4599" spans="1:5" x14ac:dyDescent="0.25">
      <c r="A4599" s="274"/>
      <c r="B4599" s="498"/>
      <c r="C4599" s="287"/>
      <c r="D4599" s="288"/>
      <c r="E4599" s="288"/>
    </row>
    <row r="4600" spans="1:5" x14ac:dyDescent="0.25">
      <c r="A4600" s="274"/>
      <c r="B4600" s="498"/>
      <c r="C4600" s="287"/>
      <c r="D4600" s="288"/>
      <c r="E4600" s="288"/>
    </row>
    <row r="4601" spans="1:5" x14ac:dyDescent="0.25">
      <c r="A4601" s="274"/>
      <c r="B4601" s="498"/>
      <c r="C4601" s="287"/>
      <c r="D4601" s="288"/>
      <c r="E4601" s="288"/>
    </row>
    <row r="4602" spans="1:5" x14ac:dyDescent="0.25">
      <c r="A4602" s="274"/>
      <c r="B4602" s="498"/>
      <c r="C4602" s="287"/>
      <c r="D4602" s="288"/>
      <c r="E4602" s="288"/>
    </row>
    <row r="4603" spans="1:5" x14ac:dyDescent="0.25">
      <c r="A4603" s="274"/>
      <c r="B4603" s="498"/>
      <c r="C4603" s="287"/>
      <c r="D4603" s="288"/>
      <c r="E4603" s="288"/>
    </row>
    <row r="4604" spans="1:5" x14ac:dyDescent="0.25">
      <c r="A4604" s="274"/>
      <c r="B4604" s="498"/>
      <c r="C4604" s="287"/>
      <c r="D4604" s="288"/>
      <c r="E4604" s="288"/>
    </row>
    <row r="4605" spans="1:5" x14ac:dyDescent="0.25">
      <c r="A4605" s="274"/>
      <c r="B4605" s="498"/>
      <c r="C4605" s="287"/>
      <c r="D4605" s="288"/>
      <c r="E4605" s="288"/>
    </row>
    <row r="4606" spans="1:5" x14ac:dyDescent="0.25">
      <c r="A4606" s="274"/>
      <c r="B4606" s="498"/>
      <c r="C4606" s="287"/>
      <c r="D4606" s="288"/>
      <c r="E4606" s="288"/>
    </row>
    <row r="4607" spans="1:5" x14ac:dyDescent="0.25">
      <c r="A4607" s="274"/>
      <c r="B4607" s="498"/>
      <c r="C4607" s="287"/>
      <c r="D4607" s="288"/>
      <c r="E4607" s="288"/>
    </row>
    <row r="4608" spans="1:5" x14ac:dyDescent="0.25">
      <c r="A4608" s="274"/>
      <c r="B4608" s="498"/>
      <c r="C4608" s="287"/>
      <c r="D4608" s="288"/>
      <c r="E4608" s="288"/>
    </row>
    <row r="4609" spans="1:5" x14ac:dyDescent="0.25">
      <c r="A4609" s="274"/>
      <c r="B4609" s="498"/>
      <c r="C4609" s="287"/>
      <c r="D4609" s="288"/>
      <c r="E4609" s="288"/>
    </row>
    <row r="4610" spans="1:5" x14ac:dyDescent="0.25">
      <c r="A4610" s="274"/>
      <c r="B4610" s="498"/>
      <c r="C4610" s="287"/>
      <c r="D4610" s="288"/>
      <c r="E4610" s="288"/>
    </row>
    <row r="4611" spans="1:5" x14ac:dyDescent="0.25">
      <c r="A4611" s="274"/>
      <c r="B4611" s="498"/>
      <c r="C4611" s="287"/>
      <c r="D4611" s="288"/>
      <c r="E4611" s="288"/>
    </row>
    <row r="4612" spans="1:5" x14ac:dyDescent="0.25">
      <c r="A4612" s="274"/>
      <c r="B4612" s="498"/>
      <c r="C4612" s="287"/>
      <c r="D4612" s="288"/>
      <c r="E4612" s="288"/>
    </row>
    <row r="4613" spans="1:5" x14ac:dyDescent="0.25">
      <c r="A4613" s="274"/>
      <c r="B4613" s="498"/>
      <c r="C4613" s="287"/>
      <c r="D4613" s="288"/>
      <c r="E4613" s="288"/>
    </row>
    <row r="4614" spans="1:5" x14ac:dyDescent="0.25">
      <c r="A4614" s="274"/>
      <c r="B4614" s="498"/>
      <c r="C4614" s="287"/>
      <c r="D4614" s="288"/>
      <c r="E4614" s="288"/>
    </row>
    <row r="4615" spans="1:5" x14ac:dyDescent="0.25">
      <c r="A4615" s="274"/>
      <c r="B4615" s="498"/>
      <c r="C4615" s="287"/>
      <c r="D4615" s="288"/>
      <c r="E4615" s="288"/>
    </row>
    <row r="4616" spans="1:5" x14ac:dyDescent="0.25">
      <c r="A4616" s="274"/>
      <c r="B4616" s="498"/>
      <c r="C4616" s="287"/>
      <c r="D4616" s="288"/>
      <c r="E4616" s="288"/>
    </row>
    <row r="4617" spans="1:5" x14ac:dyDescent="0.25">
      <c r="A4617" s="274"/>
      <c r="B4617" s="498"/>
      <c r="C4617" s="287"/>
      <c r="D4617" s="288"/>
      <c r="E4617" s="288"/>
    </row>
    <row r="4618" spans="1:5" x14ac:dyDescent="0.25">
      <c r="A4618" s="274"/>
      <c r="B4618" s="498"/>
      <c r="C4618" s="287"/>
      <c r="D4618" s="288"/>
      <c r="E4618" s="288"/>
    </row>
    <row r="4619" spans="1:5" x14ac:dyDescent="0.25">
      <c r="A4619" s="274"/>
      <c r="B4619" s="498"/>
      <c r="C4619" s="287"/>
      <c r="D4619" s="288"/>
      <c r="E4619" s="288"/>
    </row>
    <row r="4620" spans="1:5" x14ac:dyDescent="0.25">
      <c r="A4620" s="274"/>
      <c r="B4620" s="498"/>
      <c r="C4620" s="287"/>
      <c r="D4620" s="288"/>
      <c r="E4620" s="288"/>
    </row>
    <row r="4621" spans="1:5" x14ac:dyDescent="0.25">
      <c r="A4621" s="274"/>
      <c r="B4621" s="498"/>
      <c r="C4621" s="287"/>
      <c r="D4621" s="288"/>
      <c r="E4621" s="288"/>
    </row>
    <row r="4622" spans="1:5" x14ac:dyDescent="0.25">
      <c r="A4622" s="274"/>
      <c r="B4622" s="498"/>
      <c r="C4622" s="287"/>
      <c r="D4622" s="288"/>
      <c r="E4622" s="288"/>
    </row>
    <row r="4623" spans="1:5" x14ac:dyDescent="0.25">
      <c r="A4623" s="274"/>
      <c r="B4623" s="498"/>
      <c r="C4623" s="287"/>
      <c r="D4623" s="288"/>
      <c r="E4623" s="288"/>
    </row>
    <row r="4624" spans="1:5" x14ac:dyDescent="0.25">
      <c r="A4624" s="274"/>
      <c r="B4624" s="498"/>
      <c r="C4624" s="287"/>
      <c r="D4624" s="288"/>
      <c r="E4624" s="288"/>
    </row>
    <row r="4625" spans="1:5" x14ac:dyDescent="0.25">
      <c r="A4625" s="274"/>
      <c r="B4625" s="498"/>
      <c r="C4625" s="287"/>
      <c r="D4625" s="288"/>
      <c r="E4625" s="288"/>
    </row>
    <row r="4626" spans="1:5" x14ac:dyDescent="0.25">
      <c r="A4626" s="274"/>
      <c r="B4626" s="498"/>
      <c r="C4626" s="287"/>
      <c r="D4626" s="288"/>
      <c r="E4626" s="288"/>
    </row>
    <row r="4627" spans="1:5" x14ac:dyDescent="0.25">
      <c r="A4627" s="274"/>
      <c r="B4627" s="498"/>
      <c r="C4627" s="287"/>
      <c r="D4627" s="288"/>
      <c r="E4627" s="288"/>
    </row>
    <row r="4628" spans="1:5" x14ac:dyDescent="0.25">
      <c r="A4628" s="274"/>
      <c r="B4628" s="498"/>
      <c r="C4628" s="287"/>
      <c r="D4628" s="288"/>
      <c r="E4628" s="288"/>
    </row>
    <row r="4629" spans="1:5" x14ac:dyDescent="0.25">
      <c r="A4629" s="274"/>
      <c r="B4629" s="498"/>
      <c r="C4629" s="287"/>
      <c r="D4629" s="288"/>
      <c r="E4629" s="288"/>
    </row>
    <row r="4630" spans="1:5" x14ac:dyDescent="0.25">
      <c r="A4630" s="274"/>
      <c r="B4630" s="498"/>
      <c r="C4630" s="287"/>
      <c r="D4630" s="288"/>
      <c r="E4630" s="288"/>
    </row>
    <row r="4631" spans="1:5" x14ac:dyDescent="0.25">
      <c r="A4631" s="274"/>
      <c r="B4631" s="498"/>
      <c r="C4631" s="287"/>
      <c r="D4631" s="288"/>
      <c r="E4631" s="288"/>
    </row>
    <row r="4632" spans="1:5" x14ac:dyDescent="0.25">
      <c r="A4632" s="274"/>
      <c r="B4632" s="498"/>
      <c r="C4632" s="287"/>
      <c r="D4632" s="288"/>
      <c r="E4632" s="288"/>
    </row>
    <row r="4633" spans="1:5" x14ac:dyDescent="0.25">
      <c r="A4633" s="274"/>
      <c r="B4633" s="498"/>
      <c r="C4633" s="287"/>
      <c r="D4633" s="288"/>
      <c r="E4633" s="288"/>
    </row>
    <row r="4634" spans="1:5" x14ac:dyDescent="0.25">
      <c r="A4634" s="274"/>
      <c r="B4634" s="498"/>
      <c r="C4634" s="287"/>
      <c r="D4634" s="288"/>
      <c r="E4634" s="288"/>
    </row>
    <row r="4635" spans="1:5" x14ac:dyDescent="0.25">
      <c r="A4635" s="274"/>
      <c r="B4635" s="498"/>
      <c r="C4635" s="287"/>
      <c r="D4635" s="288"/>
      <c r="E4635" s="288"/>
    </row>
    <row r="4636" spans="1:5" x14ac:dyDescent="0.25">
      <c r="A4636" s="274"/>
      <c r="B4636" s="498"/>
      <c r="C4636" s="287"/>
      <c r="D4636" s="288"/>
      <c r="E4636" s="288"/>
    </row>
    <row r="4637" spans="1:5" x14ac:dyDescent="0.25">
      <c r="A4637" s="274"/>
      <c r="B4637" s="498"/>
      <c r="C4637" s="287"/>
      <c r="D4637" s="288"/>
      <c r="E4637" s="288"/>
    </row>
    <row r="4638" spans="1:5" x14ac:dyDescent="0.25">
      <c r="A4638" s="274"/>
      <c r="B4638" s="498"/>
      <c r="C4638" s="287"/>
      <c r="D4638" s="288"/>
      <c r="E4638" s="288"/>
    </row>
    <row r="4639" spans="1:5" x14ac:dyDescent="0.25">
      <c r="A4639" s="274"/>
      <c r="B4639" s="498"/>
      <c r="C4639" s="287"/>
      <c r="D4639" s="288"/>
      <c r="E4639" s="288"/>
    </row>
    <row r="4640" spans="1:5" x14ac:dyDescent="0.25">
      <c r="A4640" s="274"/>
      <c r="B4640" s="498"/>
      <c r="C4640" s="287"/>
      <c r="D4640" s="288"/>
      <c r="E4640" s="288"/>
    </row>
    <row r="4641" spans="1:5" x14ac:dyDescent="0.25">
      <c r="A4641" s="274"/>
      <c r="B4641" s="498"/>
      <c r="C4641" s="287"/>
      <c r="D4641" s="288"/>
      <c r="E4641" s="288"/>
    </row>
    <row r="4642" spans="1:5" x14ac:dyDescent="0.25">
      <c r="A4642" s="274"/>
      <c r="B4642" s="498"/>
      <c r="C4642" s="287"/>
      <c r="D4642" s="288"/>
      <c r="E4642" s="288"/>
    </row>
    <row r="4643" spans="1:5" x14ac:dyDescent="0.25">
      <c r="A4643" s="274"/>
      <c r="B4643" s="498"/>
      <c r="C4643" s="287"/>
      <c r="D4643" s="288"/>
      <c r="E4643" s="288"/>
    </row>
    <row r="4644" spans="1:5" x14ac:dyDescent="0.25">
      <c r="A4644" s="274"/>
      <c r="B4644" s="498"/>
      <c r="C4644" s="287"/>
      <c r="D4644" s="288"/>
      <c r="E4644" s="288"/>
    </row>
    <row r="4645" spans="1:5" x14ac:dyDescent="0.25">
      <c r="A4645" s="274"/>
      <c r="B4645" s="498"/>
      <c r="C4645" s="287"/>
      <c r="D4645" s="288"/>
      <c r="E4645" s="288"/>
    </row>
    <row r="4646" spans="1:5" x14ac:dyDescent="0.25">
      <c r="A4646" s="274"/>
      <c r="B4646" s="498"/>
      <c r="C4646" s="287"/>
      <c r="D4646" s="288"/>
      <c r="E4646" s="288"/>
    </row>
    <row r="4647" spans="1:5" x14ac:dyDescent="0.25">
      <c r="A4647" s="274"/>
      <c r="B4647" s="498"/>
      <c r="C4647" s="287"/>
      <c r="D4647" s="288"/>
      <c r="E4647" s="288"/>
    </row>
    <row r="4648" spans="1:5" x14ac:dyDescent="0.25">
      <c r="A4648" s="274"/>
      <c r="B4648" s="498"/>
      <c r="C4648" s="287"/>
      <c r="D4648" s="288"/>
      <c r="E4648" s="288"/>
    </row>
    <row r="4649" spans="1:5" x14ac:dyDescent="0.25">
      <c r="A4649" s="274"/>
      <c r="B4649" s="498"/>
      <c r="C4649" s="287"/>
      <c r="D4649" s="288"/>
      <c r="E4649" s="288"/>
    </row>
    <row r="4650" spans="1:5" x14ac:dyDescent="0.25">
      <c r="A4650" s="274"/>
      <c r="B4650" s="498"/>
      <c r="C4650" s="287"/>
      <c r="D4650" s="288"/>
      <c r="E4650" s="288"/>
    </row>
    <row r="4651" spans="1:5" x14ac:dyDescent="0.25">
      <c r="A4651" s="274"/>
      <c r="B4651" s="498"/>
      <c r="C4651" s="287"/>
      <c r="D4651" s="288"/>
      <c r="E4651" s="288"/>
    </row>
    <row r="4652" spans="1:5" x14ac:dyDescent="0.25">
      <c r="A4652" s="274"/>
      <c r="B4652" s="498"/>
      <c r="C4652" s="287"/>
      <c r="D4652" s="288"/>
      <c r="E4652" s="288"/>
    </row>
    <row r="4653" spans="1:5" x14ac:dyDescent="0.25">
      <c r="A4653" s="274"/>
      <c r="B4653" s="498"/>
      <c r="C4653" s="287"/>
      <c r="D4653" s="288"/>
      <c r="E4653" s="288"/>
    </row>
    <row r="4654" spans="1:5" x14ac:dyDescent="0.25">
      <c r="A4654" s="274"/>
      <c r="B4654" s="498"/>
      <c r="C4654" s="287"/>
      <c r="D4654" s="288"/>
      <c r="E4654" s="288"/>
    </row>
    <row r="4655" spans="1:5" x14ac:dyDescent="0.25">
      <c r="A4655" s="274"/>
      <c r="B4655" s="498"/>
      <c r="C4655" s="287"/>
      <c r="D4655" s="288"/>
      <c r="E4655" s="288"/>
    </row>
    <row r="4656" spans="1:5" x14ac:dyDescent="0.25">
      <c r="A4656" s="274"/>
      <c r="B4656" s="498"/>
      <c r="C4656" s="287"/>
      <c r="D4656" s="288"/>
      <c r="E4656" s="288"/>
    </row>
    <row r="4657" spans="1:5" x14ac:dyDescent="0.25">
      <c r="A4657" s="274"/>
      <c r="B4657" s="498"/>
      <c r="C4657" s="287"/>
      <c r="D4657" s="288"/>
      <c r="E4657" s="288"/>
    </row>
    <row r="4658" spans="1:5" x14ac:dyDescent="0.25">
      <c r="A4658" s="274"/>
      <c r="B4658" s="498"/>
      <c r="C4658" s="287"/>
      <c r="D4658" s="288"/>
      <c r="E4658" s="288"/>
    </row>
    <row r="4659" spans="1:5" x14ac:dyDescent="0.25">
      <c r="A4659" s="274"/>
      <c r="B4659" s="498"/>
      <c r="C4659" s="287"/>
      <c r="D4659" s="288"/>
      <c r="E4659" s="288"/>
    </row>
    <row r="4660" spans="1:5" x14ac:dyDescent="0.25">
      <c r="A4660" s="274"/>
      <c r="B4660" s="498"/>
      <c r="C4660" s="287"/>
      <c r="D4660" s="288"/>
      <c r="E4660" s="288"/>
    </row>
    <row r="4661" spans="1:5" x14ac:dyDescent="0.25">
      <c r="A4661" s="274"/>
      <c r="B4661" s="498"/>
      <c r="C4661" s="287"/>
      <c r="D4661" s="288"/>
      <c r="E4661" s="288"/>
    </row>
    <row r="4662" spans="1:5" x14ac:dyDescent="0.25">
      <c r="A4662" s="274"/>
      <c r="B4662" s="498"/>
      <c r="C4662" s="287"/>
      <c r="D4662" s="288"/>
      <c r="E4662" s="288"/>
    </row>
    <row r="4663" spans="1:5" x14ac:dyDescent="0.25">
      <c r="A4663" s="274"/>
      <c r="B4663" s="498"/>
      <c r="C4663" s="287"/>
      <c r="D4663" s="288"/>
      <c r="E4663" s="288"/>
    </row>
    <row r="4664" spans="1:5" x14ac:dyDescent="0.25">
      <c r="A4664" s="274"/>
      <c r="B4664" s="498"/>
      <c r="C4664" s="287"/>
      <c r="D4664" s="288"/>
      <c r="E4664" s="288"/>
    </row>
    <row r="4665" spans="1:5" x14ac:dyDescent="0.25">
      <c r="A4665" s="274"/>
      <c r="B4665" s="498"/>
      <c r="C4665" s="287"/>
      <c r="D4665" s="288"/>
      <c r="E4665" s="288"/>
    </row>
    <row r="4666" spans="1:5" x14ac:dyDescent="0.25">
      <c r="A4666" s="274"/>
      <c r="B4666" s="498"/>
      <c r="C4666" s="287"/>
      <c r="D4666" s="288"/>
      <c r="E4666" s="288"/>
    </row>
    <row r="4667" spans="1:5" x14ac:dyDescent="0.25">
      <c r="A4667" s="274"/>
      <c r="B4667" s="498"/>
      <c r="C4667" s="287"/>
      <c r="D4667" s="288"/>
      <c r="E4667" s="288"/>
    </row>
    <row r="4668" spans="1:5" x14ac:dyDescent="0.25">
      <c r="A4668" s="274"/>
      <c r="B4668" s="498"/>
      <c r="C4668" s="287"/>
      <c r="D4668" s="288"/>
      <c r="E4668" s="288"/>
    </row>
    <row r="4669" spans="1:5" x14ac:dyDescent="0.25">
      <c r="A4669" s="274"/>
      <c r="B4669" s="498"/>
      <c r="C4669" s="287"/>
      <c r="D4669" s="288"/>
      <c r="E4669" s="288"/>
    </row>
    <row r="4670" spans="1:5" x14ac:dyDescent="0.25">
      <c r="A4670" s="274"/>
      <c r="B4670" s="498"/>
      <c r="C4670" s="287"/>
      <c r="D4670" s="288"/>
      <c r="E4670" s="288"/>
    </row>
    <row r="4671" spans="1:5" x14ac:dyDescent="0.25">
      <c r="A4671" s="274"/>
      <c r="B4671" s="498"/>
      <c r="C4671" s="287"/>
      <c r="D4671" s="288"/>
      <c r="E4671" s="288"/>
    </row>
    <row r="4672" spans="1:5" x14ac:dyDescent="0.25">
      <c r="A4672" s="274"/>
      <c r="B4672" s="498"/>
      <c r="C4672" s="287"/>
      <c r="D4672" s="288"/>
      <c r="E4672" s="288"/>
    </row>
    <row r="4673" spans="1:5" x14ac:dyDescent="0.25">
      <c r="A4673" s="274"/>
      <c r="B4673" s="498"/>
      <c r="C4673" s="287"/>
      <c r="D4673" s="288"/>
      <c r="E4673" s="288"/>
    </row>
    <row r="4674" spans="1:5" x14ac:dyDescent="0.25">
      <c r="A4674" s="274"/>
      <c r="B4674" s="498"/>
      <c r="C4674" s="287"/>
      <c r="D4674" s="288"/>
      <c r="E4674" s="288"/>
    </row>
    <row r="4675" spans="1:5" x14ac:dyDescent="0.25">
      <c r="A4675" s="274"/>
      <c r="B4675" s="498"/>
      <c r="C4675" s="287"/>
      <c r="D4675" s="288"/>
      <c r="E4675" s="288"/>
    </row>
    <row r="4676" spans="1:5" x14ac:dyDescent="0.25">
      <c r="A4676" s="274"/>
      <c r="B4676" s="498"/>
      <c r="C4676" s="287"/>
      <c r="D4676" s="288"/>
      <c r="E4676" s="288"/>
    </row>
    <row r="4677" spans="1:5" x14ac:dyDescent="0.25">
      <c r="A4677" s="274"/>
      <c r="B4677" s="498"/>
      <c r="C4677" s="287"/>
      <c r="D4677" s="288"/>
      <c r="E4677" s="288"/>
    </row>
    <row r="4678" spans="1:5" x14ac:dyDescent="0.25">
      <c r="A4678" s="274"/>
      <c r="B4678" s="498"/>
      <c r="C4678" s="287"/>
      <c r="D4678" s="288"/>
      <c r="E4678" s="288"/>
    </row>
    <row r="4679" spans="1:5" x14ac:dyDescent="0.25">
      <c r="A4679" s="274"/>
      <c r="B4679" s="498"/>
      <c r="C4679" s="287"/>
      <c r="D4679" s="288"/>
      <c r="E4679" s="288"/>
    </row>
    <row r="4680" spans="1:5" x14ac:dyDescent="0.25">
      <c r="A4680" s="274"/>
      <c r="B4680" s="498"/>
      <c r="C4680" s="287"/>
      <c r="D4680" s="288"/>
      <c r="E4680" s="288"/>
    </row>
    <row r="4681" spans="1:5" x14ac:dyDescent="0.25">
      <c r="A4681" s="274"/>
      <c r="B4681" s="498"/>
      <c r="C4681" s="287"/>
      <c r="D4681" s="288"/>
      <c r="E4681" s="288"/>
    </row>
    <row r="4682" spans="1:5" x14ac:dyDescent="0.25">
      <c r="A4682" s="274"/>
      <c r="B4682" s="498"/>
      <c r="C4682" s="287"/>
      <c r="D4682" s="288"/>
      <c r="E4682" s="288"/>
    </row>
    <row r="4683" spans="1:5" x14ac:dyDescent="0.25">
      <c r="A4683" s="274"/>
      <c r="B4683" s="498"/>
      <c r="C4683" s="287"/>
      <c r="D4683" s="288"/>
      <c r="E4683" s="288"/>
    </row>
    <row r="4684" spans="1:5" x14ac:dyDescent="0.25">
      <c r="A4684" s="274"/>
      <c r="B4684" s="498"/>
      <c r="C4684" s="287"/>
      <c r="D4684" s="288"/>
      <c r="E4684" s="288"/>
    </row>
    <row r="4685" spans="1:5" x14ac:dyDescent="0.25">
      <c r="A4685" s="274"/>
      <c r="B4685" s="498"/>
      <c r="C4685" s="287"/>
      <c r="D4685" s="288"/>
      <c r="E4685" s="288"/>
    </row>
    <row r="4686" spans="1:5" x14ac:dyDescent="0.25">
      <c r="A4686" s="274"/>
      <c r="B4686" s="498"/>
      <c r="C4686" s="287"/>
      <c r="D4686" s="288"/>
      <c r="E4686" s="288"/>
    </row>
    <row r="4687" spans="1:5" x14ac:dyDescent="0.25">
      <c r="A4687" s="274"/>
      <c r="B4687" s="498"/>
      <c r="C4687" s="287"/>
      <c r="D4687" s="288"/>
      <c r="E4687" s="288"/>
    </row>
    <row r="4688" spans="1:5" x14ac:dyDescent="0.25">
      <c r="A4688" s="274"/>
      <c r="B4688" s="498"/>
      <c r="C4688" s="287"/>
      <c r="D4688" s="288"/>
      <c r="E4688" s="288"/>
    </row>
    <row r="4689" spans="1:5" x14ac:dyDescent="0.25">
      <c r="A4689" s="274"/>
      <c r="B4689" s="498"/>
      <c r="C4689" s="287"/>
      <c r="D4689" s="288"/>
      <c r="E4689" s="288"/>
    </row>
    <row r="4690" spans="1:5" x14ac:dyDescent="0.25">
      <c r="A4690" s="274"/>
      <c r="B4690" s="498"/>
      <c r="C4690" s="287"/>
      <c r="D4690" s="288"/>
      <c r="E4690" s="288"/>
    </row>
    <row r="4691" spans="1:5" x14ac:dyDescent="0.25">
      <c r="A4691" s="274"/>
      <c r="B4691" s="498"/>
      <c r="C4691" s="287"/>
      <c r="D4691" s="288"/>
      <c r="E4691" s="288"/>
    </row>
    <row r="4692" spans="1:5" x14ac:dyDescent="0.25">
      <c r="A4692" s="274"/>
      <c r="B4692" s="498"/>
      <c r="C4692" s="287"/>
      <c r="D4692" s="288"/>
      <c r="E4692" s="288"/>
    </row>
    <row r="4693" spans="1:5" x14ac:dyDescent="0.25">
      <c r="A4693" s="274"/>
      <c r="B4693" s="498"/>
      <c r="C4693" s="287"/>
      <c r="D4693" s="288"/>
      <c r="E4693" s="288"/>
    </row>
    <row r="4694" spans="1:5" x14ac:dyDescent="0.25">
      <c r="A4694" s="274"/>
      <c r="B4694" s="498"/>
      <c r="C4694" s="287"/>
      <c r="D4694" s="288"/>
      <c r="E4694" s="288"/>
    </row>
    <row r="4695" spans="1:5" x14ac:dyDescent="0.25">
      <c r="A4695" s="274"/>
      <c r="B4695" s="498"/>
      <c r="C4695" s="287"/>
      <c r="D4695" s="288"/>
      <c r="E4695" s="288"/>
    </row>
    <row r="4696" spans="1:5" x14ac:dyDescent="0.25">
      <c r="A4696" s="274"/>
      <c r="B4696" s="498"/>
      <c r="C4696" s="287"/>
      <c r="D4696" s="288"/>
      <c r="E4696" s="288"/>
    </row>
    <row r="4697" spans="1:5" x14ac:dyDescent="0.25">
      <c r="A4697" s="274"/>
      <c r="B4697" s="498"/>
      <c r="C4697" s="287"/>
      <c r="D4697" s="288"/>
      <c r="E4697" s="288"/>
    </row>
    <row r="4698" spans="1:5" x14ac:dyDescent="0.25">
      <c r="A4698" s="274"/>
      <c r="B4698" s="498"/>
      <c r="C4698" s="287"/>
      <c r="D4698" s="288"/>
      <c r="E4698" s="288"/>
    </row>
    <row r="4699" spans="1:5" x14ac:dyDescent="0.25">
      <c r="A4699" s="274"/>
      <c r="B4699" s="498"/>
      <c r="C4699" s="287"/>
      <c r="D4699" s="288"/>
      <c r="E4699" s="288"/>
    </row>
    <row r="4700" spans="1:5" x14ac:dyDescent="0.25">
      <c r="A4700" s="274"/>
      <c r="B4700" s="498"/>
      <c r="C4700" s="287"/>
      <c r="D4700" s="288"/>
      <c r="E4700" s="288"/>
    </row>
    <row r="4701" spans="1:5" x14ac:dyDescent="0.25">
      <c r="A4701" s="274"/>
      <c r="B4701" s="498"/>
      <c r="C4701" s="287"/>
      <c r="D4701" s="288"/>
      <c r="E4701" s="288"/>
    </row>
    <row r="4702" spans="1:5" x14ac:dyDescent="0.25">
      <c r="A4702" s="274"/>
      <c r="B4702" s="498"/>
      <c r="C4702" s="287"/>
      <c r="D4702" s="288"/>
      <c r="E4702" s="288"/>
    </row>
    <row r="4703" spans="1:5" x14ac:dyDescent="0.25">
      <c r="A4703" s="274"/>
      <c r="B4703" s="498"/>
      <c r="C4703" s="287"/>
      <c r="D4703" s="288"/>
      <c r="E4703" s="288"/>
    </row>
    <row r="4704" spans="1:5" x14ac:dyDescent="0.25">
      <c r="A4704" s="274"/>
      <c r="B4704" s="498"/>
      <c r="C4704" s="287"/>
      <c r="D4704" s="288"/>
      <c r="E4704" s="288"/>
    </row>
    <row r="4705" spans="1:5" x14ac:dyDescent="0.25">
      <c r="A4705" s="274"/>
      <c r="B4705" s="498"/>
      <c r="C4705" s="287"/>
      <c r="D4705" s="288"/>
      <c r="E4705" s="288"/>
    </row>
    <row r="4706" spans="1:5" x14ac:dyDescent="0.25">
      <c r="A4706" s="274"/>
      <c r="B4706" s="498"/>
      <c r="C4706" s="287"/>
      <c r="D4706" s="288"/>
      <c r="E4706" s="288"/>
    </row>
    <row r="4707" spans="1:5" x14ac:dyDescent="0.25">
      <c r="A4707" s="274"/>
      <c r="B4707" s="498"/>
      <c r="C4707" s="287"/>
      <c r="D4707" s="288"/>
      <c r="E4707" s="288"/>
    </row>
    <row r="4708" spans="1:5" x14ac:dyDescent="0.25">
      <c r="A4708" s="274"/>
      <c r="B4708" s="498"/>
      <c r="C4708" s="287"/>
      <c r="D4708" s="288"/>
      <c r="E4708" s="288"/>
    </row>
    <row r="4709" spans="1:5" x14ac:dyDescent="0.25">
      <c r="A4709" s="274"/>
      <c r="B4709" s="498"/>
      <c r="C4709" s="287"/>
      <c r="D4709" s="288"/>
      <c r="E4709" s="288"/>
    </row>
    <row r="4710" spans="1:5" x14ac:dyDescent="0.25">
      <c r="A4710" s="274"/>
      <c r="B4710" s="498"/>
      <c r="C4710" s="287"/>
      <c r="D4710" s="288"/>
      <c r="E4710" s="288"/>
    </row>
    <row r="4711" spans="1:5" x14ac:dyDescent="0.25">
      <c r="A4711" s="274"/>
      <c r="B4711" s="498"/>
      <c r="C4711" s="287"/>
      <c r="D4711" s="288"/>
      <c r="E4711" s="288"/>
    </row>
    <row r="4712" spans="1:5" x14ac:dyDescent="0.25">
      <c r="A4712" s="274"/>
      <c r="B4712" s="498"/>
      <c r="C4712" s="287"/>
      <c r="D4712" s="288"/>
      <c r="E4712" s="288"/>
    </row>
    <row r="4713" spans="1:5" x14ac:dyDescent="0.25">
      <c r="A4713" s="274"/>
      <c r="B4713" s="498"/>
      <c r="C4713" s="287"/>
      <c r="D4713" s="288"/>
      <c r="E4713" s="288"/>
    </row>
    <row r="4714" spans="1:5" x14ac:dyDescent="0.25">
      <c r="A4714" s="274"/>
      <c r="B4714" s="498"/>
      <c r="C4714" s="287"/>
      <c r="D4714" s="288"/>
      <c r="E4714" s="288"/>
    </row>
    <row r="4715" spans="1:5" x14ac:dyDescent="0.25">
      <c r="A4715" s="274"/>
      <c r="B4715" s="498"/>
      <c r="C4715" s="287"/>
      <c r="D4715" s="288"/>
      <c r="E4715" s="288"/>
    </row>
    <row r="4716" spans="1:5" x14ac:dyDescent="0.25">
      <c r="A4716" s="274"/>
      <c r="B4716" s="498"/>
      <c r="C4716" s="287"/>
      <c r="D4716" s="288"/>
      <c r="E4716" s="288"/>
    </row>
    <row r="4717" spans="1:5" x14ac:dyDescent="0.25">
      <c r="A4717" s="274"/>
      <c r="B4717" s="498"/>
      <c r="C4717" s="287"/>
      <c r="D4717" s="288"/>
      <c r="E4717" s="288"/>
    </row>
    <row r="4718" spans="1:5" x14ac:dyDescent="0.25">
      <c r="A4718" s="274"/>
      <c r="B4718" s="498"/>
      <c r="C4718" s="287"/>
      <c r="D4718" s="288"/>
      <c r="E4718" s="288"/>
    </row>
    <row r="4719" spans="1:5" x14ac:dyDescent="0.25">
      <c r="A4719" s="274"/>
      <c r="B4719" s="498"/>
      <c r="C4719" s="287"/>
      <c r="D4719" s="288"/>
      <c r="E4719" s="288"/>
    </row>
    <row r="4720" spans="1:5" x14ac:dyDescent="0.25">
      <c r="A4720" s="274"/>
      <c r="B4720" s="498"/>
      <c r="C4720" s="287"/>
      <c r="D4720" s="288"/>
      <c r="E4720" s="288"/>
    </row>
    <row r="4721" spans="1:5" x14ac:dyDescent="0.25">
      <c r="A4721" s="274"/>
      <c r="B4721" s="498"/>
      <c r="C4721" s="287"/>
      <c r="D4721" s="288"/>
      <c r="E4721" s="288"/>
    </row>
    <row r="4722" spans="1:5" x14ac:dyDescent="0.25">
      <c r="A4722" s="274"/>
      <c r="B4722" s="498"/>
      <c r="C4722" s="287"/>
      <c r="D4722" s="288"/>
      <c r="E4722" s="288"/>
    </row>
    <row r="4723" spans="1:5" x14ac:dyDescent="0.25">
      <c r="A4723" s="274"/>
      <c r="B4723" s="498"/>
      <c r="C4723" s="287"/>
      <c r="D4723" s="288"/>
      <c r="E4723" s="288"/>
    </row>
    <row r="4724" spans="1:5" x14ac:dyDescent="0.25">
      <c r="A4724" s="274"/>
      <c r="B4724" s="498"/>
      <c r="C4724" s="287"/>
      <c r="D4724" s="288"/>
      <c r="E4724" s="288"/>
    </row>
    <row r="4725" spans="1:5" x14ac:dyDescent="0.25">
      <c r="A4725" s="274"/>
      <c r="B4725" s="498"/>
      <c r="C4725" s="287"/>
      <c r="D4725" s="288"/>
      <c r="E4725" s="288"/>
    </row>
    <row r="4726" spans="1:5" x14ac:dyDescent="0.25">
      <c r="A4726" s="274"/>
      <c r="B4726" s="498"/>
      <c r="C4726" s="287"/>
      <c r="D4726" s="288"/>
      <c r="E4726" s="288"/>
    </row>
    <row r="4727" spans="1:5" x14ac:dyDescent="0.25">
      <c r="A4727" s="274"/>
      <c r="B4727" s="498"/>
      <c r="C4727" s="287"/>
      <c r="D4727" s="288"/>
      <c r="E4727" s="288"/>
    </row>
    <row r="4728" spans="1:5" x14ac:dyDescent="0.25">
      <c r="A4728" s="274"/>
      <c r="B4728" s="498"/>
      <c r="C4728" s="287"/>
      <c r="D4728" s="288"/>
      <c r="E4728" s="288"/>
    </row>
    <row r="4729" spans="1:5" x14ac:dyDescent="0.25">
      <c r="A4729" s="274"/>
      <c r="B4729" s="498"/>
      <c r="C4729" s="287"/>
      <c r="D4729" s="288"/>
      <c r="E4729" s="288"/>
    </row>
    <row r="4730" spans="1:5" x14ac:dyDescent="0.25">
      <c r="A4730" s="274"/>
      <c r="B4730" s="498"/>
      <c r="C4730" s="287"/>
      <c r="D4730" s="288"/>
      <c r="E4730" s="288"/>
    </row>
    <row r="4731" spans="1:5" x14ac:dyDescent="0.25">
      <c r="A4731" s="274"/>
      <c r="B4731" s="498"/>
      <c r="C4731" s="287"/>
      <c r="D4731" s="288"/>
      <c r="E4731" s="288"/>
    </row>
    <row r="4732" spans="1:5" x14ac:dyDescent="0.25">
      <c r="A4732" s="274"/>
      <c r="B4732" s="498"/>
      <c r="C4732" s="287"/>
      <c r="D4732" s="288"/>
      <c r="E4732" s="288"/>
    </row>
    <row r="4733" spans="1:5" x14ac:dyDescent="0.25">
      <c r="A4733" s="274"/>
      <c r="B4733" s="498"/>
      <c r="C4733" s="287"/>
      <c r="D4733" s="288"/>
      <c r="E4733" s="288"/>
    </row>
    <row r="4734" spans="1:5" x14ac:dyDescent="0.25">
      <c r="A4734" s="274"/>
      <c r="B4734" s="498"/>
      <c r="C4734" s="287"/>
      <c r="D4734" s="288"/>
      <c r="E4734" s="288"/>
    </row>
    <row r="4735" spans="1:5" x14ac:dyDescent="0.25">
      <c r="A4735" s="274"/>
      <c r="B4735" s="498"/>
      <c r="C4735" s="287"/>
      <c r="D4735" s="288"/>
      <c r="E4735" s="288"/>
    </row>
    <row r="4736" spans="1:5" x14ac:dyDescent="0.25">
      <c r="A4736" s="274"/>
      <c r="B4736" s="498"/>
      <c r="C4736" s="287"/>
      <c r="D4736" s="288"/>
      <c r="E4736" s="288"/>
    </row>
    <row r="4737" spans="1:5" x14ac:dyDescent="0.25">
      <c r="A4737" s="274"/>
      <c r="B4737" s="498"/>
      <c r="C4737" s="287"/>
      <c r="D4737" s="288"/>
      <c r="E4737" s="288"/>
    </row>
    <row r="4738" spans="1:5" x14ac:dyDescent="0.25">
      <c r="A4738" s="274"/>
      <c r="B4738" s="498"/>
      <c r="C4738" s="287"/>
      <c r="D4738" s="288"/>
      <c r="E4738" s="288"/>
    </row>
    <row r="4739" spans="1:5" x14ac:dyDescent="0.25">
      <c r="A4739" s="274"/>
      <c r="B4739" s="498"/>
      <c r="C4739" s="287"/>
      <c r="D4739" s="288"/>
      <c r="E4739" s="288"/>
    </row>
    <row r="4740" spans="1:5" x14ac:dyDescent="0.25">
      <c r="A4740" s="274"/>
      <c r="B4740" s="498"/>
      <c r="C4740" s="287"/>
      <c r="D4740" s="288"/>
      <c r="E4740" s="288"/>
    </row>
    <row r="4741" spans="1:5" x14ac:dyDescent="0.25">
      <c r="A4741" s="274"/>
      <c r="B4741" s="498"/>
      <c r="C4741" s="287"/>
      <c r="D4741" s="288"/>
      <c r="E4741" s="288"/>
    </row>
    <row r="4742" spans="1:5" x14ac:dyDescent="0.25">
      <c r="A4742" s="274"/>
      <c r="B4742" s="498"/>
      <c r="C4742" s="287"/>
      <c r="D4742" s="288"/>
      <c r="E4742" s="288"/>
    </row>
    <row r="4743" spans="1:5" x14ac:dyDescent="0.25">
      <c r="A4743" s="274"/>
      <c r="B4743" s="498"/>
      <c r="C4743" s="287"/>
      <c r="D4743" s="288"/>
      <c r="E4743" s="288"/>
    </row>
    <row r="4744" spans="1:5" x14ac:dyDescent="0.25">
      <c r="A4744" s="274"/>
      <c r="B4744" s="498"/>
      <c r="C4744" s="287"/>
      <c r="D4744" s="288"/>
      <c r="E4744" s="288"/>
    </row>
    <row r="4745" spans="1:5" x14ac:dyDescent="0.25">
      <c r="A4745" s="274"/>
      <c r="B4745" s="498"/>
      <c r="C4745" s="287"/>
      <c r="D4745" s="288"/>
      <c r="E4745" s="288"/>
    </row>
    <row r="4746" spans="1:5" x14ac:dyDescent="0.25">
      <c r="A4746" s="274"/>
      <c r="B4746" s="498"/>
      <c r="C4746" s="287"/>
      <c r="D4746" s="288"/>
      <c r="E4746" s="288"/>
    </row>
    <row r="4747" spans="1:5" x14ac:dyDescent="0.25">
      <c r="A4747" s="274"/>
      <c r="B4747" s="498"/>
      <c r="C4747" s="287"/>
      <c r="D4747" s="288"/>
      <c r="E4747" s="288"/>
    </row>
    <row r="4748" spans="1:5" x14ac:dyDescent="0.25">
      <c r="A4748" s="274"/>
      <c r="B4748" s="498"/>
      <c r="C4748" s="287"/>
      <c r="D4748" s="288"/>
      <c r="E4748" s="288"/>
    </row>
    <row r="4749" spans="1:5" x14ac:dyDescent="0.25">
      <c r="A4749" s="274"/>
      <c r="B4749" s="498"/>
      <c r="C4749" s="287"/>
      <c r="D4749" s="288"/>
      <c r="E4749" s="288"/>
    </row>
    <row r="4750" spans="1:5" x14ac:dyDescent="0.25">
      <c r="A4750" s="274"/>
      <c r="B4750" s="498"/>
      <c r="C4750" s="287"/>
      <c r="D4750" s="288"/>
      <c r="E4750" s="288"/>
    </row>
    <row r="4751" spans="1:5" x14ac:dyDescent="0.25">
      <c r="A4751" s="274"/>
      <c r="B4751" s="498"/>
      <c r="C4751" s="287"/>
      <c r="D4751" s="288"/>
      <c r="E4751" s="288"/>
    </row>
    <row r="4752" spans="1:5" x14ac:dyDescent="0.25">
      <c r="A4752" s="274"/>
      <c r="B4752" s="498"/>
      <c r="C4752" s="287"/>
      <c r="D4752" s="288"/>
      <c r="E4752" s="288"/>
    </row>
    <row r="4753" spans="1:5" x14ac:dyDescent="0.25">
      <c r="A4753" s="274"/>
      <c r="B4753" s="498"/>
      <c r="C4753" s="287"/>
      <c r="D4753" s="288"/>
      <c r="E4753" s="288"/>
    </row>
    <row r="4754" spans="1:5" x14ac:dyDescent="0.25">
      <c r="A4754" s="274"/>
      <c r="B4754" s="498"/>
      <c r="C4754" s="287"/>
      <c r="D4754" s="288"/>
      <c r="E4754" s="288"/>
    </row>
    <row r="4755" spans="1:5" x14ac:dyDescent="0.25">
      <c r="A4755" s="274"/>
      <c r="B4755" s="498"/>
      <c r="C4755" s="287"/>
      <c r="D4755" s="288"/>
      <c r="E4755" s="288"/>
    </row>
    <row r="4756" spans="1:5" x14ac:dyDescent="0.25">
      <c r="A4756" s="274"/>
      <c r="B4756" s="498"/>
      <c r="C4756" s="287"/>
      <c r="D4756" s="288"/>
      <c r="E4756" s="288"/>
    </row>
    <row r="4757" spans="1:5" x14ac:dyDescent="0.25">
      <c r="A4757" s="274"/>
      <c r="B4757" s="498"/>
      <c r="C4757" s="287"/>
      <c r="D4757" s="288"/>
      <c r="E4757" s="288"/>
    </row>
    <row r="4758" spans="1:5" x14ac:dyDescent="0.25">
      <c r="A4758" s="274"/>
      <c r="B4758" s="498"/>
      <c r="C4758" s="287"/>
      <c r="D4758" s="288"/>
      <c r="E4758" s="288"/>
    </row>
    <row r="4759" spans="1:5" x14ac:dyDescent="0.25">
      <c r="A4759" s="274"/>
      <c r="B4759" s="498"/>
      <c r="C4759" s="287"/>
      <c r="D4759" s="288"/>
      <c r="E4759" s="288"/>
    </row>
    <row r="4760" spans="1:5" x14ac:dyDescent="0.25">
      <c r="A4760" s="274"/>
      <c r="B4760" s="498"/>
      <c r="C4760" s="287"/>
      <c r="D4760" s="288"/>
      <c r="E4760" s="288"/>
    </row>
    <row r="4761" spans="1:5" x14ac:dyDescent="0.25">
      <c r="A4761" s="274"/>
      <c r="B4761" s="498"/>
      <c r="C4761" s="287"/>
      <c r="D4761" s="288"/>
      <c r="E4761" s="288"/>
    </row>
    <row r="4762" spans="1:5" x14ac:dyDescent="0.25">
      <c r="A4762" s="274"/>
      <c r="B4762" s="498"/>
      <c r="C4762" s="287"/>
      <c r="D4762" s="288"/>
      <c r="E4762" s="288"/>
    </row>
    <row r="4763" spans="1:5" x14ac:dyDescent="0.25">
      <c r="A4763" s="274"/>
      <c r="B4763" s="498"/>
      <c r="C4763" s="287"/>
      <c r="D4763" s="288"/>
      <c r="E4763" s="288"/>
    </row>
    <row r="4764" spans="1:5" x14ac:dyDescent="0.25">
      <c r="A4764" s="274"/>
      <c r="B4764" s="498"/>
      <c r="C4764" s="287"/>
      <c r="D4764" s="288"/>
      <c r="E4764" s="288"/>
    </row>
    <row r="4765" spans="1:5" x14ac:dyDescent="0.25">
      <c r="A4765" s="274"/>
      <c r="B4765" s="498"/>
      <c r="C4765" s="287"/>
      <c r="D4765" s="288"/>
      <c r="E4765" s="288"/>
    </row>
    <row r="4766" spans="1:5" x14ac:dyDescent="0.25">
      <c r="A4766" s="274"/>
      <c r="B4766" s="498"/>
      <c r="C4766" s="287"/>
      <c r="D4766" s="288"/>
      <c r="E4766" s="288"/>
    </row>
    <row r="4767" spans="1:5" x14ac:dyDescent="0.25">
      <c r="A4767" s="274"/>
      <c r="B4767" s="498"/>
      <c r="C4767" s="287"/>
      <c r="D4767" s="288"/>
      <c r="E4767" s="288"/>
    </row>
    <row r="4768" spans="1:5" x14ac:dyDescent="0.25">
      <c r="A4768" s="274"/>
      <c r="B4768" s="498"/>
      <c r="C4768" s="287"/>
      <c r="D4768" s="288"/>
      <c r="E4768" s="288"/>
    </row>
    <row r="4769" spans="1:5" x14ac:dyDescent="0.25">
      <c r="A4769" s="274"/>
      <c r="B4769" s="498"/>
      <c r="C4769" s="287"/>
      <c r="D4769" s="288"/>
      <c r="E4769" s="288"/>
    </row>
    <row r="4770" spans="1:5" x14ac:dyDescent="0.25">
      <c r="A4770" s="274"/>
      <c r="B4770" s="498"/>
      <c r="C4770" s="287"/>
      <c r="D4770" s="288"/>
      <c r="E4770" s="288"/>
    </row>
    <row r="4771" spans="1:5" x14ac:dyDescent="0.25">
      <c r="A4771" s="274"/>
      <c r="B4771" s="498"/>
      <c r="C4771" s="287"/>
      <c r="D4771" s="288"/>
      <c r="E4771" s="288"/>
    </row>
    <row r="4772" spans="1:5" x14ac:dyDescent="0.25">
      <c r="A4772" s="274"/>
      <c r="B4772" s="498"/>
      <c r="C4772" s="287"/>
      <c r="D4772" s="288"/>
      <c r="E4772" s="288"/>
    </row>
    <row r="4773" spans="1:5" x14ac:dyDescent="0.25">
      <c r="A4773" s="274"/>
      <c r="B4773" s="498"/>
      <c r="C4773" s="287"/>
      <c r="D4773" s="288"/>
      <c r="E4773" s="288"/>
    </row>
    <row r="4774" spans="1:5" x14ac:dyDescent="0.25">
      <c r="A4774" s="274"/>
      <c r="B4774" s="498"/>
      <c r="C4774" s="287"/>
      <c r="D4774" s="288"/>
      <c r="E4774" s="288"/>
    </row>
    <row r="4775" spans="1:5" x14ac:dyDescent="0.25">
      <c r="A4775" s="274"/>
      <c r="B4775" s="498"/>
      <c r="C4775" s="287"/>
      <c r="D4775" s="288"/>
      <c r="E4775" s="288"/>
    </row>
    <row r="4776" spans="1:5" x14ac:dyDescent="0.25">
      <c r="A4776" s="274"/>
      <c r="B4776" s="498"/>
      <c r="C4776" s="287"/>
      <c r="D4776" s="288"/>
      <c r="E4776" s="288"/>
    </row>
    <row r="4777" spans="1:5" x14ac:dyDescent="0.25">
      <c r="A4777" s="274"/>
      <c r="B4777" s="498"/>
      <c r="C4777" s="287"/>
      <c r="D4777" s="288"/>
      <c r="E4777" s="288"/>
    </row>
    <row r="4778" spans="1:5" x14ac:dyDescent="0.25">
      <c r="A4778" s="274"/>
      <c r="B4778" s="498"/>
      <c r="C4778" s="287"/>
      <c r="D4778" s="288"/>
      <c r="E4778" s="288"/>
    </row>
    <row r="4779" spans="1:5" x14ac:dyDescent="0.25">
      <c r="A4779" s="274"/>
      <c r="B4779" s="498"/>
      <c r="C4779" s="287"/>
      <c r="D4779" s="288"/>
      <c r="E4779" s="288"/>
    </row>
    <row r="4780" spans="1:5" x14ac:dyDescent="0.25">
      <c r="A4780" s="274"/>
      <c r="B4780" s="498"/>
      <c r="C4780" s="287"/>
      <c r="D4780" s="288"/>
      <c r="E4780" s="288"/>
    </row>
    <row r="4781" spans="1:5" x14ac:dyDescent="0.25">
      <c r="A4781" s="274"/>
      <c r="B4781" s="498"/>
      <c r="C4781" s="287"/>
      <c r="D4781" s="288"/>
      <c r="E4781" s="288"/>
    </row>
    <row r="4782" spans="1:5" x14ac:dyDescent="0.25">
      <c r="A4782" s="274"/>
      <c r="B4782" s="498"/>
      <c r="C4782" s="287"/>
      <c r="D4782" s="288"/>
      <c r="E4782" s="288"/>
    </row>
    <row r="4783" spans="1:5" x14ac:dyDescent="0.25">
      <c r="A4783" s="274"/>
      <c r="B4783" s="498"/>
      <c r="C4783" s="287"/>
      <c r="D4783" s="288"/>
      <c r="E4783" s="288"/>
    </row>
    <row r="4784" spans="1:5" x14ac:dyDescent="0.25">
      <c r="A4784" s="274"/>
      <c r="B4784" s="498"/>
      <c r="C4784" s="287"/>
      <c r="D4784" s="288"/>
      <c r="E4784" s="288"/>
    </row>
    <row r="4785" spans="1:5" x14ac:dyDescent="0.25">
      <c r="A4785" s="274"/>
      <c r="B4785" s="498"/>
      <c r="C4785" s="287"/>
      <c r="D4785" s="288"/>
      <c r="E4785" s="288"/>
    </row>
    <row r="4786" spans="1:5" x14ac:dyDescent="0.25">
      <c r="A4786" s="274"/>
      <c r="B4786" s="498"/>
      <c r="C4786" s="287"/>
      <c r="D4786" s="288"/>
      <c r="E4786" s="288"/>
    </row>
    <row r="4787" spans="1:5" x14ac:dyDescent="0.25">
      <c r="A4787" s="274"/>
      <c r="B4787" s="498"/>
      <c r="C4787" s="287"/>
      <c r="D4787" s="288"/>
      <c r="E4787" s="288"/>
    </row>
    <row r="4788" spans="1:5" x14ac:dyDescent="0.25">
      <c r="A4788" s="274"/>
      <c r="B4788" s="498"/>
      <c r="C4788" s="287"/>
      <c r="D4788" s="288"/>
      <c r="E4788" s="288"/>
    </row>
    <row r="4789" spans="1:5" x14ac:dyDescent="0.25">
      <c r="A4789" s="274"/>
      <c r="B4789" s="498"/>
      <c r="C4789" s="287"/>
      <c r="D4789" s="288"/>
      <c r="E4789" s="288"/>
    </row>
    <row r="4790" spans="1:5" x14ac:dyDescent="0.25">
      <c r="A4790" s="274"/>
      <c r="B4790" s="498"/>
      <c r="C4790" s="287"/>
      <c r="D4790" s="288"/>
      <c r="E4790" s="288"/>
    </row>
    <row r="4791" spans="1:5" x14ac:dyDescent="0.25">
      <c r="A4791" s="274"/>
      <c r="B4791" s="498"/>
      <c r="C4791" s="287"/>
      <c r="D4791" s="288"/>
      <c r="E4791" s="288"/>
    </row>
    <row r="4792" spans="1:5" x14ac:dyDescent="0.25">
      <c r="A4792" s="274"/>
      <c r="B4792" s="498"/>
      <c r="C4792" s="287"/>
      <c r="D4792" s="288"/>
      <c r="E4792" s="288"/>
    </row>
    <row r="4793" spans="1:5" x14ac:dyDescent="0.25">
      <c r="A4793" s="274"/>
      <c r="B4793" s="498"/>
      <c r="C4793" s="287"/>
      <c r="D4793" s="288"/>
      <c r="E4793" s="288"/>
    </row>
    <row r="4794" spans="1:5" x14ac:dyDescent="0.25">
      <c r="A4794" s="274"/>
      <c r="B4794" s="498"/>
      <c r="C4794" s="287"/>
      <c r="D4794" s="288"/>
      <c r="E4794" s="288"/>
    </row>
    <row r="4795" spans="1:5" x14ac:dyDescent="0.25">
      <c r="A4795" s="274"/>
      <c r="B4795" s="498"/>
      <c r="C4795" s="287"/>
      <c r="D4795" s="288"/>
      <c r="E4795" s="288"/>
    </row>
    <row r="4796" spans="1:5" x14ac:dyDescent="0.25">
      <c r="A4796" s="274"/>
      <c r="B4796" s="498"/>
      <c r="C4796" s="287"/>
      <c r="D4796" s="288"/>
      <c r="E4796" s="288"/>
    </row>
    <row r="4797" spans="1:5" x14ac:dyDescent="0.25">
      <c r="A4797" s="274"/>
      <c r="B4797" s="498"/>
      <c r="C4797" s="287"/>
      <c r="D4797" s="288"/>
      <c r="E4797" s="288"/>
    </row>
    <row r="4798" spans="1:5" x14ac:dyDescent="0.25">
      <c r="A4798" s="274"/>
      <c r="B4798" s="498"/>
      <c r="C4798" s="287"/>
      <c r="D4798" s="288"/>
      <c r="E4798" s="288"/>
    </row>
    <row r="4799" spans="1:5" x14ac:dyDescent="0.25">
      <c r="A4799" s="274"/>
      <c r="B4799" s="498"/>
      <c r="C4799" s="287"/>
      <c r="D4799" s="288"/>
      <c r="E4799" s="288"/>
    </row>
    <row r="4800" spans="1:5" x14ac:dyDescent="0.25">
      <c r="A4800" s="274"/>
      <c r="B4800" s="498"/>
      <c r="C4800" s="287"/>
      <c r="D4800" s="288"/>
      <c r="E4800" s="288"/>
    </row>
    <row r="4801" spans="1:5" x14ac:dyDescent="0.25">
      <c r="A4801" s="274"/>
      <c r="B4801" s="498"/>
      <c r="C4801" s="287"/>
      <c r="D4801" s="288"/>
      <c r="E4801" s="288"/>
    </row>
    <row r="4802" spans="1:5" x14ac:dyDescent="0.25">
      <c r="A4802" s="274"/>
      <c r="B4802" s="498"/>
      <c r="C4802" s="287"/>
      <c r="D4802" s="288"/>
      <c r="E4802" s="288"/>
    </row>
    <row r="4803" spans="1:5" x14ac:dyDescent="0.25">
      <c r="A4803" s="274"/>
      <c r="B4803" s="498"/>
      <c r="C4803" s="287"/>
      <c r="D4803" s="288"/>
      <c r="E4803" s="288"/>
    </row>
    <row r="4804" spans="1:5" x14ac:dyDescent="0.25">
      <c r="A4804" s="274"/>
      <c r="B4804" s="498"/>
      <c r="C4804" s="287"/>
      <c r="D4804" s="288"/>
      <c r="E4804" s="288"/>
    </row>
    <row r="4805" spans="1:5" x14ac:dyDescent="0.25">
      <c r="A4805" s="274"/>
      <c r="B4805" s="498"/>
      <c r="C4805" s="287"/>
      <c r="D4805" s="288"/>
      <c r="E4805" s="288"/>
    </row>
    <row r="4806" spans="1:5" x14ac:dyDescent="0.25">
      <c r="A4806" s="274"/>
      <c r="B4806" s="498"/>
      <c r="C4806" s="287"/>
      <c r="D4806" s="288"/>
      <c r="E4806" s="288"/>
    </row>
    <row r="4807" spans="1:5" x14ac:dyDescent="0.25">
      <c r="A4807" s="274"/>
      <c r="B4807" s="498"/>
      <c r="C4807" s="287"/>
      <c r="D4807" s="288"/>
      <c r="E4807" s="288"/>
    </row>
    <row r="4808" spans="1:5" x14ac:dyDescent="0.25">
      <c r="A4808" s="274"/>
      <c r="B4808" s="498"/>
      <c r="C4808" s="287"/>
      <c r="D4808" s="288"/>
      <c r="E4808" s="288"/>
    </row>
    <row r="4809" spans="1:5" x14ac:dyDescent="0.25">
      <c r="A4809" s="274"/>
      <c r="B4809" s="498"/>
      <c r="C4809" s="287"/>
      <c r="D4809" s="288"/>
      <c r="E4809" s="288"/>
    </row>
    <row r="4810" spans="1:5" x14ac:dyDescent="0.25">
      <c r="A4810" s="274"/>
      <c r="B4810" s="498"/>
      <c r="C4810" s="287"/>
      <c r="D4810" s="288"/>
      <c r="E4810" s="288"/>
    </row>
    <row r="4811" spans="1:5" x14ac:dyDescent="0.25">
      <c r="A4811" s="274"/>
      <c r="B4811" s="498"/>
      <c r="C4811" s="287"/>
      <c r="D4811" s="288"/>
      <c r="E4811" s="288"/>
    </row>
    <row r="4812" spans="1:5" x14ac:dyDescent="0.25">
      <c r="A4812" s="274"/>
      <c r="B4812" s="498"/>
      <c r="C4812" s="287"/>
      <c r="D4812" s="288"/>
      <c r="E4812" s="288"/>
    </row>
    <row r="4813" spans="1:5" x14ac:dyDescent="0.25">
      <c r="A4813" s="274"/>
      <c r="B4813" s="498"/>
      <c r="C4813" s="287"/>
      <c r="D4813" s="288"/>
      <c r="E4813" s="288"/>
    </row>
    <row r="4814" spans="1:5" x14ac:dyDescent="0.25">
      <c r="A4814" s="274"/>
      <c r="B4814" s="498"/>
      <c r="C4814" s="287"/>
      <c r="D4814" s="288"/>
      <c r="E4814" s="288"/>
    </row>
    <row r="4815" spans="1:5" x14ac:dyDescent="0.25">
      <c r="A4815" s="274"/>
      <c r="B4815" s="498"/>
      <c r="C4815" s="287"/>
      <c r="D4815" s="288"/>
      <c r="E4815" s="288"/>
    </row>
    <row r="4816" spans="1:5" x14ac:dyDescent="0.25">
      <c r="A4816" s="274"/>
      <c r="B4816" s="498"/>
      <c r="C4816" s="287"/>
      <c r="D4816" s="288"/>
      <c r="E4816" s="288"/>
    </row>
    <row r="4817" spans="1:5" x14ac:dyDescent="0.25">
      <c r="A4817" s="274"/>
      <c r="B4817" s="498"/>
      <c r="C4817" s="287"/>
      <c r="D4817" s="288"/>
      <c r="E4817" s="288"/>
    </row>
    <row r="4818" spans="1:5" x14ac:dyDescent="0.25">
      <c r="A4818" s="274"/>
      <c r="B4818" s="498"/>
      <c r="C4818" s="287"/>
      <c r="D4818" s="288"/>
      <c r="E4818" s="288"/>
    </row>
    <row r="4819" spans="1:5" x14ac:dyDescent="0.25">
      <c r="A4819" s="274"/>
      <c r="B4819" s="498"/>
      <c r="C4819" s="287"/>
      <c r="D4819" s="288"/>
      <c r="E4819" s="288"/>
    </row>
    <row r="4820" spans="1:5" x14ac:dyDescent="0.25">
      <c r="A4820" s="274"/>
      <c r="B4820" s="498"/>
      <c r="C4820" s="287"/>
      <c r="D4820" s="288"/>
      <c r="E4820" s="288"/>
    </row>
    <row r="4821" spans="1:5" x14ac:dyDescent="0.25">
      <c r="A4821" s="274"/>
      <c r="B4821" s="498"/>
      <c r="C4821" s="287"/>
      <c r="D4821" s="288"/>
      <c r="E4821" s="288"/>
    </row>
    <row r="4822" spans="1:5" x14ac:dyDescent="0.25">
      <c r="A4822" s="274"/>
      <c r="B4822" s="498"/>
      <c r="C4822" s="287"/>
      <c r="D4822" s="288"/>
      <c r="E4822" s="288"/>
    </row>
    <row r="4823" spans="1:5" x14ac:dyDescent="0.25">
      <c r="A4823" s="274"/>
      <c r="B4823" s="498"/>
      <c r="C4823" s="287"/>
      <c r="D4823" s="288"/>
      <c r="E4823" s="288"/>
    </row>
    <row r="4824" spans="1:5" x14ac:dyDescent="0.25">
      <c r="A4824" s="274"/>
      <c r="B4824" s="498"/>
      <c r="C4824" s="287"/>
      <c r="D4824" s="288"/>
      <c r="E4824" s="288"/>
    </row>
    <row r="4825" spans="1:5" x14ac:dyDescent="0.25">
      <c r="A4825" s="274"/>
      <c r="B4825" s="498"/>
      <c r="C4825" s="287"/>
      <c r="D4825" s="288"/>
      <c r="E4825" s="288"/>
    </row>
    <row r="4826" spans="1:5" x14ac:dyDescent="0.25">
      <c r="A4826" s="274"/>
      <c r="B4826" s="498"/>
      <c r="C4826" s="287"/>
      <c r="D4826" s="288"/>
      <c r="E4826" s="288"/>
    </row>
    <row r="4827" spans="1:5" x14ac:dyDescent="0.25">
      <c r="A4827" s="274"/>
      <c r="B4827" s="498"/>
      <c r="C4827" s="287"/>
      <c r="D4827" s="288"/>
      <c r="E4827" s="288"/>
    </row>
    <row r="4828" spans="1:5" x14ac:dyDescent="0.25">
      <c r="A4828" s="274"/>
      <c r="B4828" s="498"/>
      <c r="C4828" s="287"/>
      <c r="D4828" s="288"/>
      <c r="E4828" s="288"/>
    </row>
    <row r="4829" spans="1:5" x14ac:dyDescent="0.25">
      <c r="A4829" s="274"/>
      <c r="B4829" s="498"/>
      <c r="C4829" s="287"/>
      <c r="D4829" s="288"/>
      <c r="E4829" s="288"/>
    </row>
    <row r="4830" spans="1:5" x14ac:dyDescent="0.25">
      <c r="A4830" s="274"/>
      <c r="B4830" s="498"/>
      <c r="C4830" s="287"/>
      <c r="D4830" s="288"/>
      <c r="E4830" s="288"/>
    </row>
    <row r="4831" spans="1:5" x14ac:dyDescent="0.25">
      <c r="A4831" s="274"/>
      <c r="B4831" s="498"/>
      <c r="C4831" s="287"/>
      <c r="D4831" s="288"/>
      <c r="E4831" s="288"/>
    </row>
    <row r="4832" spans="1:5" x14ac:dyDescent="0.25">
      <c r="A4832" s="274"/>
      <c r="B4832" s="498"/>
      <c r="C4832" s="287"/>
      <c r="D4832" s="288"/>
      <c r="E4832" s="288"/>
    </row>
    <row r="4833" spans="1:5" x14ac:dyDescent="0.25">
      <c r="A4833" s="274"/>
      <c r="B4833" s="498"/>
      <c r="C4833" s="287"/>
      <c r="D4833" s="288"/>
      <c r="E4833" s="288"/>
    </row>
    <row r="4834" spans="1:5" x14ac:dyDescent="0.25">
      <c r="A4834" s="274"/>
      <c r="B4834" s="498"/>
      <c r="C4834" s="287"/>
      <c r="D4834" s="288"/>
      <c r="E4834" s="288"/>
    </row>
    <row r="4835" spans="1:5" x14ac:dyDescent="0.25">
      <c r="A4835" s="274"/>
      <c r="B4835" s="498"/>
      <c r="C4835" s="287"/>
      <c r="D4835" s="288"/>
      <c r="E4835" s="288"/>
    </row>
    <row r="4836" spans="1:5" x14ac:dyDescent="0.25">
      <c r="A4836" s="274"/>
      <c r="B4836" s="498"/>
      <c r="C4836" s="287"/>
      <c r="D4836" s="288"/>
      <c r="E4836" s="288"/>
    </row>
    <row r="4837" spans="1:5" x14ac:dyDescent="0.25">
      <c r="A4837" s="274"/>
      <c r="B4837" s="498"/>
      <c r="C4837" s="287"/>
      <c r="D4837" s="288"/>
      <c r="E4837" s="288"/>
    </row>
    <row r="4838" spans="1:5" x14ac:dyDescent="0.25">
      <c r="A4838" s="274"/>
      <c r="B4838" s="498"/>
      <c r="C4838" s="287"/>
      <c r="D4838" s="288"/>
      <c r="E4838" s="288"/>
    </row>
    <row r="4839" spans="1:5" x14ac:dyDescent="0.25">
      <c r="A4839" s="274"/>
      <c r="B4839" s="498"/>
      <c r="C4839" s="287"/>
      <c r="D4839" s="288"/>
      <c r="E4839" s="288"/>
    </row>
    <row r="4840" spans="1:5" x14ac:dyDescent="0.25">
      <c r="A4840" s="274"/>
      <c r="B4840" s="498"/>
      <c r="C4840" s="287"/>
      <c r="D4840" s="288"/>
      <c r="E4840" s="288"/>
    </row>
    <row r="4841" spans="1:5" x14ac:dyDescent="0.25">
      <c r="A4841" s="274"/>
      <c r="B4841" s="498"/>
      <c r="C4841" s="287"/>
      <c r="D4841" s="288"/>
      <c r="E4841" s="288"/>
    </row>
    <row r="4842" spans="1:5" x14ac:dyDescent="0.25">
      <c r="A4842" s="274"/>
      <c r="B4842" s="498"/>
      <c r="C4842" s="287"/>
      <c r="D4842" s="288"/>
      <c r="E4842" s="288"/>
    </row>
    <row r="4843" spans="1:5" x14ac:dyDescent="0.25">
      <c r="A4843" s="274"/>
      <c r="B4843" s="498"/>
      <c r="C4843" s="287"/>
      <c r="D4843" s="288"/>
      <c r="E4843" s="288"/>
    </row>
    <row r="4844" spans="1:5" x14ac:dyDescent="0.25">
      <c r="A4844" s="274"/>
      <c r="B4844" s="498"/>
      <c r="C4844" s="287"/>
      <c r="D4844" s="288"/>
      <c r="E4844" s="288"/>
    </row>
    <row r="4845" spans="1:5" x14ac:dyDescent="0.25">
      <c r="A4845" s="274"/>
      <c r="B4845" s="498"/>
      <c r="C4845" s="287"/>
      <c r="D4845" s="288"/>
      <c r="E4845" s="288"/>
    </row>
    <row r="4846" spans="1:5" x14ac:dyDescent="0.25">
      <c r="A4846" s="274"/>
      <c r="B4846" s="498"/>
      <c r="C4846" s="287"/>
      <c r="D4846" s="288"/>
      <c r="E4846" s="288"/>
    </row>
    <row r="4847" spans="1:5" x14ac:dyDescent="0.25">
      <c r="A4847" s="274"/>
      <c r="B4847" s="498"/>
      <c r="C4847" s="287"/>
      <c r="D4847" s="288"/>
      <c r="E4847" s="288"/>
    </row>
    <row r="4848" spans="1:5" x14ac:dyDescent="0.25">
      <c r="A4848" s="274"/>
      <c r="B4848" s="498"/>
      <c r="C4848" s="287"/>
      <c r="D4848" s="288"/>
      <c r="E4848" s="288"/>
    </row>
    <row r="4849" spans="1:5" x14ac:dyDescent="0.25">
      <c r="A4849" s="274"/>
      <c r="B4849" s="498"/>
      <c r="C4849" s="287"/>
      <c r="D4849" s="288"/>
      <c r="E4849" s="288"/>
    </row>
    <row r="4850" spans="1:5" x14ac:dyDescent="0.25">
      <c r="A4850" s="274"/>
      <c r="B4850" s="498"/>
      <c r="C4850" s="287"/>
      <c r="D4850" s="288"/>
      <c r="E4850" s="288"/>
    </row>
    <row r="4851" spans="1:5" x14ac:dyDescent="0.25">
      <c r="A4851" s="274"/>
      <c r="B4851" s="498"/>
      <c r="C4851" s="287"/>
      <c r="D4851" s="288"/>
      <c r="E4851" s="288"/>
    </row>
    <row r="4852" spans="1:5" x14ac:dyDescent="0.25">
      <c r="A4852" s="274"/>
      <c r="B4852" s="498"/>
      <c r="C4852" s="287"/>
      <c r="D4852" s="288"/>
      <c r="E4852" s="288"/>
    </row>
    <row r="4853" spans="1:5" x14ac:dyDescent="0.25">
      <c r="A4853" s="274"/>
      <c r="B4853" s="498"/>
      <c r="C4853" s="287"/>
      <c r="D4853" s="288"/>
      <c r="E4853" s="288"/>
    </row>
    <row r="4854" spans="1:5" x14ac:dyDescent="0.25">
      <c r="A4854" s="274"/>
      <c r="B4854" s="498"/>
      <c r="C4854" s="287"/>
      <c r="D4854" s="288"/>
      <c r="E4854" s="288"/>
    </row>
    <row r="4855" spans="1:5" x14ac:dyDescent="0.25">
      <c r="A4855" s="274"/>
      <c r="B4855" s="498"/>
      <c r="C4855" s="287"/>
      <c r="D4855" s="288"/>
      <c r="E4855" s="288"/>
    </row>
    <row r="4856" spans="1:5" x14ac:dyDescent="0.25">
      <c r="A4856" s="274"/>
      <c r="B4856" s="498"/>
      <c r="C4856" s="287"/>
      <c r="D4856" s="288"/>
      <c r="E4856" s="288"/>
    </row>
    <row r="4857" spans="1:5" x14ac:dyDescent="0.25">
      <c r="A4857" s="274"/>
      <c r="B4857" s="498"/>
      <c r="C4857" s="287"/>
      <c r="D4857" s="288"/>
      <c r="E4857" s="288"/>
    </row>
    <row r="4858" spans="1:5" x14ac:dyDescent="0.25">
      <c r="A4858" s="274"/>
      <c r="B4858" s="498"/>
      <c r="C4858" s="287"/>
      <c r="D4858" s="288"/>
      <c r="E4858" s="288"/>
    </row>
    <row r="4859" spans="1:5" x14ac:dyDescent="0.25">
      <c r="A4859" s="274"/>
      <c r="B4859" s="498"/>
      <c r="C4859" s="287"/>
      <c r="D4859" s="288"/>
      <c r="E4859" s="288"/>
    </row>
    <row r="4860" spans="1:5" x14ac:dyDescent="0.25">
      <c r="A4860" s="274"/>
      <c r="B4860" s="498"/>
      <c r="C4860" s="287"/>
      <c r="D4860" s="288"/>
      <c r="E4860" s="288"/>
    </row>
    <row r="4861" spans="1:5" x14ac:dyDescent="0.25">
      <c r="A4861" s="274"/>
      <c r="B4861" s="498"/>
      <c r="C4861" s="287"/>
      <c r="D4861" s="288"/>
      <c r="E4861" s="288"/>
    </row>
    <row r="4862" spans="1:5" x14ac:dyDescent="0.25">
      <c r="A4862" s="274"/>
      <c r="B4862" s="498"/>
      <c r="C4862" s="287"/>
      <c r="D4862" s="288"/>
      <c r="E4862" s="288"/>
    </row>
    <row r="4863" spans="1:5" x14ac:dyDescent="0.25">
      <c r="A4863" s="274"/>
      <c r="B4863" s="498"/>
      <c r="C4863" s="287"/>
      <c r="D4863" s="288"/>
      <c r="E4863" s="288"/>
    </row>
    <row r="4864" spans="1:5" x14ac:dyDescent="0.25">
      <c r="A4864" s="274"/>
      <c r="B4864" s="498"/>
      <c r="C4864" s="287"/>
      <c r="D4864" s="288"/>
      <c r="E4864" s="288"/>
    </row>
    <row r="4865" spans="1:5" x14ac:dyDescent="0.25">
      <c r="A4865" s="274"/>
      <c r="B4865" s="498"/>
      <c r="C4865" s="287"/>
      <c r="D4865" s="288"/>
      <c r="E4865" s="288"/>
    </row>
    <row r="4866" spans="1:5" x14ac:dyDescent="0.25">
      <c r="A4866" s="274"/>
      <c r="B4866" s="498"/>
      <c r="C4866" s="287"/>
      <c r="D4866" s="288"/>
      <c r="E4866" s="288"/>
    </row>
    <row r="4867" spans="1:5" x14ac:dyDescent="0.25">
      <c r="A4867" s="274"/>
      <c r="B4867" s="498"/>
      <c r="C4867" s="287"/>
      <c r="D4867" s="288"/>
      <c r="E4867" s="288"/>
    </row>
    <row r="4868" spans="1:5" x14ac:dyDescent="0.25">
      <c r="A4868" s="274"/>
      <c r="B4868" s="498"/>
      <c r="C4868" s="287"/>
      <c r="D4868" s="288"/>
      <c r="E4868" s="288"/>
    </row>
    <row r="4869" spans="1:5" x14ac:dyDescent="0.25">
      <c r="A4869" s="274"/>
      <c r="B4869" s="498"/>
      <c r="C4869" s="287"/>
      <c r="D4869" s="288"/>
      <c r="E4869" s="288"/>
    </row>
    <row r="4870" spans="1:5" x14ac:dyDescent="0.25">
      <c r="A4870" s="274"/>
      <c r="B4870" s="498"/>
      <c r="C4870" s="287"/>
      <c r="D4870" s="288"/>
      <c r="E4870" s="288"/>
    </row>
    <row r="4871" spans="1:5" x14ac:dyDescent="0.25">
      <c r="A4871" s="274"/>
      <c r="B4871" s="498"/>
      <c r="C4871" s="287"/>
      <c r="D4871" s="288"/>
      <c r="E4871" s="288"/>
    </row>
    <row r="4872" spans="1:5" x14ac:dyDescent="0.25">
      <c r="A4872" s="274"/>
      <c r="B4872" s="498"/>
      <c r="C4872" s="287"/>
      <c r="D4872" s="288"/>
      <c r="E4872" s="288"/>
    </row>
    <row r="4873" spans="1:5" x14ac:dyDescent="0.25">
      <c r="A4873" s="274"/>
      <c r="B4873" s="498"/>
      <c r="C4873" s="287"/>
      <c r="D4873" s="288"/>
      <c r="E4873" s="288"/>
    </row>
    <row r="4874" spans="1:5" x14ac:dyDescent="0.25">
      <c r="A4874" s="274"/>
      <c r="B4874" s="498"/>
      <c r="C4874" s="287"/>
      <c r="D4874" s="288"/>
      <c r="E4874" s="288"/>
    </row>
    <row r="4875" spans="1:5" x14ac:dyDescent="0.25">
      <c r="A4875" s="274"/>
      <c r="B4875" s="498"/>
      <c r="C4875" s="287"/>
      <c r="D4875" s="288"/>
      <c r="E4875" s="288"/>
    </row>
    <row r="4876" spans="1:5" x14ac:dyDescent="0.25">
      <c r="A4876" s="274"/>
      <c r="B4876" s="498"/>
      <c r="C4876" s="287"/>
      <c r="D4876" s="288"/>
      <c r="E4876" s="288"/>
    </row>
    <row r="4877" spans="1:5" x14ac:dyDescent="0.25">
      <c r="A4877" s="274"/>
      <c r="B4877" s="498"/>
      <c r="C4877" s="287"/>
      <c r="D4877" s="288"/>
      <c r="E4877" s="288"/>
    </row>
    <row r="4878" spans="1:5" x14ac:dyDescent="0.25">
      <c r="A4878" s="274"/>
      <c r="B4878" s="498"/>
      <c r="C4878" s="287"/>
      <c r="D4878" s="288"/>
      <c r="E4878" s="288"/>
    </row>
    <row r="4879" spans="1:5" x14ac:dyDescent="0.25">
      <c r="A4879" s="274"/>
      <c r="B4879" s="498"/>
      <c r="C4879" s="287"/>
      <c r="D4879" s="288"/>
      <c r="E4879" s="288"/>
    </row>
    <row r="4880" spans="1:5" x14ac:dyDescent="0.25">
      <c r="A4880" s="274"/>
      <c r="B4880" s="498"/>
      <c r="C4880" s="287"/>
      <c r="D4880" s="288"/>
      <c r="E4880" s="288"/>
    </row>
    <row r="4881" spans="1:5" x14ac:dyDescent="0.25">
      <c r="A4881" s="274"/>
      <c r="B4881" s="498"/>
      <c r="C4881" s="287"/>
      <c r="D4881" s="288"/>
      <c r="E4881" s="288"/>
    </row>
    <row r="4882" spans="1:5" x14ac:dyDescent="0.25">
      <c r="A4882" s="274"/>
      <c r="B4882" s="498"/>
      <c r="C4882" s="287"/>
      <c r="D4882" s="288"/>
      <c r="E4882" s="288"/>
    </row>
    <row r="4883" spans="1:5" x14ac:dyDescent="0.25">
      <c r="A4883" s="274"/>
      <c r="B4883" s="498"/>
      <c r="C4883" s="287"/>
      <c r="D4883" s="288"/>
      <c r="E4883" s="288"/>
    </row>
    <row r="4884" spans="1:5" x14ac:dyDescent="0.25">
      <c r="A4884" s="274"/>
      <c r="B4884" s="498"/>
      <c r="C4884" s="287"/>
      <c r="D4884" s="288"/>
      <c r="E4884" s="288"/>
    </row>
    <row r="4885" spans="1:5" x14ac:dyDescent="0.25">
      <c r="A4885" s="274"/>
      <c r="B4885" s="498"/>
      <c r="C4885" s="287"/>
      <c r="D4885" s="288"/>
      <c r="E4885" s="288"/>
    </row>
    <row r="4886" spans="1:5" x14ac:dyDescent="0.25">
      <c r="A4886" s="274"/>
      <c r="B4886" s="498"/>
      <c r="C4886" s="287"/>
      <c r="D4886" s="288"/>
      <c r="E4886" s="288"/>
    </row>
    <row r="4887" spans="1:5" x14ac:dyDescent="0.25">
      <c r="A4887" s="274"/>
      <c r="B4887" s="498"/>
      <c r="C4887" s="287"/>
      <c r="D4887" s="288"/>
      <c r="E4887" s="288"/>
    </row>
    <row r="4888" spans="1:5" x14ac:dyDescent="0.25">
      <c r="A4888" s="274"/>
      <c r="B4888" s="498"/>
      <c r="C4888" s="287"/>
      <c r="D4888" s="288"/>
      <c r="E4888" s="288"/>
    </row>
    <row r="4889" spans="1:5" x14ac:dyDescent="0.25">
      <c r="A4889" s="274"/>
      <c r="B4889" s="498"/>
      <c r="C4889" s="287"/>
      <c r="D4889" s="288"/>
      <c r="E4889" s="288"/>
    </row>
    <row r="4890" spans="1:5" x14ac:dyDescent="0.25">
      <c r="A4890" s="274"/>
      <c r="B4890" s="498"/>
      <c r="C4890" s="287"/>
      <c r="D4890" s="288"/>
      <c r="E4890" s="288"/>
    </row>
    <row r="4891" spans="1:5" x14ac:dyDescent="0.25">
      <c r="A4891" s="274"/>
      <c r="B4891" s="498"/>
      <c r="C4891" s="287"/>
      <c r="D4891" s="288"/>
      <c r="E4891" s="288"/>
    </row>
    <row r="4892" spans="1:5" x14ac:dyDescent="0.25">
      <c r="A4892" s="274"/>
      <c r="B4892" s="498"/>
      <c r="C4892" s="287"/>
      <c r="D4892" s="288"/>
      <c r="E4892" s="288"/>
    </row>
    <row r="4893" spans="1:5" x14ac:dyDescent="0.25">
      <c r="A4893" s="274"/>
      <c r="B4893" s="498"/>
      <c r="C4893" s="287"/>
      <c r="D4893" s="288"/>
      <c r="E4893" s="288"/>
    </row>
    <row r="4894" spans="1:5" x14ac:dyDescent="0.25">
      <c r="A4894" s="274"/>
      <c r="B4894" s="498"/>
      <c r="C4894" s="287"/>
      <c r="D4894" s="288"/>
      <c r="E4894" s="288"/>
    </row>
    <row r="4895" spans="1:5" x14ac:dyDescent="0.25">
      <c r="A4895" s="274"/>
      <c r="B4895" s="498"/>
      <c r="C4895" s="287"/>
      <c r="D4895" s="288"/>
      <c r="E4895" s="288"/>
    </row>
    <row r="4896" spans="1:5" x14ac:dyDescent="0.25">
      <c r="A4896" s="274"/>
      <c r="B4896" s="498"/>
      <c r="C4896" s="287"/>
      <c r="D4896" s="288"/>
      <c r="E4896" s="288"/>
    </row>
    <row r="4897" spans="1:5" x14ac:dyDescent="0.25">
      <c r="A4897" s="274"/>
      <c r="B4897" s="498"/>
      <c r="C4897" s="287"/>
      <c r="D4897" s="288"/>
      <c r="E4897" s="288"/>
    </row>
    <row r="4898" spans="1:5" x14ac:dyDescent="0.25">
      <c r="A4898" s="274"/>
      <c r="B4898" s="498"/>
      <c r="C4898" s="287"/>
      <c r="D4898" s="288"/>
      <c r="E4898" s="288"/>
    </row>
    <row r="4899" spans="1:5" x14ac:dyDescent="0.25">
      <c r="A4899" s="274"/>
      <c r="B4899" s="498"/>
      <c r="C4899" s="287"/>
      <c r="D4899" s="288"/>
      <c r="E4899" s="288"/>
    </row>
    <row r="4900" spans="1:5" x14ac:dyDescent="0.25">
      <c r="A4900" s="274"/>
      <c r="B4900" s="498"/>
      <c r="C4900" s="287"/>
      <c r="D4900" s="288"/>
      <c r="E4900" s="288"/>
    </row>
    <row r="4901" spans="1:5" x14ac:dyDescent="0.25">
      <c r="A4901" s="274"/>
      <c r="B4901" s="498"/>
      <c r="C4901" s="287"/>
      <c r="D4901" s="288"/>
      <c r="E4901" s="288"/>
    </row>
    <row r="4902" spans="1:5" x14ac:dyDescent="0.25">
      <c r="A4902" s="274"/>
      <c r="B4902" s="498"/>
      <c r="C4902" s="287"/>
      <c r="D4902" s="288"/>
      <c r="E4902" s="288"/>
    </row>
    <row r="4903" spans="1:5" x14ac:dyDescent="0.25">
      <c r="A4903" s="274"/>
      <c r="B4903" s="498"/>
      <c r="C4903" s="287"/>
      <c r="D4903" s="288"/>
      <c r="E4903" s="288"/>
    </row>
    <row r="4904" spans="1:5" x14ac:dyDescent="0.25">
      <c r="A4904" s="274"/>
      <c r="B4904" s="498"/>
      <c r="C4904" s="287"/>
      <c r="D4904" s="288"/>
      <c r="E4904" s="288"/>
    </row>
    <row r="4905" spans="1:5" x14ac:dyDescent="0.25">
      <c r="A4905" s="274"/>
      <c r="B4905" s="498"/>
      <c r="C4905" s="287"/>
      <c r="D4905" s="288"/>
      <c r="E4905" s="288"/>
    </row>
    <row r="4906" spans="1:5" x14ac:dyDescent="0.25">
      <c r="A4906" s="274"/>
      <c r="B4906" s="498"/>
      <c r="C4906" s="287"/>
      <c r="D4906" s="288"/>
      <c r="E4906" s="288"/>
    </row>
    <row r="4907" spans="1:5" x14ac:dyDescent="0.25">
      <c r="A4907" s="274"/>
      <c r="B4907" s="498"/>
      <c r="C4907" s="287"/>
      <c r="D4907" s="288"/>
      <c r="E4907" s="288"/>
    </row>
    <row r="4908" spans="1:5" x14ac:dyDescent="0.25">
      <c r="A4908" s="274"/>
      <c r="B4908" s="498"/>
      <c r="C4908" s="287"/>
      <c r="D4908" s="288"/>
      <c r="E4908" s="288"/>
    </row>
    <row r="4909" spans="1:5" x14ac:dyDescent="0.25">
      <c r="A4909" s="274"/>
      <c r="B4909" s="498"/>
      <c r="C4909" s="287"/>
      <c r="D4909" s="288"/>
      <c r="E4909" s="288"/>
    </row>
    <row r="4910" spans="1:5" x14ac:dyDescent="0.25">
      <c r="A4910" s="274"/>
      <c r="B4910" s="498"/>
      <c r="C4910" s="287"/>
      <c r="D4910" s="288"/>
      <c r="E4910" s="288"/>
    </row>
    <row r="4911" spans="1:5" x14ac:dyDescent="0.25">
      <c r="A4911" s="274"/>
      <c r="B4911" s="498"/>
      <c r="C4911" s="287"/>
      <c r="D4911" s="288"/>
      <c r="E4911" s="288"/>
    </row>
    <row r="4912" spans="1:5" x14ac:dyDescent="0.25">
      <c r="A4912" s="274"/>
      <c r="B4912" s="498"/>
      <c r="C4912" s="287"/>
      <c r="D4912" s="288"/>
      <c r="E4912" s="288"/>
    </row>
    <row r="4913" spans="1:5" x14ac:dyDescent="0.25">
      <c r="A4913" s="274"/>
      <c r="B4913" s="498"/>
      <c r="C4913" s="287"/>
      <c r="D4913" s="288"/>
      <c r="E4913" s="288"/>
    </row>
    <row r="4914" spans="1:5" x14ac:dyDescent="0.25">
      <c r="A4914" s="274"/>
      <c r="B4914" s="498"/>
      <c r="C4914" s="287"/>
      <c r="D4914" s="288"/>
      <c r="E4914" s="288"/>
    </row>
    <row r="4915" spans="1:5" x14ac:dyDescent="0.25">
      <c r="A4915" s="274"/>
      <c r="B4915" s="498"/>
      <c r="C4915" s="287"/>
      <c r="D4915" s="288"/>
      <c r="E4915" s="288"/>
    </row>
    <row r="4916" spans="1:5" x14ac:dyDescent="0.25">
      <c r="A4916" s="274"/>
      <c r="B4916" s="498"/>
      <c r="C4916" s="287"/>
      <c r="D4916" s="288"/>
      <c r="E4916" s="288"/>
    </row>
    <row r="4917" spans="1:5" x14ac:dyDescent="0.25">
      <c r="A4917" s="274"/>
      <c r="B4917" s="498"/>
      <c r="C4917" s="287"/>
      <c r="D4917" s="288"/>
      <c r="E4917" s="288"/>
    </row>
    <row r="4918" spans="1:5" x14ac:dyDescent="0.25">
      <c r="A4918" s="274"/>
      <c r="B4918" s="498"/>
      <c r="C4918" s="287"/>
      <c r="D4918" s="288"/>
      <c r="E4918" s="288"/>
    </row>
    <row r="4919" spans="1:5" x14ac:dyDescent="0.25">
      <c r="A4919" s="274"/>
      <c r="B4919" s="498"/>
      <c r="C4919" s="287"/>
      <c r="D4919" s="288"/>
      <c r="E4919" s="288"/>
    </row>
    <row r="4920" spans="1:5" x14ac:dyDescent="0.25">
      <c r="A4920" s="274"/>
      <c r="B4920" s="498"/>
      <c r="C4920" s="287"/>
      <c r="D4920" s="288"/>
      <c r="E4920" s="288"/>
    </row>
    <row r="4921" spans="1:5" x14ac:dyDescent="0.25">
      <c r="A4921" s="274"/>
      <c r="B4921" s="498"/>
      <c r="C4921" s="287"/>
      <c r="D4921" s="288"/>
      <c r="E4921" s="288"/>
    </row>
    <row r="4922" spans="1:5" x14ac:dyDescent="0.25">
      <c r="A4922" s="274"/>
      <c r="B4922" s="498"/>
      <c r="C4922" s="287"/>
      <c r="D4922" s="288"/>
      <c r="E4922" s="288"/>
    </row>
    <row r="4923" spans="1:5" x14ac:dyDescent="0.25">
      <c r="A4923" s="274"/>
      <c r="B4923" s="498"/>
      <c r="C4923" s="287"/>
      <c r="D4923" s="288"/>
      <c r="E4923" s="288"/>
    </row>
    <row r="4924" spans="1:5" x14ac:dyDescent="0.25">
      <c r="A4924" s="274"/>
      <c r="B4924" s="498"/>
      <c r="C4924" s="287"/>
      <c r="D4924" s="288"/>
      <c r="E4924" s="288"/>
    </row>
    <row r="4925" spans="1:5" x14ac:dyDescent="0.25">
      <c r="A4925" s="274"/>
      <c r="B4925" s="498"/>
      <c r="C4925" s="287"/>
      <c r="D4925" s="288"/>
      <c r="E4925" s="288"/>
    </row>
    <row r="4926" spans="1:5" x14ac:dyDescent="0.25">
      <c r="A4926" s="274"/>
      <c r="B4926" s="498"/>
      <c r="C4926" s="287"/>
      <c r="D4926" s="288"/>
      <c r="E4926" s="288"/>
    </row>
    <row r="4927" spans="1:5" x14ac:dyDescent="0.25">
      <c r="A4927" s="274"/>
      <c r="B4927" s="498"/>
      <c r="C4927" s="287"/>
      <c r="D4927" s="288"/>
      <c r="E4927" s="288"/>
    </row>
    <row r="4928" spans="1:5" x14ac:dyDescent="0.25">
      <c r="A4928" s="274"/>
      <c r="B4928" s="498"/>
      <c r="C4928" s="287"/>
      <c r="D4928" s="288"/>
      <c r="E4928" s="288"/>
    </row>
    <row r="4929" spans="1:5" x14ac:dyDescent="0.25">
      <c r="A4929" s="274"/>
      <c r="B4929" s="498"/>
      <c r="C4929" s="287"/>
      <c r="D4929" s="288"/>
      <c r="E4929" s="288"/>
    </row>
    <row r="4930" spans="1:5" x14ac:dyDescent="0.25">
      <c r="A4930" s="274"/>
      <c r="B4930" s="498"/>
      <c r="C4930" s="287"/>
      <c r="D4930" s="288"/>
      <c r="E4930" s="288"/>
    </row>
    <row r="4931" spans="1:5" x14ac:dyDescent="0.25">
      <c r="A4931" s="274"/>
      <c r="B4931" s="498"/>
      <c r="C4931" s="287"/>
      <c r="D4931" s="288"/>
      <c r="E4931" s="288"/>
    </row>
    <row r="4932" spans="1:5" x14ac:dyDescent="0.25">
      <c r="A4932" s="274"/>
      <c r="B4932" s="498"/>
      <c r="C4932" s="287"/>
      <c r="D4932" s="288"/>
      <c r="E4932" s="288"/>
    </row>
    <row r="4933" spans="1:5" x14ac:dyDescent="0.25">
      <c r="A4933" s="274"/>
      <c r="B4933" s="498"/>
      <c r="C4933" s="287"/>
      <c r="D4933" s="288"/>
      <c r="E4933" s="288"/>
    </row>
    <row r="4934" spans="1:5" x14ac:dyDescent="0.25">
      <c r="A4934" s="274"/>
      <c r="B4934" s="498"/>
      <c r="C4934" s="287"/>
      <c r="D4934" s="288"/>
      <c r="E4934" s="288"/>
    </row>
    <row r="4935" spans="1:5" x14ac:dyDescent="0.25">
      <c r="A4935" s="274"/>
      <c r="B4935" s="498"/>
      <c r="C4935" s="287"/>
      <c r="D4935" s="288"/>
      <c r="E4935" s="288"/>
    </row>
    <row r="4936" spans="1:5" x14ac:dyDescent="0.25">
      <c r="A4936" s="274"/>
      <c r="B4936" s="498"/>
      <c r="C4936" s="287"/>
      <c r="D4936" s="288"/>
      <c r="E4936" s="288"/>
    </row>
    <row r="4937" spans="1:5" x14ac:dyDescent="0.25">
      <c r="A4937" s="274"/>
      <c r="B4937" s="498"/>
      <c r="C4937" s="287"/>
      <c r="D4937" s="288"/>
      <c r="E4937" s="288"/>
    </row>
    <row r="4938" spans="1:5" x14ac:dyDescent="0.25">
      <c r="A4938" s="274"/>
      <c r="B4938" s="498"/>
      <c r="C4938" s="287"/>
      <c r="D4938" s="288"/>
      <c r="E4938" s="288"/>
    </row>
    <row r="4939" spans="1:5" x14ac:dyDescent="0.25">
      <c r="A4939" s="274"/>
      <c r="B4939" s="498"/>
      <c r="C4939" s="287"/>
      <c r="D4939" s="288"/>
      <c r="E4939" s="288"/>
    </row>
    <row r="4940" spans="1:5" x14ac:dyDescent="0.25">
      <c r="A4940" s="274"/>
      <c r="B4940" s="498"/>
      <c r="C4940" s="287"/>
      <c r="D4940" s="288"/>
      <c r="E4940" s="288"/>
    </row>
    <row r="4941" spans="1:5" x14ac:dyDescent="0.25">
      <c r="A4941" s="274"/>
      <c r="B4941" s="498"/>
      <c r="C4941" s="287"/>
      <c r="D4941" s="288"/>
      <c r="E4941" s="288"/>
    </row>
    <row r="4942" spans="1:5" x14ac:dyDescent="0.25">
      <c r="A4942" s="274"/>
      <c r="B4942" s="498"/>
      <c r="C4942" s="287"/>
      <c r="D4942" s="288"/>
      <c r="E4942" s="288"/>
    </row>
    <row r="4943" spans="1:5" x14ac:dyDescent="0.25">
      <c r="A4943" s="274"/>
      <c r="B4943" s="498"/>
      <c r="C4943" s="287"/>
      <c r="D4943" s="288"/>
      <c r="E4943" s="288"/>
    </row>
    <row r="4944" spans="1:5" x14ac:dyDescent="0.25">
      <c r="A4944" s="274"/>
      <c r="B4944" s="498"/>
      <c r="C4944" s="287"/>
      <c r="D4944" s="288"/>
      <c r="E4944" s="288"/>
    </row>
    <row r="4945" spans="1:5" x14ac:dyDescent="0.25">
      <c r="A4945" s="274"/>
      <c r="B4945" s="498"/>
      <c r="C4945" s="287"/>
      <c r="D4945" s="288"/>
      <c r="E4945" s="288"/>
    </row>
    <row r="4946" spans="1:5" x14ac:dyDescent="0.25">
      <c r="A4946" s="274"/>
      <c r="B4946" s="498"/>
      <c r="C4946" s="287"/>
      <c r="D4946" s="288"/>
      <c r="E4946" s="288"/>
    </row>
    <row r="4947" spans="1:5" x14ac:dyDescent="0.25">
      <c r="A4947" s="274"/>
      <c r="B4947" s="498"/>
      <c r="C4947" s="287"/>
      <c r="D4947" s="288"/>
      <c r="E4947" s="288"/>
    </row>
    <row r="4948" spans="1:5" x14ac:dyDescent="0.25">
      <c r="A4948" s="274"/>
      <c r="B4948" s="498"/>
      <c r="C4948" s="287"/>
      <c r="D4948" s="288"/>
      <c r="E4948" s="288"/>
    </row>
    <row r="4949" spans="1:5" x14ac:dyDescent="0.25">
      <c r="A4949" s="274"/>
      <c r="B4949" s="498"/>
      <c r="C4949" s="287"/>
      <c r="D4949" s="288"/>
      <c r="E4949" s="288"/>
    </row>
    <row r="4950" spans="1:5" x14ac:dyDescent="0.25">
      <c r="A4950" s="274"/>
      <c r="B4950" s="498"/>
      <c r="C4950" s="287"/>
      <c r="D4950" s="288"/>
      <c r="E4950" s="288"/>
    </row>
    <row r="4951" spans="1:5" x14ac:dyDescent="0.25">
      <c r="A4951" s="274"/>
      <c r="B4951" s="498"/>
      <c r="C4951" s="287"/>
      <c r="D4951" s="288"/>
      <c r="E4951" s="288"/>
    </row>
    <row r="4952" spans="1:5" x14ac:dyDescent="0.25">
      <c r="A4952" s="274"/>
      <c r="B4952" s="498"/>
      <c r="C4952" s="287"/>
      <c r="D4952" s="288"/>
      <c r="E4952" s="288"/>
    </row>
    <row r="4953" spans="1:5" x14ac:dyDescent="0.25">
      <c r="A4953" s="274"/>
      <c r="B4953" s="498"/>
      <c r="C4953" s="287"/>
      <c r="D4953" s="288"/>
      <c r="E4953" s="288"/>
    </row>
    <row r="4954" spans="1:5" x14ac:dyDescent="0.25">
      <c r="A4954" s="274"/>
      <c r="B4954" s="498"/>
      <c r="C4954" s="287"/>
      <c r="D4954" s="288"/>
      <c r="E4954" s="288"/>
    </row>
    <row r="4955" spans="1:5" x14ac:dyDescent="0.25">
      <c r="A4955" s="274"/>
      <c r="B4955" s="498"/>
      <c r="C4955" s="287"/>
      <c r="D4955" s="288"/>
      <c r="E4955" s="288"/>
    </row>
    <row r="4956" spans="1:5" x14ac:dyDescent="0.25">
      <c r="A4956" s="274"/>
      <c r="B4956" s="498"/>
      <c r="C4956" s="287"/>
      <c r="D4956" s="288"/>
      <c r="E4956" s="288"/>
    </row>
    <row r="4957" spans="1:5" x14ac:dyDescent="0.25">
      <c r="A4957" s="274"/>
      <c r="B4957" s="498"/>
      <c r="C4957" s="287"/>
      <c r="D4957" s="288"/>
      <c r="E4957" s="288"/>
    </row>
    <row r="4958" spans="1:5" x14ac:dyDescent="0.25">
      <c r="A4958" s="274"/>
      <c r="B4958" s="498"/>
      <c r="C4958" s="287"/>
      <c r="D4958" s="288"/>
      <c r="E4958" s="288"/>
    </row>
    <row r="4959" spans="1:5" x14ac:dyDescent="0.25">
      <c r="A4959" s="274"/>
      <c r="B4959" s="498"/>
      <c r="C4959" s="287"/>
      <c r="D4959" s="288"/>
      <c r="E4959" s="288"/>
    </row>
    <row r="4960" spans="1:5" x14ac:dyDescent="0.25">
      <c r="A4960" s="274"/>
      <c r="B4960" s="498"/>
      <c r="C4960" s="287"/>
      <c r="D4960" s="288"/>
      <c r="E4960" s="288"/>
    </row>
    <row r="4961" spans="1:5" x14ac:dyDescent="0.25">
      <c r="A4961" s="274"/>
      <c r="B4961" s="498"/>
      <c r="C4961" s="287"/>
      <c r="D4961" s="288"/>
      <c r="E4961" s="288"/>
    </row>
    <row r="4962" spans="1:5" x14ac:dyDescent="0.25">
      <c r="A4962" s="274"/>
      <c r="B4962" s="498"/>
      <c r="C4962" s="287"/>
      <c r="D4962" s="288"/>
      <c r="E4962" s="288"/>
    </row>
    <row r="4963" spans="1:5" x14ac:dyDescent="0.25">
      <c r="A4963" s="274"/>
      <c r="B4963" s="498"/>
      <c r="C4963" s="287"/>
      <c r="D4963" s="288"/>
      <c r="E4963" s="288"/>
    </row>
    <row r="4964" spans="1:5" x14ac:dyDescent="0.25">
      <c r="A4964" s="274"/>
      <c r="B4964" s="498"/>
      <c r="C4964" s="287"/>
      <c r="D4964" s="288"/>
      <c r="E4964" s="288"/>
    </row>
    <row r="4965" spans="1:5" x14ac:dyDescent="0.25">
      <c r="A4965" s="274"/>
      <c r="B4965" s="498"/>
      <c r="C4965" s="287"/>
      <c r="D4965" s="288"/>
      <c r="E4965" s="288"/>
    </row>
    <row r="4966" spans="1:5" x14ac:dyDescent="0.25">
      <c r="A4966" s="274"/>
      <c r="B4966" s="498"/>
      <c r="C4966" s="287"/>
      <c r="D4966" s="288"/>
      <c r="E4966" s="288"/>
    </row>
    <row r="4967" spans="1:5" x14ac:dyDescent="0.25">
      <c r="A4967" s="274"/>
      <c r="B4967" s="498"/>
      <c r="C4967" s="287"/>
      <c r="D4967" s="288"/>
      <c r="E4967" s="288"/>
    </row>
    <row r="4968" spans="1:5" x14ac:dyDescent="0.25">
      <c r="A4968" s="274"/>
      <c r="B4968" s="498"/>
      <c r="C4968" s="287"/>
      <c r="D4968" s="288"/>
      <c r="E4968" s="288"/>
    </row>
    <row r="4969" spans="1:5" x14ac:dyDescent="0.25">
      <c r="A4969" s="274"/>
      <c r="B4969" s="498"/>
      <c r="C4969" s="287"/>
      <c r="D4969" s="288"/>
      <c r="E4969" s="288"/>
    </row>
    <row r="4970" spans="1:5" x14ac:dyDescent="0.25">
      <c r="A4970" s="274"/>
      <c r="B4970" s="498"/>
      <c r="C4970" s="287"/>
      <c r="D4970" s="288"/>
      <c r="E4970" s="288"/>
    </row>
    <row r="4971" spans="1:5" x14ac:dyDescent="0.25">
      <c r="A4971" s="274"/>
      <c r="B4971" s="498"/>
      <c r="C4971" s="287"/>
      <c r="D4971" s="288"/>
      <c r="E4971" s="288"/>
    </row>
    <row r="4972" spans="1:5" x14ac:dyDescent="0.25">
      <c r="A4972" s="274"/>
      <c r="B4972" s="498"/>
      <c r="C4972" s="287"/>
      <c r="D4972" s="288"/>
      <c r="E4972" s="288"/>
    </row>
    <row r="4973" spans="1:5" x14ac:dyDescent="0.25">
      <c r="A4973" s="274"/>
      <c r="B4973" s="498"/>
      <c r="C4973" s="287"/>
      <c r="D4973" s="288"/>
      <c r="E4973" s="288"/>
    </row>
    <row r="4974" spans="1:5" x14ac:dyDescent="0.25">
      <c r="A4974" s="274"/>
      <c r="B4974" s="498"/>
      <c r="C4974" s="287"/>
      <c r="D4974" s="288"/>
      <c r="E4974" s="288"/>
    </row>
    <row r="4975" spans="1:5" x14ac:dyDescent="0.25">
      <c r="A4975" s="274"/>
      <c r="B4975" s="498"/>
      <c r="C4975" s="287"/>
      <c r="D4975" s="288"/>
      <c r="E4975" s="288"/>
    </row>
    <row r="4976" spans="1:5" x14ac:dyDescent="0.25">
      <c r="A4976" s="274"/>
      <c r="B4976" s="498"/>
      <c r="C4976" s="287"/>
      <c r="D4976" s="288"/>
      <c r="E4976" s="288"/>
    </row>
    <row r="4977" spans="1:5" x14ac:dyDescent="0.25">
      <c r="A4977" s="274"/>
      <c r="B4977" s="498"/>
      <c r="C4977" s="287"/>
      <c r="D4977" s="288"/>
      <c r="E4977" s="288"/>
    </row>
    <row r="4978" spans="1:5" x14ac:dyDescent="0.25">
      <c r="A4978" s="274"/>
      <c r="B4978" s="498"/>
      <c r="C4978" s="287"/>
      <c r="D4978" s="288"/>
      <c r="E4978" s="288"/>
    </row>
    <row r="4979" spans="1:5" x14ac:dyDescent="0.25">
      <c r="A4979" s="274"/>
      <c r="B4979" s="498"/>
      <c r="C4979" s="287"/>
      <c r="D4979" s="288"/>
      <c r="E4979" s="288"/>
    </row>
    <row r="4980" spans="1:5" x14ac:dyDescent="0.25">
      <c r="A4980" s="274"/>
      <c r="B4980" s="498"/>
      <c r="C4980" s="287"/>
      <c r="D4980" s="288"/>
      <c r="E4980" s="288"/>
    </row>
    <row r="4981" spans="1:5" x14ac:dyDescent="0.25">
      <c r="A4981" s="274"/>
      <c r="B4981" s="498"/>
      <c r="C4981" s="287"/>
      <c r="D4981" s="288"/>
      <c r="E4981" s="288"/>
    </row>
    <row r="4982" spans="1:5" x14ac:dyDescent="0.25">
      <c r="A4982" s="274"/>
      <c r="B4982" s="498"/>
      <c r="C4982" s="287"/>
      <c r="D4982" s="288"/>
      <c r="E4982" s="288"/>
    </row>
    <row r="4983" spans="1:5" x14ac:dyDescent="0.25">
      <c r="A4983" s="274"/>
      <c r="B4983" s="498"/>
      <c r="C4983" s="287"/>
      <c r="D4983" s="288"/>
      <c r="E4983" s="288"/>
    </row>
    <row r="4984" spans="1:5" x14ac:dyDescent="0.25">
      <c r="A4984" s="274"/>
      <c r="B4984" s="498"/>
      <c r="C4984" s="287"/>
      <c r="D4984" s="288"/>
      <c r="E4984" s="288"/>
    </row>
    <row r="4985" spans="1:5" x14ac:dyDescent="0.25">
      <c r="A4985" s="274"/>
      <c r="B4985" s="498"/>
      <c r="C4985" s="287"/>
      <c r="D4985" s="288"/>
      <c r="E4985" s="288"/>
    </row>
    <row r="4986" spans="1:5" x14ac:dyDescent="0.25">
      <c r="A4986" s="274"/>
      <c r="B4986" s="498"/>
      <c r="C4986" s="287"/>
      <c r="D4986" s="288"/>
      <c r="E4986" s="288"/>
    </row>
    <row r="4987" spans="1:5" x14ac:dyDescent="0.25">
      <c r="A4987" s="274"/>
      <c r="B4987" s="498"/>
      <c r="C4987" s="287"/>
      <c r="D4987" s="288"/>
      <c r="E4987" s="288"/>
    </row>
    <row r="4988" spans="1:5" x14ac:dyDescent="0.25">
      <c r="A4988" s="274"/>
      <c r="B4988" s="498"/>
      <c r="C4988" s="287"/>
      <c r="D4988" s="288"/>
      <c r="E4988" s="288"/>
    </row>
    <row r="4989" spans="1:5" x14ac:dyDescent="0.25">
      <c r="A4989" s="274"/>
      <c r="B4989" s="498"/>
      <c r="C4989" s="287"/>
      <c r="D4989" s="288"/>
      <c r="E4989" s="288"/>
    </row>
    <row r="4990" spans="1:5" x14ac:dyDescent="0.25">
      <c r="A4990" s="274"/>
      <c r="B4990" s="498"/>
      <c r="C4990" s="287"/>
      <c r="D4990" s="288"/>
      <c r="E4990" s="288"/>
    </row>
    <row r="4991" spans="1:5" x14ac:dyDescent="0.25">
      <c r="A4991" s="274"/>
      <c r="B4991" s="498"/>
      <c r="C4991" s="287"/>
      <c r="D4991" s="288"/>
      <c r="E4991" s="288"/>
    </row>
    <row r="4992" spans="1:5" x14ac:dyDescent="0.25">
      <c r="A4992" s="274"/>
      <c r="B4992" s="498"/>
      <c r="C4992" s="287"/>
      <c r="D4992" s="288"/>
      <c r="E4992" s="288"/>
    </row>
    <row r="4993" spans="1:5" x14ac:dyDescent="0.25">
      <c r="A4993" s="274"/>
      <c r="B4993" s="498"/>
      <c r="C4993" s="287"/>
      <c r="D4993" s="288"/>
      <c r="E4993" s="288"/>
    </row>
    <row r="4994" spans="1:5" x14ac:dyDescent="0.25">
      <c r="A4994" s="274"/>
      <c r="B4994" s="498"/>
      <c r="C4994" s="287"/>
      <c r="D4994" s="288"/>
      <c r="E4994" s="288"/>
    </row>
    <row r="4995" spans="1:5" x14ac:dyDescent="0.25">
      <c r="A4995" s="274"/>
      <c r="B4995" s="498"/>
      <c r="C4995" s="287"/>
      <c r="D4995" s="288"/>
      <c r="E4995" s="288"/>
    </row>
    <row r="4996" spans="1:5" x14ac:dyDescent="0.25">
      <c r="A4996" s="274"/>
      <c r="B4996" s="498"/>
      <c r="C4996" s="287"/>
      <c r="D4996" s="288"/>
      <c r="E4996" s="288"/>
    </row>
    <row r="4997" spans="1:5" x14ac:dyDescent="0.25">
      <c r="A4997" s="274"/>
      <c r="B4997" s="498"/>
      <c r="C4997" s="287"/>
      <c r="D4997" s="288"/>
      <c r="E4997" s="288"/>
    </row>
    <row r="4998" spans="1:5" x14ac:dyDescent="0.25">
      <c r="A4998" s="274"/>
      <c r="B4998" s="498"/>
      <c r="C4998" s="287"/>
      <c r="D4998" s="288"/>
      <c r="E4998" s="288"/>
    </row>
    <row r="4999" spans="1:5" x14ac:dyDescent="0.25">
      <c r="A4999" s="274"/>
      <c r="B4999" s="498"/>
      <c r="C4999" s="287"/>
      <c r="D4999" s="288"/>
      <c r="E4999" s="288"/>
    </row>
    <row r="5000" spans="1:5" x14ac:dyDescent="0.25">
      <c r="A5000" s="274"/>
      <c r="B5000" s="498"/>
      <c r="C5000" s="287"/>
      <c r="D5000" s="288"/>
      <c r="E5000" s="288"/>
    </row>
    <row r="5001" spans="1:5" x14ac:dyDescent="0.25">
      <c r="A5001" s="274"/>
      <c r="B5001" s="498"/>
      <c r="C5001" s="287"/>
      <c r="D5001" s="288"/>
      <c r="E5001" s="288"/>
    </row>
    <row r="5002" spans="1:5" x14ac:dyDescent="0.25">
      <c r="A5002" s="274"/>
      <c r="B5002" s="498"/>
      <c r="C5002" s="287"/>
      <c r="D5002" s="288"/>
      <c r="E5002" s="288"/>
    </row>
    <row r="5003" spans="1:5" x14ac:dyDescent="0.25">
      <c r="A5003" s="274"/>
      <c r="B5003" s="498"/>
      <c r="C5003" s="287"/>
      <c r="D5003" s="288"/>
      <c r="E5003" s="288"/>
    </row>
    <row r="5004" spans="1:5" x14ac:dyDescent="0.25">
      <c r="A5004" s="274"/>
      <c r="B5004" s="498"/>
      <c r="C5004" s="287"/>
      <c r="D5004" s="288"/>
      <c r="E5004" s="288"/>
    </row>
    <row r="5005" spans="1:5" x14ac:dyDescent="0.25">
      <c r="A5005" s="274"/>
      <c r="B5005" s="498"/>
      <c r="C5005" s="287"/>
      <c r="D5005" s="288"/>
      <c r="E5005" s="288"/>
    </row>
    <row r="5006" spans="1:5" x14ac:dyDescent="0.25">
      <c r="A5006" s="274"/>
      <c r="B5006" s="498"/>
      <c r="C5006" s="287"/>
      <c r="D5006" s="288"/>
      <c r="E5006" s="288"/>
    </row>
    <row r="5007" spans="1:5" x14ac:dyDescent="0.25">
      <c r="A5007" s="274"/>
      <c r="B5007" s="498"/>
      <c r="C5007" s="287"/>
      <c r="D5007" s="288"/>
      <c r="E5007" s="288"/>
    </row>
    <row r="5008" spans="1:5" x14ac:dyDescent="0.25">
      <c r="A5008" s="274"/>
      <c r="B5008" s="498"/>
      <c r="C5008" s="287"/>
      <c r="D5008" s="288"/>
      <c r="E5008" s="288"/>
    </row>
    <row r="5009" spans="1:5" x14ac:dyDescent="0.25">
      <c r="A5009" s="274"/>
      <c r="B5009" s="498"/>
      <c r="C5009" s="287"/>
      <c r="D5009" s="288"/>
      <c r="E5009" s="288"/>
    </row>
    <row r="5010" spans="1:5" x14ac:dyDescent="0.25">
      <c r="A5010" s="274"/>
      <c r="B5010" s="498"/>
      <c r="C5010" s="287"/>
      <c r="D5010" s="288"/>
      <c r="E5010" s="288"/>
    </row>
    <row r="5011" spans="1:5" x14ac:dyDescent="0.25">
      <c r="A5011" s="274"/>
      <c r="B5011" s="498"/>
      <c r="C5011" s="287"/>
      <c r="D5011" s="288"/>
      <c r="E5011" s="288"/>
    </row>
    <row r="5012" spans="1:5" x14ac:dyDescent="0.25">
      <c r="A5012" s="274"/>
      <c r="B5012" s="498"/>
      <c r="C5012" s="287"/>
      <c r="D5012" s="288"/>
      <c r="E5012" s="288"/>
    </row>
    <row r="5013" spans="1:5" x14ac:dyDescent="0.25">
      <c r="A5013" s="274"/>
      <c r="B5013" s="498"/>
      <c r="C5013" s="287"/>
      <c r="D5013" s="288"/>
      <c r="E5013" s="288"/>
    </row>
    <row r="5014" spans="1:5" x14ac:dyDescent="0.25">
      <c r="A5014" s="274"/>
      <c r="B5014" s="498"/>
      <c r="C5014" s="287"/>
      <c r="D5014" s="288"/>
      <c r="E5014" s="288"/>
    </row>
    <row r="5015" spans="1:5" x14ac:dyDescent="0.25">
      <c r="A5015" s="274"/>
      <c r="B5015" s="498"/>
      <c r="C5015" s="287"/>
      <c r="D5015" s="288"/>
      <c r="E5015" s="288"/>
    </row>
    <row r="5016" spans="1:5" x14ac:dyDescent="0.25">
      <c r="A5016" s="274"/>
      <c r="B5016" s="498"/>
      <c r="C5016" s="287"/>
      <c r="D5016" s="288"/>
      <c r="E5016" s="288"/>
    </row>
    <row r="5017" spans="1:5" x14ac:dyDescent="0.25">
      <c r="A5017" s="274"/>
      <c r="B5017" s="498"/>
      <c r="C5017" s="287"/>
      <c r="D5017" s="288"/>
      <c r="E5017" s="288"/>
    </row>
    <row r="5018" spans="1:5" x14ac:dyDescent="0.25">
      <c r="A5018" s="274"/>
      <c r="B5018" s="498"/>
      <c r="C5018" s="287"/>
      <c r="D5018" s="288"/>
      <c r="E5018" s="288"/>
    </row>
    <row r="5019" spans="1:5" x14ac:dyDescent="0.25">
      <c r="A5019" s="274"/>
      <c r="B5019" s="498"/>
      <c r="C5019" s="287"/>
      <c r="D5019" s="288"/>
      <c r="E5019" s="288"/>
    </row>
    <row r="5020" spans="1:5" x14ac:dyDescent="0.25">
      <c r="A5020" s="274"/>
      <c r="B5020" s="498"/>
      <c r="C5020" s="287"/>
      <c r="D5020" s="288"/>
      <c r="E5020" s="288"/>
    </row>
    <row r="5021" spans="1:5" x14ac:dyDescent="0.25">
      <c r="A5021" s="274"/>
      <c r="B5021" s="498"/>
      <c r="C5021" s="287"/>
      <c r="D5021" s="288"/>
      <c r="E5021" s="288"/>
    </row>
    <row r="5022" spans="1:5" x14ac:dyDescent="0.25">
      <c r="A5022" s="274"/>
      <c r="B5022" s="498"/>
      <c r="C5022" s="287"/>
      <c r="D5022" s="288"/>
      <c r="E5022" s="288"/>
    </row>
    <row r="5023" spans="1:5" x14ac:dyDescent="0.25">
      <c r="A5023" s="274"/>
      <c r="B5023" s="498"/>
      <c r="C5023" s="287"/>
      <c r="D5023" s="288"/>
      <c r="E5023" s="288"/>
    </row>
    <row r="5024" spans="1:5" x14ac:dyDescent="0.25">
      <c r="A5024" s="274"/>
      <c r="B5024" s="498"/>
      <c r="C5024" s="287"/>
      <c r="D5024" s="288"/>
      <c r="E5024" s="288"/>
    </row>
    <row r="5025" spans="1:5" x14ac:dyDescent="0.25">
      <c r="A5025" s="274"/>
      <c r="B5025" s="498"/>
      <c r="C5025" s="287"/>
      <c r="D5025" s="288"/>
      <c r="E5025" s="288"/>
    </row>
    <row r="5026" spans="1:5" x14ac:dyDescent="0.25">
      <c r="A5026" s="274"/>
      <c r="B5026" s="498"/>
      <c r="C5026" s="287"/>
      <c r="D5026" s="288"/>
      <c r="E5026" s="288"/>
    </row>
    <row r="5027" spans="1:5" x14ac:dyDescent="0.25">
      <c r="A5027" s="274"/>
      <c r="B5027" s="498"/>
      <c r="C5027" s="287"/>
      <c r="D5027" s="288"/>
      <c r="E5027" s="288"/>
    </row>
    <row r="5028" spans="1:5" x14ac:dyDescent="0.25">
      <c r="A5028" s="274"/>
      <c r="B5028" s="498"/>
      <c r="C5028" s="287"/>
      <c r="D5028" s="288"/>
      <c r="E5028" s="288"/>
    </row>
    <row r="5029" spans="1:5" x14ac:dyDescent="0.25">
      <c r="A5029" s="274"/>
      <c r="B5029" s="498"/>
      <c r="C5029" s="287"/>
      <c r="D5029" s="288"/>
      <c r="E5029" s="288"/>
    </row>
    <row r="5030" spans="1:5" x14ac:dyDescent="0.25">
      <c r="A5030" s="274"/>
      <c r="B5030" s="498"/>
      <c r="C5030" s="287"/>
      <c r="D5030" s="288"/>
      <c r="E5030" s="288"/>
    </row>
    <row r="5031" spans="1:5" x14ac:dyDescent="0.25">
      <c r="A5031" s="274"/>
      <c r="B5031" s="498"/>
      <c r="C5031" s="287"/>
      <c r="D5031" s="288"/>
      <c r="E5031" s="288"/>
    </row>
    <row r="5032" spans="1:5" x14ac:dyDescent="0.25">
      <c r="A5032" s="274"/>
      <c r="B5032" s="498"/>
      <c r="C5032" s="287"/>
      <c r="D5032" s="288"/>
      <c r="E5032" s="288"/>
    </row>
    <row r="5033" spans="1:5" x14ac:dyDescent="0.25">
      <c r="A5033" s="274"/>
      <c r="B5033" s="498"/>
      <c r="C5033" s="287"/>
      <c r="D5033" s="288"/>
      <c r="E5033" s="288"/>
    </row>
    <row r="5034" spans="1:5" x14ac:dyDescent="0.25">
      <c r="A5034" s="274"/>
      <c r="B5034" s="498"/>
      <c r="C5034" s="287"/>
      <c r="D5034" s="288"/>
      <c r="E5034" s="288"/>
    </row>
    <row r="5035" spans="1:5" x14ac:dyDescent="0.25">
      <c r="A5035" s="274"/>
      <c r="B5035" s="498"/>
      <c r="C5035" s="287"/>
      <c r="D5035" s="288"/>
      <c r="E5035" s="288"/>
    </row>
    <row r="5036" spans="1:5" x14ac:dyDescent="0.25">
      <c r="A5036" s="274"/>
      <c r="B5036" s="498"/>
      <c r="C5036" s="287"/>
      <c r="D5036" s="288"/>
      <c r="E5036" s="288"/>
    </row>
    <row r="5037" spans="1:5" x14ac:dyDescent="0.25">
      <c r="A5037" s="274"/>
      <c r="B5037" s="498"/>
      <c r="C5037" s="287"/>
      <c r="D5037" s="288"/>
      <c r="E5037" s="288"/>
    </row>
    <row r="5038" spans="1:5" x14ac:dyDescent="0.25">
      <c r="A5038" s="274"/>
      <c r="B5038" s="498"/>
      <c r="C5038" s="287"/>
      <c r="D5038" s="288"/>
      <c r="E5038" s="288"/>
    </row>
    <row r="5039" spans="1:5" x14ac:dyDescent="0.25">
      <c r="A5039" s="274"/>
      <c r="B5039" s="498"/>
      <c r="C5039" s="287"/>
      <c r="D5039" s="288"/>
      <c r="E5039" s="288"/>
    </row>
    <row r="5040" spans="1:5" x14ac:dyDescent="0.25">
      <c r="A5040" s="274"/>
      <c r="B5040" s="498"/>
      <c r="C5040" s="287"/>
      <c r="D5040" s="288"/>
      <c r="E5040" s="288"/>
    </row>
    <row r="5041" spans="1:5" x14ac:dyDescent="0.25">
      <c r="A5041" s="274"/>
      <c r="B5041" s="498"/>
      <c r="C5041" s="287"/>
      <c r="D5041" s="288"/>
      <c r="E5041" s="288"/>
    </row>
    <row r="5042" spans="1:5" x14ac:dyDescent="0.25">
      <c r="A5042" s="274"/>
      <c r="B5042" s="498"/>
      <c r="C5042" s="287"/>
      <c r="D5042" s="288"/>
      <c r="E5042" s="288"/>
    </row>
    <row r="5043" spans="1:5" x14ac:dyDescent="0.25">
      <c r="A5043" s="274"/>
      <c r="B5043" s="498"/>
      <c r="C5043" s="287"/>
      <c r="D5043" s="288"/>
      <c r="E5043" s="288"/>
    </row>
    <row r="5044" spans="1:5" x14ac:dyDescent="0.25">
      <c r="A5044" s="274"/>
      <c r="B5044" s="498"/>
      <c r="C5044" s="287"/>
      <c r="D5044" s="288"/>
      <c r="E5044" s="288"/>
    </row>
    <row r="5045" spans="1:5" x14ac:dyDescent="0.25">
      <c r="A5045" s="274"/>
      <c r="B5045" s="498"/>
      <c r="C5045" s="287"/>
      <c r="D5045" s="288"/>
      <c r="E5045" s="288"/>
    </row>
    <row r="5046" spans="1:5" x14ac:dyDescent="0.25">
      <c r="A5046" s="274"/>
      <c r="B5046" s="498"/>
      <c r="C5046" s="287"/>
      <c r="D5046" s="288"/>
      <c r="E5046" s="288"/>
    </row>
    <row r="5047" spans="1:5" x14ac:dyDescent="0.25">
      <c r="A5047" s="274"/>
      <c r="B5047" s="498"/>
      <c r="C5047" s="287"/>
      <c r="D5047" s="288"/>
      <c r="E5047" s="288"/>
    </row>
    <row r="5048" spans="1:5" x14ac:dyDescent="0.25">
      <c r="A5048" s="274"/>
      <c r="B5048" s="498"/>
      <c r="C5048" s="287"/>
      <c r="D5048" s="288"/>
      <c r="E5048" s="288"/>
    </row>
    <row r="5049" spans="1:5" x14ac:dyDescent="0.25">
      <c r="A5049" s="274"/>
      <c r="B5049" s="498"/>
      <c r="C5049" s="287"/>
      <c r="D5049" s="288"/>
      <c r="E5049" s="288"/>
    </row>
    <row r="5050" spans="1:5" x14ac:dyDescent="0.25">
      <c r="A5050" s="274"/>
      <c r="B5050" s="498"/>
      <c r="C5050" s="287"/>
      <c r="D5050" s="288"/>
      <c r="E5050" s="288"/>
    </row>
    <row r="5051" spans="1:5" x14ac:dyDescent="0.25">
      <c r="A5051" s="274"/>
      <c r="B5051" s="498"/>
      <c r="C5051" s="287"/>
      <c r="D5051" s="288"/>
      <c r="E5051" s="288"/>
    </row>
    <row r="5052" spans="1:5" x14ac:dyDescent="0.25">
      <c r="A5052" s="274"/>
      <c r="B5052" s="498"/>
      <c r="C5052" s="287"/>
      <c r="D5052" s="288"/>
      <c r="E5052" s="288"/>
    </row>
    <row r="5053" spans="1:5" x14ac:dyDescent="0.25">
      <c r="A5053" s="274"/>
      <c r="B5053" s="498"/>
      <c r="C5053" s="287"/>
      <c r="D5053" s="288"/>
      <c r="E5053" s="288"/>
    </row>
    <row r="5054" spans="1:5" x14ac:dyDescent="0.25">
      <c r="A5054" s="274"/>
      <c r="B5054" s="498"/>
      <c r="C5054" s="287"/>
      <c r="D5054" s="288"/>
      <c r="E5054" s="288"/>
    </row>
    <row r="5055" spans="1:5" x14ac:dyDescent="0.25">
      <c r="A5055" s="274"/>
      <c r="B5055" s="498"/>
      <c r="C5055" s="287"/>
      <c r="D5055" s="288"/>
      <c r="E5055" s="288"/>
    </row>
    <row r="5056" spans="1:5" x14ac:dyDescent="0.25">
      <c r="A5056" s="274"/>
      <c r="B5056" s="498"/>
      <c r="C5056" s="287"/>
      <c r="D5056" s="288"/>
      <c r="E5056" s="288"/>
    </row>
    <row r="5057" spans="1:5" x14ac:dyDescent="0.25">
      <c r="A5057" s="274"/>
      <c r="B5057" s="498"/>
      <c r="C5057" s="287"/>
      <c r="D5057" s="288"/>
      <c r="E5057" s="288"/>
    </row>
    <row r="5058" spans="1:5" x14ac:dyDescent="0.25">
      <c r="A5058" s="274"/>
      <c r="B5058" s="498"/>
      <c r="C5058" s="287"/>
      <c r="D5058" s="288"/>
      <c r="E5058" s="288"/>
    </row>
    <row r="5059" spans="1:5" x14ac:dyDescent="0.25">
      <c r="A5059" s="274"/>
      <c r="B5059" s="498"/>
      <c r="C5059" s="287"/>
      <c r="D5059" s="288"/>
      <c r="E5059" s="288"/>
    </row>
    <row r="5060" spans="1:5" x14ac:dyDescent="0.25">
      <c r="A5060" s="274"/>
      <c r="B5060" s="498"/>
      <c r="C5060" s="287"/>
      <c r="D5060" s="288"/>
      <c r="E5060" s="288"/>
    </row>
    <row r="5061" spans="1:5" x14ac:dyDescent="0.25">
      <c r="A5061" s="274"/>
      <c r="B5061" s="498"/>
      <c r="C5061" s="287"/>
      <c r="D5061" s="288"/>
      <c r="E5061" s="288"/>
    </row>
    <row r="5062" spans="1:5" x14ac:dyDescent="0.25">
      <c r="A5062" s="274"/>
      <c r="B5062" s="498"/>
      <c r="C5062" s="287"/>
      <c r="D5062" s="288"/>
      <c r="E5062" s="288"/>
    </row>
    <row r="5063" spans="1:5" x14ac:dyDescent="0.25">
      <c r="A5063" s="274"/>
      <c r="B5063" s="498"/>
      <c r="C5063" s="287"/>
      <c r="D5063" s="288"/>
      <c r="E5063" s="288"/>
    </row>
    <row r="5064" spans="1:5" x14ac:dyDescent="0.25">
      <c r="A5064" s="274"/>
      <c r="B5064" s="498"/>
      <c r="C5064" s="287"/>
      <c r="D5064" s="288"/>
      <c r="E5064" s="288"/>
    </row>
    <row r="5065" spans="1:5" x14ac:dyDescent="0.25">
      <c r="A5065" s="274"/>
      <c r="B5065" s="498"/>
      <c r="C5065" s="287"/>
      <c r="D5065" s="288"/>
      <c r="E5065" s="288"/>
    </row>
    <row r="5066" spans="1:5" x14ac:dyDescent="0.25">
      <c r="A5066" s="274"/>
      <c r="B5066" s="498"/>
      <c r="C5066" s="287"/>
      <c r="D5066" s="288"/>
      <c r="E5066" s="288"/>
    </row>
    <row r="5067" spans="1:5" x14ac:dyDescent="0.25">
      <c r="A5067" s="274"/>
      <c r="B5067" s="498"/>
      <c r="C5067" s="287"/>
      <c r="D5067" s="288"/>
      <c r="E5067" s="288"/>
    </row>
    <row r="5068" spans="1:5" x14ac:dyDescent="0.25">
      <c r="A5068" s="274"/>
      <c r="B5068" s="498"/>
      <c r="C5068" s="287"/>
      <c r="D5068" s="288"/>
      <c r="E5068" s="288"/>
    </row>
    <row r="5069" spans="1:5" x14ac:dyDescent="0.25">
      <c r="A5069" s="274"/>
      <c r="B5069" s="498"/>
      <c r="C5069" s="287"/>
      <c r="D5069" s="288"/>
      <c r="E5069" s="288"/>
    </row>
    <row r="5070" spans="1:5" x14ac:dyDescent="0.25">
      <c r="A5070" s="274"/>
      <c r="B5070" s="498"/>
      <c r="C5070" s="287"/>
      <c r="D5070" s="288"/>
      <c r="E5070" s="288"/>
    </row>
    <row r="5071" spans="1:5" x14ac:dyDescent="0.25">
      <c r="A5071" s="274"/>
      <c r="B5071" s="498"/>
      <c r="C5071" s="287"/>
      <c r="D5071" s="288"/>
      <c r="E5071" s="288"/>
    </row>
    <row r="5072" spans="1:5" x14ac:dyDescent="0.25">
      <c r="A5072" s="274"/>
      <c r="B5072" s="498"/>
      <c r="C5072" s="287"/>
      <c r="D5072" s="288"/>
      <c r="E5072" s="288"/>
    </row>
    <row r="5073" spans="1:5" x14ac:dyDescent="0.25">
      <c r="A5073" s="274"/>
      <c r="B5073" s="498"/>
      <c r="C5073" s="287"/>
      <c r="D5073" s="288"/>
      <c r="E5073" s="288"/>
    </row>
    <row r="5074" spans="1:5" x14ac:dyDescent="0.25">
      <c r="A5074" s="274"/>
      <c r="B5074" s="498"/>
      <c r="C5074" s="287"/>
      <c r="D5074" s="288"/>
      <c r="E5074" s="288"/>
    </row>
    <row r="5075" spans="1:5" x14ac:dyDescent="0.25">
      <c r="A5075" s="274"/>
      <c r="B5075" s="498"/>
      <c r="C5075" s="287"/>
      <c r="D5075" s="288"/>
      <c r="E5075" s="288"/>
    </row>
    <row r="5076" spans="1:5" x14ac:dyDescent="0.25">
      <c r="A5076" s="274"/>
      <c r="B5076" s="498"/>
      <c r="C5076" s="287"/>
      <c r="D5076" s="288"/>
      <c r="E5076" s="288"/>
    </row>
    <row r="5077" spans="1:5" x14ac:dyDescent="0.25">
      <c r="A5077" s="274"/>
      <c r="B5077" s="498"/>
      <c r="C5077" s="287"/>
      <c r="D5077" s="288"/>
      <c r="E5077" s="288"/>
    </row>
    <row r="5078" spans="1:5" x14ac:dyDescent="0.25">
      <c r="A5078" s="274"/>
      <c r="B5078" s="498"/>
      <c r="C5078" s="287"/>
      <c r="D5078" s="288"/>
      <c r="E5078" s="288"/>
    </row>
    <row r="5079" spans="1:5" x14ac:dyDescent="0.25">
      <c r="A5079" s="274"/>
      <c r="B5079" s="498"/>
      <c r="C5079" s="287"/>
      <c r="D5079" s="288"/>
      <c r="E5079" s="288"/>
    </row>
    <row r="5080" spans="1:5" x14ac:dyDescent="0.25">
      <c r="A5080" s="274"/>
      <c r="B5080" s="498"/>
      <c r="C5080" s="287"/>
      <c r="D5080" s="288"/>
      <c r="E5080" s="288"/>
    </row>
    <row r="5081" spans="1:5" x14ac:dyDescent="0.25">
      <c r="A5081" s="274"/>
      <c r="B5081" s="498"/>
      <c r="C5081" s="287"/>
      <c r="D5081" s="288"/>
      <c r="E5081" s="288"/>
    </row>
    <row r="5082" spans="1:5" x14ac:dyDescent="0.25">
      <c r="A5082" s="274"/>
      <c r="B5082" s="498"/>
      <c r="C5082" s="287"/>
      <c r="D5082" s="288"/>
      <c r="E5082" s="288"/>
    </row>
    <row r="5083" spans="1:5" x14ac:dyDescent="0.25">
      <c r="A5083" s="274"/>
      <c r="B5083" s="498"/>
      <c r="C5083" s="287"/>
      <c r="D5083" s="288"/>
      <c r="E5083" s="288"/>
    </row>
    <row r="5084" spans="1:5" x14ac:dyDescent="0.25">
      <c r="A5084" s="274"/>
      <c r="B5084" s="498"/>
      <c r="C5084" s="287"/>
      <c r="D5084" s="288"/>
      <c r="E5084" s="288"/>
    </row>
    <row r="5085" spans="1:5" x14ac:dyDescent="0.25">
      <c r="A5085" s="274"/>
      <c r="B5085" s="498"/>
      <c r="C5085" s="287"/>
      <c r="D5085" s="288"/>
      <c r="E5085" s="288"/>
    </row>
    <row r="5086" spans="1:5" x14ac:dyDescent="0.25">
      <c r="A5086" s="274"/>
      <c r="B5086" s="498"/>
      <c r="C5086" s="287"/>
      <c r="D5086" s="288"/>
      <c r="E5086" s="288"/>
    </row>
    <row r="5087" spans="1:5" x14ac:dyDescent="0.25">
      <c r="A5087" s="274"/>
      <c r="B5087" s="498"/>
      <c r="C5087" s="287"/>
      <c r="D5087" s="288"/>
      <c r="E5087" s="288"/>
    </row>
    <row r="5088" spans="1:5" x14ac:dyDescent="0.25">
      <c r="A5088" s="274"/>
      <c r="B5088" s="498"/>
      <c r="C5088" s="287"/>
      <c r="D5088" s="288"/>
      <c r="E5088" s="288"/>
    </row>
    <row r="5089" spans="1:5" x14ac:dyDescent="0.25">
      <c r="A5089" s="274"/>
      <c r="B5089" s="498"/>
      <c r="C5089" s="287"/>
      <c r="D5089" s="288"/>
      <c r="E5089" s="288"/>
    </row>
    <row r="5090" spans="1:5" x14ac:dyDescent="0.25">
      <c r="A5090" s="274"/>
      <c r="B5090" s="498"/>
      <c r="C5090" s="287"/>
      <c r="D5090" s="288"/>
      <c r="E5090" s="288"/>
    </row>
    <row r="5091" spans="1:5" x14ac:dyDescent="0.25">
      <c r="A5091" s="274"/>
      <c r="B5091" s="498"/>
      <c r="C5091" s="287"/>
      <c r="D5091" s="288"/>
      <c r="E5091" s="288"/>
    </row>
    <row r="5092" spans="1:5" x14ac:dyDescent="0.25">
      <c r="A5092" s="274"/>
      <c r="B5092" s="498"/>
      <c r="C5092" s="287"/>
      <c r="D5092" s="288"/>
      <c r="E5092" s="288"/>
    </row>
    <row r="5093" spans="1:5" x14ac:dyDescent="0.25">
      <c r="A5093" s="274"/>
      <c r="B5093" s="498"/>
      <c r="C5093" s="287"/>
      <c r="D5093" s="288"/>
      <c r="E5093" s="288"/>
    </row>
    <row r="5094" spans="1:5" x14ac:dyDescent="0.25">
      <c r="A5094" s="274"/>
      <c r="B5094" s="498"/>
      <c r="C5094" s="287"/>
      <c r="D5094" s="288"/>
      <c r="E5094" s="288"/>
    </row>
    <row r="5095" spans="1:5" x14ac:dyDescent="0.25">
      <c r="A5095" s="274"/>
      <c r="B5095" s="498"/>
      <c r="C5095" s="287"/>
      <c r="D5095" s="288"/>
      <c r="E5095" s="288"/>
    </row>
    <row r="5096" spans="1:5" x14ac:dyDescent="0.25">
      <c r="A5096" s="274"/>
      <c r="B5096" s="498"/>
      <c r="C5096" s="287"/>
      <c r="D5096" s="288"/>
      <c r="E5096" s="288"/>
    </row>
    <row r="5097" spans="1:5" x14ac:dyDescent="0.25">
      <c r="A5097" s="274"/>
      <c r="B5097" s="498"/>
      <c r="C5097" s="287"/>
      <c r="D5097" s="288"/>
      <c r="E5097" s="288"/>
    </row>
    <row r="5098" spans="1:5" x14ac:dyDescent="0.25">
      <c r="A5098" s="274"/>
      <c r="B5098" s="498"/>
      <c r="C5098" s="287"/>
      <c r="D5098" s="288"/>
      <c r="E5098" s="288"/>
    </row>
    <row r="5099" spans="1:5" x14ac:dyDescent="0.25">
      <c r="A5099" s="274"/>
      <c r="B5099" s="498"/>
      <c r="C5099" s="287"/>
      <c r="D5099" s="288"/>
      <c r="E5099" s="288"/>
    </row>
    <row r="5100" spans="1:5" x14ac:dyDescent="0.25">
      <c r="A5100" s="274"/>
      <c r="B5100" s="498"/>
      <c r="C5100" s="287"/>
      <c r="D5100" s="288"/>
      <c r="E5100" s="288"/>
    </row>
    <row r="5101" spans="1:5" x14ac:dyDescent="0.25">
      <c r="A5101" s="274"/>
      <c r="B5101" s="498"/>
      <c r="C5101" s="287"/>
      <c r="D5101" s="288"/>
      <c r="E5101" s="288"/>
    </row>
    <row r="5102" spans="1:5" x14ac:dyDescent="0.25">
      <c r="A5102" s="274"/>
      <c r="B5102" s="498"/>
      <c r="C5102" s="287"/>
      <c r="D5102" s="288"/>
      <c r="E5102" s="288"/>
    </row>
    <row r="5103" spans="1:5" x14ac:dyDescent="0.25">
      <c r="A5103" s="274"/>
      <c r="B5103" s="498"/>
      <c r="C5103" s="287"/>
      <c r="D5103" s="288"/>
      <c r="E5103" s="288"/>
    </row>
    <row r="5104" spans="1:5" x14ac:dyDescent="0.25">
      <c r="A5104" s="274"/>
      <c r="B5104" s="498"/>
      <c r="C5104" s="287"/>
      <c r="D5104" s="288"/>
      <c r="E5104" s="288"/>
    </row>
    <row r="5105" spans="1:5" x14ac:dyDescent="0.25">
      <c r="A5105" s="274"/>
      <c r="B5105" s="498"/>
      <c r="C5105" s="287"/>
      <c r="D5105" s="288"/>
      <c r="E5105" s="288"/>
    </row>
    <row r="5106" spans="1:5" x14ac:dyDescent="0.25">
      <c r="A5106" s="274"/>
      <c r="B5106" s="498"/>
      <c r="C5106" s="287"/>
      <c r="D5106" s="288"/>
      <c r="E5106" s="288"/>
    </row>
    <row r="5107" spans="1:5" x14ac:dyDescent="0.25">
      <c r="A5107" s="274"/>
      <c r="B5107" s="498"/>
      <c r="C5107" s="287"/>
      <c r="D5107" s="288"/>
      <c r="E5107" s="288"/>
    </row>
    <row r="5108" spans="1:5" x14ac:dyDescent="0.25">
      <c r="A5108" s="274"/>
      <c r="B5108" s="498"/>
      <c r="C5108" s="287"/>
      <c r="D5108" s="288"/>
      <c r="E5108" s="288"/>
    </row>
    <row r="5109" spans="1:5" x14ac:dyDescent="0.25">
      <c r="A5109" s="274"/>
      <c r="B5109" s="498"/>
      <c r="C5109" s="287"/>
      <c r="D5109" s="288"/>
      <c r="E5109" s="288"/>
    </row>
    <row r="5110" spans="1:5" x14ac:dyDescent="0.25">
      <c r="A5110" s="274"/>
      <c r="B5110" s="498"/>
      <c r="C5110" s="287"/>
      <c r="D5110" s="288"/>
      <c r="E5110" s="288"/>
    </row>
    <row r="5111" spans="1:5" x14ac:dyDescent="0.25">
      <c r="A5111" s="274"/>
      <c r="B5111" s="498"/>
      <c r="C5111" s="287"/>
      <c r="D5111" s="288"/>
      <c r="E5111" s="288"/>
    </row>
    <row r="5112" spans="1:5" x14ac:dyDescent="0.25">
      <c r="A5112" s="274"/>
      <c r="B5112" s="498"/>
      <c r="C5112" s="287"/>
      <c r="D5112" s="288"/>
      <c r="E5112" s="288"/>
    </row>
    <row r="5113" spans="1:5" x14ac:dyDescent="0.25">
      <c r="A5113" s="274"/>
      <c r="B5113" s="498"/>
      <c r="C5113" s="287"/>
      <c r="D5113" s="288"/>
      <c r="E5113" s="288"/>
    </row>
    <row r="5114" spans="1:5" x14ac:dyDescent="0.25">
      <c r="A5114" s="274"/>
      <c r="B5114" s="498"/>
      <c r="C5114" s="287"/>
      <c r="D5114" s="288"/>
      <c r="E5114" s="288"/>
    </row>
    <row r="5115" spans="1:5" x14ac:dyDescent="0.25">
      <c r="A5115" s="274"/>
      <c r="B5115" s="498"/>
      <c r="C5115" s="287"/>
      <c r="D5115" s="288"/>
      <c r="E5115" s="288"/>
    </row>
    <row r="5116" spans="1:5" x14ac:dyDescent="0.25">
      <c r="A5116" s="274"/>
      <c r="B5116" s="498"/>
      <c r="C5116" s="287"/>
      <c r="D5116" s="288"/>
      <c r="E5116" s="288"/>
    </row>
    <row r="5117" spans="1:5" x14ac:dyDescent="0.25">
      <c r="A5117" s="274"/>
      <c r="B5117" s="498"/>
      <c r="C5117" s="287"/>
      <c r="D5117" s="288"/>
      <c r="E5117" s="288"/>
    </row>
    <row r="5118" spans="1:5" x14ac:dyDescent="0.25">
      <c r="A5118" s="274"/>
      <c r="B5118" s="498"/>
      <c r="C5118" s="287"/>
      <c r="D5118" s="288"/>
      <c r="E5118" s="288"/>
    </row>
    <row r="5119" spans="1:5" x14ac:dyDescent="0.25">
      <c r="A5119" s="274"/>
      <c r="B5119" s="498"/>
      <c r="C5119" s="287"/>
      <c r="D5119" s="288"/>
      <c r="E5119" s="288"/>
    </row>
    <row r="5120" spans="1:5" x14ac:dyDescent="0.25">
      <c r="A5120" s="274"/>
      <c r="B5120" s="498"/>
      <c r="C5120" s="287"/>
      <c r="D5120" s="288"/>
      <c r="E5120" s="288"/>
    </row>
    <row r="5121" spans="1:5" x14ac:dyDescent="0.25">
      <c r="A5121" s="274"/>
      <c r="B5121" s="498"/>
      <c r="C5121" s="287"/>
      <c r="D5121" s="288"/>
      <c r="E5121" s="288"/>
    </row>
    <row r="5122" spans="1:5" x14ac:dyDescent="0.25">
      <c r="A5122" s="274"/>
      <c r="B5122" s="498"/>
      <c r="C5122" s="287"/>
      <c r="D5122" s="288"/>
      <c r="E5122" s="288"/>
    </row>
    <row r="5123" spans="1:5" x14ac:dyDescent="0.25">
      <c r="A5123" s="274"/>
      <c r="B5123" s="498"/>
      <c r="C5123" s="287"/>
      <c r="D5123" s="288"/>
      <c r="E5123" s="288"/>
    </row>
    <row r="5124" spans="1:5" x14ac:dyDescent="0.25">
      <c r="A5124" s="274"/>
      <c r="B5124" s="498"/>
      <c r="C5124" s="287"/>
      <c r="D5124" s="288"/>
      <c r="E5124" s="288"/>
    </row>
    <row r="5125" spans="1:5" x14ac:dyDescent="0.25">
      <c r="A5125" s="274"/>
      <c r="B5125" s="498"/>
      <c r="C5125" s="287"/>
      <c r="D5125" s="288"/>
      <c r="E5125" s="288"/>
    </row>
    <row r="5126" spans="1:5" x14ac:dyDescent="0.25">
      <c r="A5126" s="274"/>
      <c r="B5126" s="498"/>
      <c r="C5126" s="287"/>
      <c r="D5126" s="288"/>
      <c r="E5126" s="288"/>
    </row>
    <row r="5127" spans="1:5" x14ac:dyDescent="0.25">
      <c r="A5127" s="274"/>
      <c r="B5127" s="498"/>
      <c r="C5127" s="287"/>
      <c r="D5127" s="288"/>
      <c r="E5127" s="288"/>
    </row>
    <row r="5128" spans="1:5" x14ac:dyDescent="0.25">
      <c r="A5128" s="274"/>
      <c r="B5128" s="498"/>
      <c r="C5128" s="287"/>
      <c r="D5128" s="288"/>
      <c r="E5128" s="288"/>
    </row>
    <row r="5129" spans="1:5" x14ac:dyDescent="0.25">
      <c r="A5129" s="274"/>
      <c r="B5129" s="498"/>
      <c r="C5129" s="287"/>
      <c r="D5129" s="288"/>
      <c r="E5129" s="288"/>
    </row>
    <row r="5130" spans="1:5" x14ac:dyDescent="0.25">
      <c r="A5130" s="274"/>
      <c r="B5130" s="498"/>
      <c r="C5130" s="287"/>
      <c r="D5130" s="288"/>
      <c r="E5130" s="288"/>
    </row>
    <row r="5131" spans="1:5" x14ac:dyDescent="0.25">
      <c r="A5131" s="274"/>
      <c r="B5131" s="498"/>
      <c r="C5131" s="287"/>
      <c r="D5131" s="288"/>
      <c r="E5131" s="288"/>
    </row>
    <row r="5132" spans="1:5" x14ac:dyDescent="0.25">
      <c r="A5132" s="274"/>
      <c r="B5132" s="498"/>
      <c r="C5132" s="287"/>
      <c r="D5132" s="288"/>
      <c r="E5132" s="288"/>
    </row>
    <row r="5133" spans="1:5" x14ac:dyDescent="0.25">
      <c r="A5133" s="274"/>
      <c r="B5133" s="498"/>
      <c r="C5133" s="287"/>
      <c r="D5133" s="288"/>
      <c r="E5133" s="288"/>
    </row>
    <row r="5134" spans="1:5" x14ac:dyDescent="0.25">
      <c r="A5134" s="274"/>
      <c r="B5134" s="498"/>
      <c r="C5134" s="287"/>
      <c r="D5134" s="288"/>
      <c r="E5134" s="288"/>
    </row>
    <row r="5135" spans="1:5" x14ac:dyDescent="0.25">
      <c r="A5135" s="274"/>
      <c r="B5135" s="498"/>
      <c r="C5135" s="287"/>
      <c r="D5135" s="288"/>
      <c r="E5135" s="288"/>
    </row>
    <row r="5136" spans="1:5" x14ac:dyDescent="0.25">
      <c r="A5136" s="274"/>
      <c r="B5136" s="498"/>
      <c r="C5136" s="287"/>
      <c r="D5136" s="288"/>
      <c r="E5136" s="288"/>
    </row>
    <row r="5137" spans="1:5" x14ac:dyDescent="0.25">
      <c r="A5137" s="274"/>
      <c r="B5137" s="498"/>
      <c r="C5137" s="287"/>
      <c r="D5137" s="288"/>
      <c r="E5137" s="288"/>
    </row>
    <row r="5138" spans="1:5" x14ac:dyDescent="0.25">
      <c r="A5138" s="274"/>
      <c r="B5138" s="498"/>
      <c r="C5138" s="287"/>
      <c r="D5138" s="288"/>
      <c r="E5138" s="288"/>
    </row>
    <row r="5139" spans="1:5" x14ac:dyDescent="0.25">
      <c r="A5139" s="274"/>
      <c r="B5139" s="498"/>
      <c r="C5139" s="287"/>
      <c r="D5139" s="288"/>
      <c r="E5139" s="288"/>
    </row>
    <row r="5140" spans="1:5" x14ac:dyDescent="0.25">
      <c r="A5140" s="274"/>
      <c r="B5140" s="498"/>
      <c r="C5140" s="287"/>
      <c r="D5140" s="288"/>
      <c r="E5140" s="288"/>
    </row>
    <row r="5141" spans="1:5" x14ac:dyDescent="0.25">
      <c r="A5141" s="274"/>
      <c r="B5141" s="498"/>
      <c r="C5141" s="287"/>
      <c r="D5141" s="288"/>
      <c r="E5141" s="288"/>
    </row>
    <row r="5142" spans="1:5" x14ac:dyDescent="0.25">
      <c r="A5142" s="274"/>
      <c r="B5142" s="498"/>
      <c r="C5142" s="287"/>
      <c r="D5142" s="288"/>
      <c r="E5142" s="288"/>
    </row>
    <row r="5143" spans="1:5" x14ac:dyDescent="0.25">
      <c r="A5143" s="274"/>
      <c r="B5143" s="498"/>
      <c r="C5143" s="287"/>
      <c r="D5143" s="288"/>
      <c r="E5143" s="288"/>
    </row>
    <row r="5144" spans="1:5" x14ac:dyDescent="0.25">
      <c r="A5144" s="274"/>
      <c r="B5144" s="498"/>
      <c r="C5144" s="287"/>
      <c r="D5144" s="288"/>
      <c r="E5144" s="288"/>
    </row>
    <row r="5145" spans="1:5" x14ac:dyDescent="0.25">
      <c r="A5145" s="274"/>
      <c r="B5145" s="498"/>
      <c r="C5145" s="287"/>
      <c r="D5145" s="288"/>
      <c r="E5145" s="288"/>
    </row>
    <row r="5146" spans="1:5" x14ac:dyDescent="0.25">
      <c r="A5146" s="274"/>
      <c r="B5146" s="498"/>
      <c r="C5146" s="287"/>
      <c r="D5146" s="288"/>
      <c r="E5146" s="288"/>
    </row>
    <row r="5147" spans="1:5" x14ac:dyDescent="0.25">
      <c r="A5147" s="274"/>
      <c r="B5147" s="498"/>
      <c r="C5147" s="287"/>
      <c r="D5147" s="288"/>
      <c r="E5147" s="288"/>
    </row>
    <row r="5148" spans="1:5" x14ac:dyDescent="0.25">
      <c r="A5148" s="274"/>
      <c r="B5148" s="498"/>
      <c r="C5148" s="287"/>
      <c r="D5148" s="288"/>
      <c r="E5148" s="288"/>
    </row>
    <row r="5149" spans="1:5" x14ac:dyDescent="0.25">
      <c r="A5149" s="274"/>
      <c r="B5149" s="498"/>
      <c r="C5149" s="287"/>
      <c r="D5149" s="288"/>
      <c r="E5149" s="288"/>
    </row>
    <row r="5150" spans="1:5" x14ac:dyDescent="0.25">
      <c r="A5150" s="274"/>
      <c r="B5150" s="498"/>
      <c r="C5150" s="287"/>
      <c r="D5150" s="288"/>
      <c r="E5150" s="288"/>
    </row>
    <row r="5151" spans="1:5" x14ac:dyDescent="0.25">
      <c r="A5151" s="274"/>
      <c r="B5151" s="498"/>
      <c r="C5151" s="287"/>
      <c r="D5151" s="288"/>
      <c r="E5151" s="288"/>
    </row>
    <row r="5152" spans="1:5" x14ac:dyDescent="0.25">
      <c r="A5152" s="274"/>
      <c r="B5152" s="498"/>
      <c r="C5152" s="287"/>
      <c r="D5152" s="288"/>
      <c r="E5152" s="288"/>
    </row>
    <row r="5153" spans="1:5" x14ac:dyDescent="0.25">
      <c r="A5153" s="274"/>
      <c r="B5153" s="498"/>
      <c r="C5153" s="287"/>
      <c r="D5153" s="288"/>
      <c r="E5153" s="288"/>
    </row>
    <row r="5154" spans="1:5" x14ac:dyDescent="0.25">
      <c r="A5154" s="274"/>
      <c r="B5154" s="498"/>
      <c r="C5154" s="287"/>
      <c r="D5154" s="288"/>
      <c r="E5154" s="288"/>
    </row>
    <row r="5155" spans="1:5" x14ac:dyDescent="0.25">
      <c r="A5155" s="274"/>
      <c r="B5155" s="498"/>
      <c r="C5155" s="287"/>
      <c r="D5155" s="288"/>
      <c r="E5155" s="288"/>
    </row>
    <row r="5156" spans="1:5" x14ac:dyDescent="0.25">
      <c r="A5156" s="274"/>
      <c r="B5156" s="498"/>
      <c r="C5156" s="287"/>
      <c r="D5156" s="288"/>
      <c r="E5156" s="288"/>
    </row>
    <row r="5157" spans="1:5" x14ac:dyDescent="0.25">
      <c r="A5157" s="274"/>
      <c r="B5157" s="498"/>
      <c r="C5157" s="287"/>
      <c r="D5157" s="288"/>
      <c r="E5157" s="288"/>
    </row>
    <row r="5158" spans="1:5" x14ac:dyDescent="0.25">
      <c r="A5158" s="274"/>
      <c r="B5158" s="498"/>
      <c r="C5158" s="287"/>
      <c r="D5158" s="288"/>
      <c r="E5158" s="288"/>
    </row>
    <row r="5159" spans="1:5" x14ac:dyDescent="0.25">
      <c r="A5159" s="274"/>
      <c r="B5159" s="498"/>
      <c r="C5159" s="287"/>
      <c r="D5159" s="288"/>
      <c r="E5159" s="288"/>
    </row>
    <row r="5160" spans="1:5" x14ac:dyDescent="0.25">
      <c r="A5160" s="274"/>
      <c r="B5160" s="498"/>
      <c r="C5160" s="287"/>
      <c r="D5160" s="288"/>
      <c r="E5160" s="288"/>
    </row>
    <row r="5161" spans="1:5" x14ac:dyDescent="0.25">
      <c r="A5161" s="274"/>
      <c r="B5161" s="498"/>
      <c r="C5161" s="287"/>
      <c r="D5161" s="288"/>
      <c r="E5161" s="288"/>
    </row>
    <row r="5162" spans="1:5" x14ac:dyDescent="0.25">
      <c r="A5162" s="274"/>
      <c r="B5162" s="498"/>
      <c r="C5162" s="287"/>
      <c r="D5162" s="288"/>
      <c r="E5162" s="288"/>
    </row>
    <row r="5163" spans="1:5" x14ac:dyDescent="0.25">
      <c r="A5163" s="274"/>
      <c r="B5163" s="498"/>
      <c r="C5163" s="287"/>
      <c r="D5163" s="288"/>
      <c r="E5163" s="288"/>
    </row>
    <row r="5164" spans="1:5" x14ac:dyDescent="0.25">
      <c r="A5164" s="274"/>
      <c r="B5164" s="498"/>
      <c r="C5164" s="287"/>
      <c r="D5164" s="288"/>
      <c r="E5164" s="288"/>
    </row>
    <row r="5165" spans="1:5" x14ac:dyDescent="0.25">
      <c r="A5165" s="274"/>
      <c r="B5165" s="498"/>
      <c r="C5165" s="287"/>
      <c r="D5165" s="288"/>
      <c r="E5165" s="288"/>
    </row>
    <row r="5166" spans="1:5" x14ac:dyDescent="0.25">
      <c r="A5166" s="274"/>
      <c r="B5166" s="498"/>
      <c r="C5166" s="287"/>
      <c r="D5166" s="288"/>
      <c r="E5166" s="288"/>
    </row>
    <row r="5167" spans="1:5" x14ac:dyDescent="0.25">
      <c r="A5167" s="274"/>
      <c r="B5167" s="498"/>
      <c r="C5167" s="287"/>
      <c r="D5167" s="288"/>
      <c r="E5167" s="288"/>
    </row>
    <row r="5168" spans="1:5" x14ac:dyDescent="0.25">
      <c r="A5168" s="274"/>
      <c r="B5168" s="498"/>
      <c r="C5168" s="287"/>
      <c r="D5168" s="288"/>
      <c r="E5168" s="288"/>
    </row>
    <row r="5169" spans="1:5" x14ac:dyDescent="0.25">
      <c r="A5169" s="274"/>
      <c r="B5169" s="498"/>
      <c r="C5169" s="287"/>
      <c r="D5169" s="288"/>
      <c r="E5169" s="288"/>
    </row>
    <row r="5170" spans="1:5" x14ac:dyDescent="0.25">
      <c r="A5170" s="274"/>
      <c r="B5170" s="498"/>
      <c r="C5170" s="287"/>
      <c r="D5170" s="288"/>
      <c r="E5170" s="288"/>
    </row>
    <row r="5171" spans="1:5" x14ac:dyDescent="0.25">
      <c r="A5171" s="274"/>
      <c r="B5171" s="498"/>
      <c r="C5171" s="287"/>
      <c r="D5171" s="288"/>
      <c r="E5171" s="288"/>
    </row>
    <row r="5172" spans="1:5" x14ac:dyDescent="0.25">
      <c r="A5172" s="274"/>
      <c r="B5172" s="498"/>
      <c r="C5172" s="287"/>
      <c r="D5172" s="288"/>
      <c r="E5172" s="288"/>
    </row>
    <row r="5173" spans="1:5" x14ac:dyDescent="0.25">
      <c r="A5173" s="274"/>
      <c r="B5173" s="498"/>
      <c r="C5173" s="287"/>
      <c r="D5173" s="288"/>
      <c r="E5173" s="288"/>
    </row>
    <row r="5174" spans="1:5" x14ac:dyDescent="0.25">
      <c r="A5174" s="274"/>
      <c r="B5174" s="498"/>
      <c r="C5174" s="287"/>
      <c r="D5174" s="288"/>
      <c r="E5174" s="288"/>
    </row>
    <row r="5175" spans="1:5" x14ac:dyDescent="0.25">
      <c r="A5175" s="274"/>
      <c r="B5175" s="498"/>
      <c r="C5175" s="287"/>
      <c r="D5175" s="288"/>
      <c r="E5175" s="288"/>
    </row>
    <row r="5176" spans="1:5" x14ac:dyDescent="0.25">
      <c r="A5176" s="274"/>
      <c r="B5176" s="498"/>
      <c r="C5176" s="287"/>
      <c r="D5176" s="288"/>
      <c r="E5176" s="288"/>
    </row>
    <row r="5177" spans="1:5" x14ac:dyDescent="0.25">
      <c r="A5177" s="274"/>
      <c r="B5177" s="498"/>
      <c r="C5177" s="287"/>
      <c r="D5177" s="288"/>
      <c r="E5177" s="288"/>
    </row>
    <row r="5178" spans="1:5" x14ac:dyDescent="0.25">
      <c r="A5178" s="274"/>
      <c r="B5178" s="498"/>
      <c r="C5178" s="287"/>
      <c r="D5178" s="288"/>
      <c r="E5178" s="288"/>
    </row>
    <row r="5179" spans="1:5" x14ac:dyDescent="0.25">
      <c r="A5179" s="274"/>
      <c r="B5179" s="498"/>
      <c r="C5179" s="287"/>
      <c r="D5179" s="288"/>
      <c r="E5179" s="288"/>
    </row>
    <row r="5180" spans="1:5" x14ac:dyDescent="0.25">
      <c r="A5180" s="274"/>
      <c r="B5180" s="498"/>
      <c r="C5180" s="287"/>
      <c r="D5180" s="288"/>
      <c r="E5180" s="288"/>
    </row>
    <row r="5181" spans="1:5" x14ac:dyDescent="0.25">
      <c r="A5181" s="274"/>
      <c r="B5181" s="498"/>
      <c r="C5181" s="287"/>
      <c r="D5181" s="288"/>
      <c r="E5181" s="288"/>
    </row>
    <row r="5182" spans="1:5" x14ac:dyDescent="0.25">
      <c r="A5182" s="274"/>
      <c r="B5182" s="498"/>
      <c r="C5182" s="287"/>
      <c r="D5182" s="288"/>
      <c r="E5182" s="288"/>
    </row>
    <row r="5183" spans="1:5" x14ac:dyDescent="0.25">
      <c r="A5183" s="274"/>
      <c r="B5183" s="498"/>
      <c r="C5183" s="287"/>
      <c r="D5183" s="288"/>
      <c r="E5183" s="288"/>
    </row>
    <row r="5184" spans="1:5" x14ac:dyDescent="0.25">
      <c r="A5184" s="274"/>
      <c r="B5184" s="498"/>
      <c r="C5184" s="287"/>
      <c r="D5184" s="288"/>
      <c r="E5184" s="288"/>
    </row>
    <row r="5185" spans="1:5" x14ac:dyDescent="0.25">
      <c r="A5185" s="274"/>
      <c r="B5185" s="498"/>
      <c r="C5185" s="287"/>
      <c r="D5185" s="288"/>
      <c r="E5185" s="288"/>
    </row>
    <row r="5186" spans="1:5" x14ac:dyDescent="0.25">
      <c r="A5186" s="274"/>
      <c r="B5186" s="498"/>
      <c r="C5186" s="287"/>
      <c r="D5186" s="288"/>
      <c r="E5186" s="288"/>
    </row>
    <row r="5187" spans="1:5" x14ac:dyDescent="0.25">
      <c r="A5187" s="274"/>
      <c r="B5187" s="498"/>
      <c r="C5187" s="287"/>
      <c r="D5187" s="288"/>
      <c r="E5187" s="288"/>
    </row>
    <row r="5188" spans="1:5" x14ac:dyDescent="0.25">
      <c r="A5188" s="274"/>
      <c r="B5188" s="498"/>
      <c r="C5188" s="287"/>
      <c r="D5188" s="288"/>
      <c r="E5188" s="288"/>
    </row>
    <row r="5189" spans="1:5" x14ac:dyDescent="0.25">
      <c r="A5189" s="274"/>
      <c r="B5189" s="498"/>
      <c r="C5189" s="287"/>
      <c r="D5189" s="288"/>
      <c r="E5189" s="288"/>
    </row>
    <row r="5190" spans="1:5" x14ac:dyDescent="0.25">
      <c r="A5190" s="274"/>
      <c r="B5190" s="498"/>
      <c r="C5190" s="287"/>
      <c r="D5190" s="288"/>
      <c r="E5190" s="288"/>
    </row>
    <row r="5191" spans="1:5" x14ac:dyDescent="0.25">
      <c r="A5191" s="274"/>
      <c r="B5191" s="498"/>
      <c r="C5191" s="287"/>
      <c r="D5191" s="288"/>
      <c r="E5191" s="288"/>
    </row>
    <row r="5192" spans="1:5" x14ac:dyDescent="0.25">
      <c r="A5192" s="274"/>
      <c r="B5192" s="498"/>
      <c r="C5192" s="287"/>
      <c r="D5192" s="288"/>
      <c r="E5192" s="288"/>
    </row>
    <row r="5193" spans="1:5" x14ac:dyDescent="0.25">
      <c r="A5193" s="274"/>
      <c r="B5193" s="498"/>
      <c r="C5193" s="287"/>
      <c r="D5193" s="288"/>
      <c r="E5193" s="288"/>
    </row>
    <row r="5194" spans="1:5" x14ac:dyDescent="0.25">
      <c r="A5194" s="274"/>
      <c r="B5194" s="498"/>
      <c r="C5194" s="287"/>
      <c r="D5194" s="288"/>
      <c r="E5194" s="288"/>
    </row>
    <row r="5195" spans="1:5" x14ac:dyDescent="0.25">
      <c r="A5195" s="274"/>
      <c r="B5195" s="498"/>
      <c r="C5195" s="287"/>
      <c r="D5195" s="288"/>
      <c r="E5195" s="288"/>
    </row>
    <row r="5196" spans="1:5" x14ac:dyDescent="0.25">
      <c r="A5196" s="274"/>
      <c r="B5196" s="498"/>
      <c r="C5196" s="287"/>
      <c r="D5196" s="288"/>
      <c r="E5196" s="288"/>
    </row>
    <row r="5197" spans="1:5" x14ac:dyDescent="0.25">
      <c r="A5197" s="274"/>
      <c r="B5197" s="498"/>
      <c r="C5197" s="287"/>
      <c r="D5197" s="288"/>
      <c r="E5197" s="288"/>
    </row>
    <row r="5198" spans="1:5" x14ac:dyDescent="0.25">
      <c r="A5198" s="274"/>
      <c r="B5198" s="498"/>
      <c r="C5198" s="287"/>
      <c r="D5198" s="288"/>
      <c r="E5198" s="288"/>
    </row>
    <row r="5199" spans="1:5" x14ac:dyDescent="0.25">
      <c r="A5199" s="274"/>
      <c r="B5199" s="498"/>
      <c r="C5199" s="287"/>
      <c r="D5199" s="288"/>
      <c r="E5199" s="288"/>
    </row>
    <row r="5200" spans="1:5" x14ac:dyDescent="0.25">
      <c r="A5200" s="274"/>
      <c r="B5200" s="498"/>
      <c r="C5200" s="287"/>
      <c r="D5200" s="288"/>
      <c r="E5200" s="288"/>
    </row>
    <row r="5201" spans="1:5" x14ac:dyDescent="0.25">
      <c r="A5201" s="274"/>
      <c r="B5201" s="498"/>
      <c r="C5201" s="287"/>
      <c r="D5201" s="288"/>
      <c r="E5201" s="288"/>
    </row>
    <row r="5202" spans="1:5" x14ac:dyDescent="0.25">
      <c r="A5202" s="274"/>
      <c r="B5202" s="498"/>
      <c r="C5202" s="287"/>
      <c r="D5202" s="288"/>
      <c r="E5202" s="288"/>
    </row>
    <row r="5203" spans="1:5" x14ac:dyDescent="0.25">
      <c r="A5203" s="274"/>
      <c r="B5203" s="498"/>
      <c r="C5203" s="287"/>
      <c r="D5203" s="288"/>
      <c r="E5203" s="288"/>
    </row>
    <row r="5204" spans="1:5" x14ac:dyDescent="0.25">
      <c r="A5204" s="274"/>
      <c r="B5204" s="498"/>
      <c r="C5204" s="287"/>
      <c r="D5204" s="288"/>
      <c r="E5204" s="288"/>
    </row>
    <row r="5205" spans="1:5" x14ac:dyDescent="0.25">
      <c r="A5205" s="274"/>
      <c r="B5205" s="498"/>
      <c r="C5205" s="287"/>
      <c r="D5205" s="288"/>
      <c r="E5205" s="288"/>
    </row>
    <row r="5206" spans="1:5" x14ac:dyDescent="0.25">
      <c r="A5206" s="274"/>
      <c r="B5206" s="498"/>
      <c r="C5206" s="287"/>
      <c r="D5206" s="288"/>
      <c r="E5206" s="288"/>
    </row>
    <row r="5207" spans="1:5" x14ac:dyDescent="0.25">
      <c r="A5207" s="274"/>
      <c r="B5207" s="498"/>
      <c r="C5207" s="287"/>
      <c r="D5207" s="288"/>
      <c r="E5207" s="288"/>
    </row>
    <row r="5208" spans="1:5" x14ac:dyDescent="0.25">
      <c r="A5208" s="274"/>
      <c r="B5208" s="498"/>
      <c r="C5208" s="287"/>
      <c r="D5208" s="288"/>
      <c r="E5208" s="288"/>
    </row>
    <row r="5209" spans="1:5" x14ac:dyDescent="0.25">
      <c r="A5209" s="274"/>
      <c r="B5209" s="498"/>
      <c r="C5209" s="287"/>
      <c r="D5209" s="288"/>
      <c r="E5209" s="288"/>
    </row>
    <row r="5210" spans="1:5" x14ac:dyDescent="0.25">
      <c r="A5210" s="274"/>
      <c r="B5210" s="498"/>
      <c r="C5210" s="287"/>
      <c r="D5210" s="288"/>
      <c r="E5210" s="288"/>
    </row>
    <row r="5211" spans="1:5" x14ac:dyDescent="0.25">
      <c r="A5211" s="274"/>
      <c r="B5211" s="498"/>
      <c r="C5211" s="287"/>
      <c r="D5211" s="288"/>
      <c r="E5211" s="288"/>
    </row>
    <row r="5212" spans="1:5" x14ac:dyDescent="0.25">
      <c r="A5212" s="274"/>
      <c r="B5212" s="498"/>
      <c r="C5212" s="287"/>
      <c r="D5212" s="288"/>
      <c r="E5212" s="288"/>
    </row>
    <row r="5213" spans="1:5" x14ac:dyDescent="0.25">
      <c r="A5213" s="274"/>
      <c r="B5213" s="498"/>
      <c r="C5213" s="287"/>
      <c r="D5213" s="288"/>
      <c r="E5213" s="288"/>
    </row>
    <row r="5214" spans="1:5" x14ac:dyDescent="0.25">
      <c r="A5214" s="274"/>
      <c r="B5214" s="498"/>
      <c r="C5214" s="287"/>
      <c r="D5214" s="288"/>
      <c r="E5214" s="288"/>
    </row>
    <row r="5215" spans="1:5" x14ac:dyDescent="0.25">
      <c r="A5215" s="274"/>
      <c r="B5215" s="498"/>
      <c r="C5215" s="287"/>
      <c r="D5215" s="288"/>
      <c r="E5215" s="288"/>
    </row>
    <row r="5216" spans="1:5" x14ac:dyDescent="0.25">
      <c r="A5216" s="274"/>
      <c r="B5216" s="498"/>
      <c r="C5216" s="287"/>
      <c r="D5216" s="288"/>
      <c r="E5216" s="288"/>
    </row>
    <row r="5217" spans="1:5" x14ac:dyDescent="0.25">
      <c r="A5217" s="274"/>
      <c r="B5217" s="498"/>
      <c r="C5217" s="287"/>
      <c r="D5217" s="288"/>
      <c r="E5217" s="288"/>
    </row>
    <row r="5218" spans="1:5" x14ac:dyDescent="0.25">
      <c r="A5218" s="274"/>
      <c r="B5218" s="498"/>
      <c r="C5218" s="287"/>
      <c r="D5218" s="288"/>
      <c r="E5218" s="288"/>
    </row>
    <row r="5219" spans="1:5" x14ac:dyDescent="0.25">
      <c r="A5219" s="274"/>
      <c r="B5219" s="498"/>
      <c r="C5219" s="287"/>
      <c r="D5219" s="288"/>
      <c r="E5219" s="288"/>
    </row>
    <row r="5220" spans="1:5" x14ac:dyDescent="0.25">
      <c r="A5220" s="274"/>
      <c r="B5220" s="498"/>
      <c r="C5220" s="287"/>
      <c r="D5220" s="288"/>
      <c r="E5220" s="288"/>
    </row>
    <row r="5221" spans="1:5" x14ac:dyDescent="0.25">
      <c r="A5221" s="274"/>
      <c r="B5221" s="498"/>
      <c r="C5221" s="287"/>
      <c r="D5221" s="288"/>
      <c r="E5221" s="288"/>
    </row>
    <row r="5222" spans="1:5" x14ac:dyDescent="0.25">
      <c r="A5222" s="274"/>
      <c r="B5222" s="498"/>
      <c r="C5222" s="287"/>
      <c r="D5222" s="288"/>
      <c r="E5222" s="288"/>
    </row>
    <row r="5223" spans="1:5" x14ac:dyDescent="0.25">
      <c r="A5223" s="274"/>
      <c r="B5223" s="498"/>
      <c r="C5223" s="287"/>
      <c r="D5223" s="288"/>
      <c r="E5223" s="288"/>
    </row>
    <row r="5224" spans="1:5" x14ac:dyDescent="0.25">
      <c r="A5224" s="274"/>
      <c r="B5224" s="498"/>
      <c r="C5224" s="287"/>
      <c r="D5224" s="288"/>
      <c r="E5224" s="288"/>
    </row>
    <row r="5225" spans="1:5" x14ac:dyDescent="0.25">
      <c r="A5225" s="274"/>
      <c r="B5225" s="498"/>
      <c r="C5225" s="287"/>
      <c r="D5225" s="288"/>
      <c r="E5225" s="288"/>
    </row>
    <row r="5226" spans="1:5" x14ac:dyDescent="0.25">
      <c r="A5226" s="274"/>
      <c r="B5226" s="498"/>
      <c r="C5226" s="287"/>
      <c r="D5226" s="288"/>
      <c r="E5226" s="288"/>
    </row>
    <row r="5227" spans="1:5" x14ac:dyDescent="0.25">
      <c r="A5227" s="274"/>
      <c r="B5227" s="498"/>
      <c r="C5227" s="287"/>
      <c r="D5227" s="288"/>
      <c r="E5227" s="288"/>
    </row>
    <row r="5228" spans="1:5" x14ac:dyDescent="0.25">
      <c r="A5228" s="274"/>
      <c r="B5228" s="498"/>
      <c r="C5228" s="287"/>
      <c r="D5228" s="288"/>
      <c r="E5228" s="288"/>
    </row>
    <row r="5229" spans="1:5" x14ac:dyDescent="0.25">
      <c r="A5229" s="274"/>
      <c r="B5229" s="498"/>
      <c r="C5229" s="287"/>
      <c r="D5229" s="288"/>
      <c r="E5229" s="288"/>
    </row>
    <row r="5230" spans="1:5" x14ac:dyDescent="0.25">
      <c r="A5230" s="274"/>
      <c r="B5230" s="498"/>
      <c r="C5230" s="287"/>
      <c r="D5230" s="288"/>
      <c r="E5230" s="288"/>
    </row>
    <row r="5231" spans="1:5" x14ac:dyDescent="0.25">
      <c r="A5231" s="274"/>
      <c r="B5231" s="498"/>
      <c r="C5231" s="287"/>
      <c r="D5231" s="288"/>
      <c r="E5231" s="288"/>
    </row>
    <row r="5232" spans="1:5" x14ac:dyDescent="0.25">
      <c r="A5232" s="274"/>
      <c r="B5232" s="498"/>
      <c r="C5232" s="287"/>
      <c r="D5232" s="288"/>
      <c r="E5232" s="288"/>
    </row>
    <row r="5233" spans="1:5" x14ac:dyDescent="0.25">
      <c r="A5233" s="274"/>
      <c r="B5233" s="498"/>
      <c r="C5233" s="287"/>
      <c r="D5233" s="288"/>
      <c r="E5233" s="288"/>
    </row>
    <row r="5234" spans="1:5" x14ac:dyDescent="0.25">
      <c r="A5234" s="274"/>
      <c r="B5234" s="498"/>
      <c r="C5234" s="287"/>
      <c r="D5234" s="288"/>
      <c r="E5234" s="288"/>
    </row>
    <row r="5235" spans="1:5" x14ac:dyDescent="0.25">
      <c r="A5235" s="274"/>
      <c r="B5235" s="498"/>
      <c r="C5235" s="287"/>
      <c r="D5235" s="288"/>
      <c r="E5235" s="288"/>
    </row>
    <row r="5236" spans="1:5" x14ac:dyDescent="0.25">
      <c r="A5236" s="274"/>
      <c r="B5236" s="498"/>
      <c r="C5236" s="287"/>
      <c r="D5236" s="288"/>
      <c r="E5236" s="288"/>
    </row>
    <row r="5237" spans="1:5" x14ac:dyDescent="0.25">
      <c r="A5237" s="274"/>
      <c r="B5237" s="498"/>
      <c r="C5237" s="287"/>
      <c r="D5237" s="288"/>
      <c r="E5237" s="288"/>
    </row>
    <row r="5238" spans="1:5" x14ac:dyDescent="0.25">
      <c r="A5238" s="274"/>
      <c r="B5238" s="498"/>
      <c r="C5238" s="287"/>
      <c r="D5238" s="288"/>
      <c r="E5238" s="288"/>
    </row>
    <row r="5239" spans="1:5" x14ac:dyDescent="0.25">
      <c r="A5239" s="274"/>
      <c r="B5239" s="498"/>
      <c r="C5239" s="287"/>
      <c r="D5239" s="288"/>
      <c r="E5239" s="288"/>
    </row>
    <row r="5240" spans="1:5" x14ac:dyDescent="0.25">
      <c r="A5240" s="274"/>
      <c r="B5240" s="498"/>
      <c r="C5240" s="287"/>
      <c r="D5240" s="288"/>
      <c r="E5240" s="288"/>
    </row>
    <row r="5241" spans="1:5" x14ac:dyDescent="0.25">
      <c r="A5241" s="274"/>
      <c r="B5241" s="498"/>
      <c r="C5241" s="287"/>
      <c r="D5241" s="288"/>
      <c r="E5241" s="288"/>
    </row>
    <row r="5242" spans="1:5" x14ac:dyDescent="0.25">
      <c r="A5242" s="274"/>
      <c r="B5242" s="498"/>
      <c r="C5242" s="287"/>
      <c r="D5242" s="288"/>
      <c r="E5242" s="288"/>
    </row>
    <row r="5243" spans="1:5" x14ac:dyDescent="0.25">
      <c r="A5243" s="274"/>
      <c r="B5243" s="498"/>
      <c r="C5243" s="287"/>
      <c r="D5243" s="288"/>
      <c r="E5243" s="288"/>
    </row>
    <row r="5244" spans="1:5" x14ac:dyDescent="0.25">
      <c r="A5244" s="274"/>
      <c r="B5244" s="498"/>
      <c r="C5244" s="287"/>
      <c r="D5244" s="288"/>
      <c r="E5244" s="288"/>
    </row>
    <row r="5245" spans="1:5" x14ac:dyDescent="0.25">
      <c r="A5245" s="274"/>
      <c r="B5245" s="498"/>
      <c r="C5245" s="287"/>
      <c r="D5245" s="288"/>
      <c r="E5245" s="288"/>
    </row>
    <row r="5246" spans="1:5" x14ac:dyDescent="0.25">
      <c r="A5246" s="274"/>
      <c r="B5246" s="498"/>
      <c r="C5246" s="287"/>
      <c r="D5246" s="288"/>
      <c r="E5246" s="288"/>
    </row>
    <row r="5247" spans="1:5" x14ac:dyDescent="0.25">
      <c r="A5247" s="274"/>
      <c r="B5247" s="498"/>
      <c r="C5247" s="287"/>
      <c r="D5247" s="288"/>
      <c r="E5247" s="288"/>
    </row>
    <row r="5248" spans="1:5" x14ac:dyDescent="0.25">
      <c r="A5248" s="274"/>
      <c r="B5248" s="498"/>
      <c r="C5248" s="287"/>
      <c r="D5248" s="288"/>
      <c r="E5248" s="288"/>
    </row>
    <row r="5249" spans="1:5" x14ac:dyDescent="0.25">
      <c r="A5249" s="274"/>
      <c r="B5249" s="498"/>
      <c r="C5249" s="287"/>
      <c r="D5249" s="288"/>
      <c r="E5249" s="288"/>
    </row>
    <row r="5250" spans="1:5" x14ac:dyDescent="0.25">
      <c r="A5250" s="274"/>
      <c r="B5250" s="498"/>
      <c r="C5250" s="287"/>
      <c r="D5250" s="288"/>
      <c r="E5250" s="288"/>
    </row>
    <row r="5251" spans="1:5" x14ac:dyDescent="0.25">
      <c r="A5251" s="274"/>
      <c r="B5251" s="498"/>
      <c r="C5251" s="287"/>
      <c r="D5251" s="288"/>
      <c r="E5251" s="288"/>
    </row>
    <row r="5252" spans="1:5" x14ac:dyDescent="0.25">
      <c r="A5252" s="274"/>
      <c r="B5252" s="498"/>
      <c r="C5252" s="287"/>
      <c r="D5252" s="288"/>
      <c r="E5252" s="288"/>
    </row>
    <row r="5253" spans="1:5" x14ac:dyDescent="0.25">
      <c r="A5253" s="274"/>
      <c r="B5253" s="498"/>
      <c r="C5253" s="287"/>
      <c r="D5253" s="288"/>
      <c r="E5253" s="288"/>
    </row>
    <row r="5254" spans="1:5" x14ac:dyDescent="0.25">
      <c r="A5254" s="274"/>
      <c r="B5254" s="498"/>
      <c r="C5254" s="287"/>
      <c r="D5254" s="288"/>
      <c r="E5254" s="288"/>
    </row>
    <row r="5255" spans="1:5" x14ac:dyDescent="0.25">
      <c r="A5255" s="274"/>
      <c r="B5255" s="498"/>
      <c r="C5255" s="287"/>
      <c r="D5255" s="288"/>
      <c r="E5255" s="288"/>
    </row>
    <row r="5256" spans="1:5" x14ac:dyDescent="0.25">
      <c r="A5256" s="274"/>
      <c r="B5256" s="498"/>
      <c r="C5256" s="287"/>
      <c r="D5256" s="288"/>
      <c r="E5256" s="288"/>
    </row>
    <row r="5257" spans="1:5" x14ac:dyDescent="0.25">
      <c r="A5257" s="274"/>
      <c r="B5257" s="498"/>
      <c r="C5257" s="287"/>
      <c r="D5257" s="288"/>
      <c r="E5257" s="288"/>
    </row>
    <row r="5258" spans="1:5" x14ac:dyDescent="0.25">
      <c r="A5258" s="274"/>
      <c r="B5258" s="498"/>
      <c r="C5258" s="287"/>
      <c r="D5258" s="288"/>
      <c r="E5258" s="288"/>
    </row>
    <row r="5259" spans="1:5" x14ac:dyDescent="0.25">
      <c r="A5259" s="274"/>
      <c r="B5259" s="498"/>
      <c r="C5259" s="287"/>
      <c r="D5259" s="288"/>
      <c r="E5259" s="288"/>
    </row>
    <row r="5260" spans="1:5" x14ac:dyDescent="0.25">
      <c r="A5260" s="274"/>
      <c r="B5260" s="498"/>
      <c r="C5260" s="287"/>
      <c r="D5260" s="288"/>
      <c r="E5260" s="288"/>
    </row>
    <row r="5261" spans="1:5" x14ac:dyDescent="0.25">
      <c r="A5261" s="274"/>
      <c r="B5261" s="498"/>
      <c r="C5261" s="287"/>
      <c r="D5261" s="288"/>
      <c r="E5261" s="288"/>
    </row>
    <row r="5262" spans="1:5" x14ac:dyDescent="0.25">
      <c r="A5262" s="274"/>
      <c r="B5262" s="498"/>
      <c r="C5262" s="287"/>
      <c r="D5262" s="288"/>
      <c r="E5262" s="288"/>
    </row>
    <row r="5263" spans="1:5" x14ac:dyDescent="0.25">
      <c r="A5263" s="274"/>
      <c r="B5263" s="498"/>
      <c r="C5263" s="287"/>
      <c r="D5263" s="288"/>
      <c r="E5263" s="288"/>
    </row>
    <row r="5264" spans="1:5" x14ac:dyDescent="0.25">
      <c r="A5264" s="274"/>
      <c r="B5264" s="498"/>
      <c r="C5264" s="287"/>
      <c r="D5264" s="288"/>
      <c r="E5264" s="288"/>
    </row>
    <row r="5265" spans="1:5" x14ac:dyDescent="0.25">
      <c r="A5265" s="274"/>
      <c r="B5265" s="498"/>
      <c r="C5265" s="287"/>
      <c r="D5265" s="288"/>
      <c r="E5265" s="288"/>
    </row>
    <row r="5266" spans="1:5" x14ac:dyDescent="0.25">
      <c r="A5266" s="274"/>
      <c r="B5266" s="498"/>
      <c r="C5266" s="287"/>
      <c r="D5266" s="288"/>
      <c r="E5266" s="288"/>
    </row>
    <row r="5267" spans="1:5" x14ac:dyDescent="0.25">
      <c r="A5267" s="274"/>
      <c r="B5267" s="498"/>
      <c r="C5267" s="287"/>
      <c r="D5267" s="288"/>
      <c r="E5267" s="288"/>
    </row>
    <row r="5268" spans="1:5" x14ac:dyDescent="0.25">
      <c r="A5268" s="274"/>
      <c r="B5268" s="498"/>
      <c r="C5268" s="287"/>
      <c r="D5268" s="288"/>
      <c r="E5268" s="288"/>
    </row>
    <row r="5269" spans="1:5" x14ac:dyDescent="0.25">
      <c r="A5269" s="274"/>
      <c r="B5269" s="498"/>
      <c r="C5269" s="287"/>
      <c r="D5269" s="288"/>
      <c r="E5269" s="288"/>
    </row>
    <row r="5270" spans="1:5" x14ac:dyDescent="0.25">
      <c r="A5270" s="274"/>
      <c r="B5270" s="498"/>
      <c r="C5270" s="287"/>
      <c r="D5270" s="288"/>
      <c r="E5270" s="288"/>
    </row>
    <row r="5271" spans="1:5" x14ac:dyDescent="0.25">
      <c r="A5271" s="274"/>
      <c r="B5271" s="498"/>
      <c r="C5271" s="287"/>
      <c r="D5271" s="288"/>
      <c r="E5271" s="288"/>
    </row>
    <row r="5272" spans="1:5" x14ac:dyDescent="0.25">
      <c r="A5272" s="274"/>
      <c r="B5272" s="498"/>
      <c r="C5272" s="287"/>
      <c r="D5272" s="288"/>
      <c r="E5272" s="288"/>
    </row>
    <row r="5273" spans="1:5" x14ac:dyDescent="0.25">
      <c r="A5273" s="274"/>
      <c r="B5273" s="498"/>
      <c r="C5273" s="287"/>
      <c r="D5273" s="288"/>
      <c r="E5273" s="288"/>
    </row>
    <row r="5274" spans="1:5" x14ac:dyDescent="0.25">
      <c r="A5274" s="274"/>
      <c r="B5274" s="498"/>
      <c r="C5274" s="287"/>
      <c r="D5274" s="288"/>
      <c r="E5274" s="288"/>
    </row>
    <row r="5275" spans="1:5" x14ac:dyDescent="0.25">
      <c r="A5275" s="274"/>
      <c r="B5275" s="498"/>
      <c r="C5275" s="287"/>
      <c r="D5275" s="288"/>
      <c r="E5275" s="288"/>
    </row>
    <row r="5276" spans="1:5" x14ac:dyDescent="0.25">
      <c r="A5276" s="274"/>
      <c r="B5276" s="498"/>
      <c r="C5276" s="287"/>
      <c r="D5276" s="288"/>
      <c r="E5276" s="288"/>
    </row>
    <row r="5277" spans="1:5" x14ac:dyDescent="0.25">
      <c r="A5277" s="274"/>
      <c r="B5277" s="498"/>
      <c r="C5277" s="287"/>
      <c r="D5277" s="288"/>
      <c r="E5277" s="288"/>
    </row>
    <row r="5278" spans="1:5" x14ac:dyDescent="0.25">
      <c r="A5278" s="274"/>
      <c r="B5278" s="498"/>
      <c r="C5278" s="287"/>
      <c r="D5278" s="288"/>
      <c r="E5278" s="288"/>
    </row>
    <row r="5279" spans="1:5" x14ac:dyDescent="0.25">
      <c r="A5279" s="274"/>
      <c r="B5279" s="498"/>
      <c r="C5279" s="287"/>
      <c r="D5279" s="288"/>
      <c r="E5279" s="288"/>
    </row>
    <row r="5280" spans="1:5" x14ac:dyDescent="0.25">
      <c r="A5280" s="274"/>
      <c r="B5280" s="498"/>
      <c r="C5280" s="287"/>
      <c r="D5280" s="288"/>
      <c r="E5280" s="288"/>
    </row>
    <row r="5281" spans="1:5" x14ac:dyDescent="0.25">
      <c r="A5281" s="274"/>
      <c r="B5281" s="498"/>
      <c r="C5281" s="287"/>
      <c r="D5281" s="288"/>
      <c r="E5281" s="288"/>
    </row>
    <row r="5282" spans="1:5" x14ac:dyDescent="0.25">
      <c r="A5282" s="274"/>
      <c r="B5282" s="498"/>
      <c r="C5282" s="287"/>
      <c r="D5282" s="288"/>
      <c r="E5282" s="288"/>
    </row>
    <row r="5283" spans="1:5" x14ac:dyDescent="0.25">
      <c r="A5283" s="274"/>
      <c r="B5283" s="498"/>
      <c r="C5283" s="287"/>
      <c r="D5283" s="288"/>
      <c r="E5283" s="288"/>
    </row>
    <row r="5284" spans="1:5" x14ac:dyDescent="0.25">
      <c r="A5284" s="274"/>
      <c r="B5284" s="498"/>
      <c r="C5284" s="287"/>
      <c r="D5284" s="288"/>
      <c r="E5284" s="288"/>
    </row>
    <row r="5285" spans="1:5" x14ac:dyDescent="0.25">
      <c r="A5285" s="274"/>
      <c r="B5285" s="498"/>
      <c r="C5285" s="287"/>
      <c r="D5285" s="288"/>
      <c r="E5285" s="288"/>
    </row>
    <row r="5286" spans="1:5" x14ac:dyDescent="0.25">
      <c r="A5286" s="274"/>
      <c r="B5286" s="498"/>
      <c r="C5286" s="287"/>
      <c r="D5286" s="288"/>
      <c r="E5286" s="288"/>
    </row>
    <row r="5287" spans="1:5" x14ac:dyDescent="0.25">
      <c r="A5287" s="274"/>
      <c r="B5287" s="498"/>
      <c r="C5287" s="287"/>
      <c r="D5287" s="288"/>
      <c r="E5287" s="288"/>
    </row>
    <row r="5288" spans="1:5" x14ac:dyDescent="0.25">
      <c r="A5288" s="274"/>
      <c r="B5288" s="498"/>
      <c r="C5288" s="287"/>
      <c r="D5288" s="288"/>
      <c r="E5288" s="288"/>
    </row>
    <row r="5289" spans="1:5" x14ac:dyDescent="0.25">
      <c r="A5289" s="274"/>
      <c r="B5289" s="498"/>
      <c r="C5289" s="287"/>
      <c r="D5289" s="288"/>
      <c r="E5289" s="288"/>
    </row>
    <row r="5290" spans="1:5" x14ac:dyDescent="0.25">
      <c r="A5290" s="274"/>
      <c r="B5290" s="498"/>
      <c r="C5290" s="287"/>
      <c r="D5290" s="288"/>
      <c r="E5290" s="288"/>
    </row>
    <row r="5291" spans="1:5" x14ac:dyDescent="0.25">
      <c r="A5291" s="274"/>
      <c r="B5291" s="498"/>
      <c r="C5291" s="287"/>
      <c r="D5291" s="288"/>
      <c r="E5291" s="288"/>
    </row>
    <row r="5292" spans="1:5" x14ac:dyDescent="0.25">
      <c r="A5292" s="274"/>
      <c r="B5292" s="498"/>
      <c r="C5292" s="287"/>
      <c r="D5292" s="288"/>
      <c r="E5292" s="288"/>
    </row>
    <row r="5293" spans="1:5" x14ac:dyDescent="0.25">
      <c r="A5293" s="274"/>
      <c r="B5293" s="498"/>
      <c r="C5293" s="287"/>
      <c r="D5293" s="288"/>
      <c r="E5293" s="288"/>
    </row>
    <row r="5294" spans="1:5" x14ac:dyDescent="0.25">
      <c r="A5294" s="274"/>
      <c r="B5294" s="498"/>
      <c r="C5294" s="287"/>
      <c r="D5294" s="288"/>
      <c r="E5294" s="288"/>
    </row>
    <row r="5295" spans="1:5" x14ac:dyDescent="0.25">
      <c r="A5295" s="274"/>
      <c r="B5295" s="498"/>
      <c r="C5295" s="287"/>
      <c r="D5295" s="288"/>
      <c r="E5295" s="288"/>
    </row>
    <row r="5296" spans="1:5" x14ac:dyDescent="0.25">
      <c r="A5296" s="274"/>
      <c r="B5296" s="498"/>
      <c r="C5296" s="287"/>
      <c r="D5296" s="288"/>
      <c r="E5296" s="288"/>
    </row>
    <row r="5297" spans="1:5" x14ac:dyDescent="0.25">
      <c r="A5297" s="274"/>
      <c r="B5297" s="498"/>
      <c r="C5297" s="287"/>
      <c r="D5297" s="288"/>
      <c r="E5297" s="288"/>
    </row>
    <row r="5298" spans="1:5" x14ac:dyDescent="0.25">
      <c r="A5298" s="274"/>
      <c r="B5298" s="498"/>
      <c r="C5298" s="287"/>
      <c r="D5298" s="288"/>
      <c r="E5298" s="288"/>
    </row>
    <row r="5299" spans="1:5" x14ac:dyDescent="0.25">
      <c r="A5299" s="274"/>
      <c r="B5299" s="498"/>
      <c r="C5299" s="287"/>
      <c r="D5299" s="288"/>
      <c r="E5299" s="288"/>
    </row>
    <row r="5300" spans="1:5" x14ac:dyDescent="0.25">
      <c r="A5300" s="274"/>
      <c r="B5300" s="498"/>
      <c r="C5300" s="287"/>
      <c r="D5300" s="288"/>
      <c r="E5300" s="288"/>
    </row>
    <row r="5301" spans="1:5" x14ac:dyDescent="0.25">
      <c r="A5301" s="274"/>
      <c r="B5301" s="498"/>
      <c r="C5301" s="287"/>
      <c r="D5301" s="288"/>
      <c r="E5301" s="288"/>
    </row>
    <row r="5302" spans="1:5" x14ac:dyDescent="0.25">
      <c r="A5302" s="274"/>
      <c r="B5302" s="498"/>
      <c r="C5302" s="287"/>
      <c r="D5302" s="288"/>
      <c r="E5302" s="288"/>
    </row>
    <row r="5303" spans="1:5" x14ac:dyDescent="0.25">
      <c r="A5303" s="274"/>
      <c r="B5303" s="498"/>
      <c r="C5303" s="287"/>
      <c r="D5303" s="288"/>
      <c r="E5303" s="288"/>
    </row>
    <row r="5304" spans="1:5" x14ac:dyDescent="0.25">
      <c r="A5304" s="274"/>
      <c r="B5304" s="498"/>
      <c r="C5304" s="287"/>
      <c r="D5304" s="288"/>
      <c r="E5304" s="288"/>
    </row>
    <row r="5305" spans="1:5" x14ac:dyDescent="0.25">
      <c r="A5305" s="274"/>
      <c r="B5305" s="498"/>
      <c r="C5305" s="287"/>
      <c r="D5305" s="288"/>
      <c r="E5305" s="288"/>
    </row>
    <row r="5306" spans="1:5" x14ac:dyDescent="0.25">
      <c r="A5306" s="274"/>
      <c r="B5306" s="498"/>
      <c r="C5306" s="287"/>
      <c r="D5306" s="288"/>
      <c r="E5306" s="288"/>
    </row>
    <row r="5307" spans="1:5" x14ac:dyDescent="0.25">
      <c r="A5307" s="274"/>
      <c r="B5307" s="498"/>
      <c r="C5307" s="287"/>
      <c r="D5307" s="288"/>
      <c r="E5307" s="288"/>
    </row>
    <row r="5308" spans="1:5" x14ac:dyDescent="0.25">
      <c r="A5308" s="274"/>
      <c r="B5308" s="498"/>
      <c r="C5308" s="287"/>
      <c r="D5308" s="288"/>
      <c r="E5308" s="288"/>
    </row>
    <row r="5309" spans="1:5" x14ac:dyDescent="0.25">
      <c r="A5309" s="274"/>
      <c r="B5309" s="498"/>
      <c r="C5309" s="287"/>
      <c r="D5309" s="288"/>
      <c r="E5309" s="288"/>
    </row>
    <row r="5310" spans="1:5" x14ac:dyDescent="0.25">
      <c r="A5310" s="274"/>
      <c r="B5310" s="498"/>
      <c r="C5310" s="287"/>
      <c r="D5310" s="288"/>
      <c r="E5310" s="288"/>
    </row>
    <row r="5311" spans="1:5" x14ac:dyDescent="0.25">
      <c r="A5311" s="274"/>
      <c r="B5311" s="498"/>
      <c r="C5311" s="287"/>
      <c r="D5311" s="288"/>
      <c r="E5311" s="288"/>
    </row>
    <row r="5312" spans="1:5" x14ac:dyDescent="0.25">
      <c r="A5312" s="274"/>
      <c r="B5312" s="498"/>
      <c r="C5312" s="287"/>
      <c r="D5312" s="288"/>
      <c r="E5312" s="288"/>
    </row>
    <row r="5313" spans="1:5" x14ac:dyDescent="0.25">
      <c r="A5313" s="274"/>
      <c r="B5313" s="498"/>
      <c r="C5313" s="287"/>
      <c r="D5313" s="288"/>
      <c r="E5313" s="288"/>
    </row>
    <row r="5314" spans="1:5" x14ac:dyDescent="0.25">
      <c r="A5314" s="274"/>
      <c r="B5314" s="498"/>
      <c r="C5314" s="287"/>
      <c r="D5314" s="288"/>
      <c r="E5314" s="288"/>
    </row>
    <row r="5315" spans="1:5" x14ac:dyDescent="0.25">
      <c r="A5315" s="274"/>
      <c r="B5315" s="498"/>
      <c r="C5315" s="287"/>
      <c r="D5315" s="288"/>
      <c r="E5315" s="288"/>
    </row>
    <row r="5316" spans="1:5" x14ac:dyDescent="0.25">
      <c r="A5316" s="274"/>
      <c r="B5316" s="498"/>
      <c r="C5316" s="287"/>
      <c r="D5316" s="288"/>
      <c r="E5316" s="288"/>
    </row>
    <row r="5317" spans="1:5" x14ac:dyDescent="0.25">
      <c r="A5317" s="274"/>
      <c r="B5317" s="498"/>
      <c r="C5317" s="287"/>
      <c r="D5317" s="288"/>
      <c r="E5317" s="288"/>
    </row>
    <row r="5318" spans="1:5" x14ac:dyDescent="0.25">
      <c r="A5318" s="274"/>
      <c r="B5318" s="498"/>
      <c r="C5318" s="287"/>
      <c r="D5318" s="288"/>
      <c r="E5318" s="288"/>
    </row>
    <row r="5319" spans="1:5" x14ac:dyDescent="0.25">
      <c r="A5319" s="274"/>
      <c r="B5319" s="498"/>
      <c r="C5319" s="287"/>
      <c r="D5319" s="288"/>
      <c r="E5319" s="288"/>
    </row>
    <row r="5320" spans="1:5" x14ac:dyDescent="0.25">
      <c r="A5320" s="274"/>
      <c r="B5320" s="498"/>
      <c r="C5320" s="287"/>
      <c r="D5320" s="288"/>
      <c r="E5320" s="288"/>
    </row>
    <row r="5321" spans="1:5" x14ac:dyDescent="0.25">
      <c r="A5321" s="274"/>
      <c r="B5321" s="498"/>
      <c r="C5321" s="287"/>
      <c r="D5321" s="288"/>
      <c r="E5321" s="288"/>
    </row>
    <row r="5322" spans="1:5" x14ac:dyDescent="0.25">
      <c r="A5322" s="274"/>
      <c r="B5322" s="498"/>
      <c r="C5322" s="287"/>
      <c r="D5322" s="288"/>
      <c r="E5322" s="288"/>
    </row>
    <row r="5323" spans="1:5" x14ac:dyDescent="0.25">
      <c r="A5323" s="274"/>
      <c r="B5323" s="498"/>
      <c r="C5323" s="287"/>
      <c r="D5323" s="288"/>
      <c r="E5323" s="288"/>
    </row>
    <row r="5324" spans="1:5" x14ac:dyDescent="0.25">
      <c r="A5324" s="274"/>
      <c r="B5324" s="498"/>
      <c r="C5324" s="287"/>
      <c r="D5324" s="288"/>
      <c r="E5324" s="288"/>
    </row>
    <row r="5325" spans="1:5" x14ac:dyDescent="0.25">
      <c r="A5325" s="274"/>
      <c r="B5325" s="498"/>
      <c r="C5325" s="287"/>
      <c r="D5325" s="288"/>
      <c r="E5325" s="288"/>
    </row>
    <row r="5326" spans="1:5" x14ac:dyDescent="0.25">
      <c r="A5326" s="274"/>
      <c r="B5326" s="498"/>
      <c r="C5326" s="287"/>
      <c r="D5326" s="288"/>
      <c r="E5326" s="288"/>
    </row>
    <row r="5327" spans="1:5" x14ac:dyDescent="0.25">
      <c r="A5327" s="274"/>
      <c r="B5327" s="498"/>
      <c r="C5327" s="287"/>
      <c r="D5327" s="288"/>
      <c r="E5327" s="288"/>
    </row>
    <row r="5328" spans="1:5" x14ac:dyDescent="0.25">
      <c r="A5328" s="274"/>
      <c r="B5328" s="498"/>
      <c r="C5328" s="287"/>
      <c r="D5328" s="288"/>
      <c r="E5328" s="288"/>
    </row>
    <row r="5329" spans="1:5" x14ac:dyDescent="0.25">
      <c r="A5329" s="274"/>
      <c r="B5329" s="498"/>
      <c r="C5329" s="287"/>
      <c r="D5329" s="288"/>
      <c r="E5329" s="288"/>
    </row>
    <row r="5330" spans="1:5" x14ac:dyDescent="0.25">
      <c r="A5330" s="274"/>
      <c r="B5330" s="498"/>
      <c r="C5330" s="287"/>
      <c r="D5330" s="288"/>
      <c r="E5330" s="288"/>
    </row>
    <row r="5331" spans="1:5" x14ac:dyDescent="0.25">
      <c r="A5331" s="274"/>
      <c r="B5331" s="498"/>
      <c r="C5331" s="287"/>
      <c r="D5331" s="288"/>
      <c r="E5331" s="288"/>
    </row>
    <row r="5332" spans="1:5" x14ac:dyDescent="0.25">
      <c r="A5332" s="274"/>
      <c r="B5332" s="498"/>
      <c r="C5332" s="287"/>
      <c r="D5332" s="288"/>
      <c r="E5332" s="288"/>
    </row>
    <row r="5333" spans="1:5" x14ac:dyDescent="0.25">
      <c r="A5333" s="274"/>
      <c r="B5333" s="498"/>
      <c r="C5333" s="287"/>
      <c r="D5333" s="288"/>
      <c r="E5333" s="288"/>
    </row>
    <row r="5334" spans="1:5" x14ac:dyDescent="0.25">
      <c r="A5334" s="274"/>
      <c r="B5334" s="498"/>
      <c r="C5334" s="287"/>
      <c r="D5334" s="288"/>
      <c r="E5334" s="288"/>
    </row>
    <row r="5335" spans="1:5" x14ac:dyDescent="0.25">
      <c r="A5335" s="274"/>
      <c r="B5335" s="498"/>
      <c r="C5335" s="287"/>
      <c r="D5335" s="288"/>
      <c r="E5335" s="288"/>
    </row>
    <row r="5336" spans="1:5" x14ac:dyDescent="0.25">
      <c r="A5336" s="274"/>
      <c r="B5336" s="498"/>
      <c r="C5336" s="287"/>
      <c r="D5336" s="288"/>
      <c r="E5336" s="288"/>
    </row>
    <row r="5337" spans="1:5" x14ac:dyDescent="0.25">
      <c r="A5337" s="274"/>
      <c r="B5337" s="498"/>
      <c r="C5337" s="287"/>
      <c r="D5337" s="288"/>
      <c r="E5337" s="288"/>
    </row>
    <row r="5338" spans="1:5" x14ac:dyDescent="0.25">
      <c r="A5338" s="274"/>
      <c r="B5338" s="498"/>
      <c r="C5338" s="287"/>
      <c r="D5338" s="288"/>
      <c r="E5338" s="288"/>
    </row>
    <row r="5339" spans="1:5" x14ac:dyDescent="0.25">
      <c r="A5339" s="274"/>
      <c r="B5339" s="498"/>
      <c r="C5339" s="287"/>
      <c r="D5339" s="288"/>
      <c r="E5339" s="288"/>
    </row>
    <row r="5340" spans="1:5" x14ac:dyDescent="0.25">
      <c r="A5340" s="274"/>
      <c r="B5340" s="498"/>
      <c r="C5340" s="287"/>
      <c r="D5340" s="288"/>
      <c r="E5340" s="288"/>
    </row>
    <row r="5341" spans="1:5" x14ac:dyDescent="0.25">
      <c r="A5341" s="274"/>
      <c r="B5341" s="498"/>
      <c r="C5341" s="287"/>
      <c r="D5341" s="288"/>
      <c r="E5341" s="288"/>
    </row>
    <row r="5342" spans="1:5" x14ac:dyDescent="0.25">
      <c r="A5342" s="274"/>
      <c r="B5342" s="498"/>
      <c r="C5342" s="287"/>
      <c r="D5342" s="288"/>
      <c r="E5342" s="288"/>
    </row>
    <row r="5343" spans="1:5" x14ac:dyDescent="0.25">
      <c r="A5343" s="274"/>
      <c r="B5343" s="498"/>
      <c r="C5343" s="287"/>
      <c r="D5343" s="288"/>
      <c r="E5343" s="288"/>
    </row>
    <row r="5344" spans="1:5" x14ac:dyDescent="0.25">
      <c r="A5344" s="274"/>
      <c r="B5344" s="498"/>
      <c r="C5344" s="287"/>
      <c r="D5344" s="288"/>
      <c r="E5344" s="288"/>
    </row>
    <row r="5345" spans="1:5" x14ac:dyDescent="0.25">
      <c r="A5345" s="274"/>
      <c r="B5345" s="498"/>
      <c r="C5345" s="287"/>
      <c r="D5345" s="288"/>
      <c r="E5345" s="288"/>
    </row>
    <row r="5346" spans="1:5" x14ac:dyDescent="0.25">
      <c r="A5346" s="274"/>
      <c r="B5346" s="498"/>
      <c r="C5346" s="287"/>
      <c r="D5346" s="288"/>
      <c r="E5346" s="288"/>
    </row>
    <row r="5347" spans="1:5" x14ac:dyDescent="0.25">
      <c r="A5347" s="274"/>
      <c r="B5347" s="498"/>
      <c r="C5347" s="287"/>
      <c r="D5347" s="288"/>
      <c r="E5347" s="288"/>
    </row>
    <row r="5348" spans="1:5" x14ac:dyDescent="0.25">
      <c r="A5348" s="274"/>
      <c r="B5348" s="498"/>
      <c r="C5348" s="287"/>
      <c r="D5348" s="288"/>
      <c r="E5348" s="288"/>
    </row>
    <row r="5349" spans="1:5" x14ac:dyDescent="0.25">
      <c r="A5349" s="274"/>
      <c r="B5349" s="498"/>
      <c r="C5349" s="287"/>
      <c r="D5349" s="288"/>
      <c r="E5349" s="288"/>
    </row>
    <row r="5350" spans="1:5" x14ac:dyDescent="0.25">
      <c r="A5350" s="274"/>
      <c r="B5350" s="498"/>
      <c r="C5350" s="287"/>
      <c r="D5350" s="288"/>
      <c r="E5350" s="288"/>
    </row>
    <row r="5351" spans="1:5" x14ac:dyDescent="0.25">
      <c r="A5351" s="274"/>
      <c r="B5351" s="498"/>
      <c r="C5351" s="287"/>
      <c r="D5351" s="288"/>
      <c r="E5351" s="288"/>
    </row>
    <row r="5352" spans="1:5" x14ac:dyDescent="0.25">
      <c r="A5352" s="274"/>
      <c r="B5352" s="498"/>
      <c r="C5352" s="287"/>
      <c r="D5352" s="288"/>
      <c r="E5352" s="288"/>
    </row>
    <row r="5353" spans="1:5" x14ac:dyDescent="0.25">
      <c r="A5353" s="274"/>
      <c r="B5353" s="498"/>
      <c r="C5353" s="287"/>
      <c r="D5353" s="288"/>
      <c r="E5353" s="288"/>
    </row>
    <row r="5354" spans="1:5" x14ac:dyDescent="0.25">
      <c r="A5354" s="274"/>
      <c r="B5354" s="498"/>
      <c r="C5354" s="287"/>
      <c r="D5354" s="288"/>
      <c r="E5354" s="288"/>
    </row>
    <row r="5355" spans="1:5" x14ac:dyDescent="0.25">
      <c r="A5355" s="274"/>
      <c r="B5355" s="498"/>
      <c r="C5355" s="287"/>
      <c r="D5355" s="288"/>
      <c r="E5355" s="288"/>
    </row>
    <row r="5356" spans="1:5" x14ac:dyDescent="0.25">
      <c r="A5356" s="274"/>
      <c r="B5356" s="498"/>
      <c r="C5356" s="287"/>
      <c r="D5356" s="288"/>
      <c r="E5356" s="288"/>
    </row>
    <row r="5357" spans="1:5" x14ac:dyDescent="0.25">
      <c r="A5357" s="274"/>
      <c r="B5357" s="498"/>
      <c r="C5357" s="287"/>
      <c r="D5357" s="288"/>
      <c r="E5357" s="288"/>
    </row>
    <row r="5358" spans="1:5" x14ac:dyDescent="0.25">
      <c r="A5358" s="274"/>
      <c r="B5358" s="498"/>
      <c r="C5358" s="287"/>
      <c r="D5358" s="288"/>
      <c r="E5358" s="288"/>
    </row>
    <row r="5359" spans="1:5" x14ac:dyDescent="0.25">
      <c r="A5359" s="274"/>
      <c r="B5359" s="498"/>
      <c r="C5359" s="287"/>
      <c r="D5359" s="288"/>
      <c r="E5359" s="288"/>
    </row>
    <row r="5360" spans="1:5" x14ac:dyDescent="0.25">
      <c r="A5360" s="274"/>
      <c r="B5360" s="498"/>
      <c r="C5360" s="287"/>
      <c r="D5360" s="288"/>
      <c r="E5360" s="288"/>
    </row>
    <row r="5361" spans="1:5" x14ac:dyDescent="0.25">
      <c r="A5361" s="274"/>
      <c r="B5361" s="498"/>
      <c r="C5361" s="287"/>
      <c r="D5361" s="288"/>
      <c r="E5361" s="288"/>
    </row>
    <row r="5362" spans="1:5" x14ac:dyDescent="0.25">
      <c r="A5362" s="274"/>
      <c r="B5362" s="498"/>
      <c r="C5362" s="287"/>
      <c r="D5362" s="288"/>
      <c r="E5362" s="288"/>
    </row>
    <row r="5363" spans="1:5" x14ac:dyDescent="0.25">
      <c r="A5363" s="274"/>
      <c r="B5363" s="498"/>
      <c r="C5363" s="287"/>
      <c r="D5363" s="288"/>
      <c r="E5363" s="288"/>
    </row>
    <row r="5364" spans="1:5" x14ac:dyDescent="0.25">
      <c r="A5364" s="274"/>
      <c r="B5364" s="498"/>
      <c r="C5364" s="287"/>
      <c r="D5364" s="288"/>
      <c r="E5364" s="288"/>
    </row>
    <row r="5365" spans="1:5" x14ac:dyDescent="0.25">
      <c r="A5365" s="274"/>
      <c r="B5365" s="498"/>
      <c r="C5365" s="287"/>
      <c r="D5365" s="288"/>
      <c r="E5365" s="288"/>
    </row>
    <row r="5366" spans="1:5" x14ac:dyDescent="0.25">
      <c r="A5366" s="274"/>
      <c r="B5366" s="498"/>
      <c r="C5366" s="287"/>
      <c r="D5366" s="288"/>
      <c r="E5366" s="288"/>
    </row>
    <row r="5367" spans="1:5" x14ac:dyDescent="0.25">
      <c r="A5367" s="274"/>
      <c r="B5367" s="498"/>
      <c r="C5367" s="287"/>
      <c r="D5367" s="288"/>
      <c r="E5367" s="288"/>
    </row>
    <row r="5368" spans="1:5" x14ac:dyDescent="0.25">
      <c r="A5368" s="274"/>
      <c r="B5368" s="498"/>
      <c r="C5368" s="287"/>
      <c r="D5368" s="288"/>
      <c r="E5368" s="288"/>
    </row>
    <row r="5369" spans="1:5" x14ac:dyDescent="0.25">
      <c r="A5369" s="274"/>
      <c r="B5369" s="498"/>
      <c r="C5369" s="287"/>
      <c r="D5369" s="288"/>
      <c r="E5369" s="288"/>
    </row>
    <row r="5370" spans="1:5" x14ac:dyDescent="0.25">
      <c r="A5370" s="274"/>
      <c r="B5370" s="498"/>
      <c r="C5370" s="287"/>
      <c r="D5370" s="288"/>
      <c r="E5370" s="288"/>
    </row>
    <row r="5371" spans="1:5" x14ac:dyDescent="0.25">
      <c r="A5371" s="274"/>
      <c r="B5371" s="498"/>
      <c r="C5371" s="287"/>
      <c r="D5371" s="288"/>
      <c r="E5371" s="288"/>
    </row>
    <row r="5372" spans="1:5" x14ac:dyDescent="0.25">
      <c r="A5372" s="274"/>
      <c r="B5372" s="498"/>
      <c r="C5372" s="287"/>
      <c r="D5372" s="288"/>
      <c r="E5372" s="288"/>
    </row>
    <row r="5373" spans="1:5" x14ac:dyDescent="0.25">
      <c r="A5373" s="274"/>
      <c r="B5373" s="498"/>
      <c r="C5373" s="287"/>
      <c r="D5373" s="288"/>
      <c r="E5373" s="288"/>
    </row>
    <row r="5374" spans="1:5" x14ac:dyDescent="0.25">
      <c r="A5374" s="274"/>
      <c r="B5374" s="498"/>
      <c r="C5374" s="287"/>
      <c r="D5374" s="288"/>
      <c r="E5374" s="288"/>
    </row>
    <row r="5375" spans="1:5" x14ac:dyDescent="0.25">
      <c r="A5375" s="274"/>
      <c r="B5375" s="498"/>
      <c r="C5375" s="287"/>
      <c r="D5375" s="288"/>
      <c r="E5375" s="288"/>
    </row>
    <row r="5376" spans="1:5" x14ac:dyDescent="0.25">
      <c r="A5376" s="274"/>
      <c r="B5376" s="498"/>
      <c r="C5376" s="287"/>
      <c r="D5376" s="288"/>
      <c r="E5376" s="288"/>
    </row>
    <row r="5377" spans="1:5" x14ac:dyDescent="0.25">
      <c r="A5377" s="274"/>
      <c r="B5377" s="498"/>
      <c r="C5377" s="287"/>
      <c r="D5377" s="288"/>
      <c r="E5377" s="288"/>
    </row>
    <row r="5378" spans="1:5" x14ac:dyDescent="0.25">
      <c r="A5378" s="274"/>
      <c r="B5378" s="498"/>
      <c r="C5378" s="287"/>
      <c r="D5378" s="288"/>
      <c r="E5378" s="288"/>
    </row>
    <row r="5379" spans="1:5" x14ac:dyDescent="0.25">
      <c r="A5379" s="274"/>
      <c r="B5379" s="498"/>
      <c r="C5379" s="287"/>
      <c r="D5379" s="288"/>
      <c r="E5379" s="288"/>
    </row>
    <row r="5380" spans="1:5" x14ac:dyDescent="0.25">
      <c r="A5380" s="274"/>
      <c r="B5380" s="498"/>
      <c r="C5380" s="287"/>
      <c r="D5380" s="288"/>
      <c r="E5380" s="288"/>
    </row>
    <row r="5381" spans="1:5" x14ac:dyDescent="0.25">
      <c r="A5381" s="274"/>
      <c r="B5381" s="498"/>
      <c r="C5381" s="287"/>
      <c r="D5381" s="288"/>
      <c r="E5381" s="288"/>
    </row>
    <row r="5382" spans="1:5" x14ac:dyDescent="0.25">
      <c r="A5382" s="274"/>
      <c r="B5382" s="498"/>
      <c r="C5382" s="287"/>
      <c r="D5382" s="288"/>
      <c r="E5382" s="288"/>
    </row>
    <row r="5383" spans="1:5" x14ac:dyDescent="0.25">
      <c r="A5383" s="274"/>
      <c r="B5383" s="498"/>
      <c r="C5383" s="287"/>
      <c r="D5383" s="288"/>
      <c r="E5383" s="288"/>
    </row>
    <row r="5384" spans="1:5" x14ac:dyDescent="0.25">
      <c r="A5384" s="274"/>
      <c r="B5384" s="498"/>
      <c r="C5384" s="287"/>
      <c r="D5384" s="288"/>
      <c r="E5384" s="288"/>
    </row>
    <row r="5385" spans="1:5" x14ac:dyDescent="0.25">
      <c r="A5385" s="274"/>
      <c r="B5385" s="498"/>
      <c r="C5385" s="287"/>
      <c r="D5385" s="288"/>
      <c r="E5385" s="288"/>
    </row>
    <row r="5386" spans="1:5" x14ac:dyDescent="0.25">
      <c r="A5386" s="274"/>
      <c r="B5386" s="498"/>
      <c r="C5386" s="287"/>
      <c r="D5386" s="288"/>
      <c r="E5386" s="288"/>
    </row>
    <row r="5387" spans="1:5" x14ac:dyDescent="0.25">
      <c r="A5387" s="274"/>
      <c r="B5387" s="498"/>
      <c r="C5387" s="287"/>
      <c r="D5387" s="288"/>
      <c r="E5387" s="288"/>
    </row>
    <row r="5388" spans="1:5" x14ac:dyDescent="0.25">
      <c r="A5388" s="274"/>
      <c r="B5388" s="498"/>
      <c r="C5388" s="287"/>
      <c r="D5388" s="288"/>
      <c r="E5388" s="288"/>
    </row>
    <row r="5389" spans="1:5" x14ac:dyDescent="0.25">
      <c r="A5389" s="274"/>
      <c r="B5389" s="498"/>
      <c r="C5389" s="287"/>
      <c r="D5389" s="288"/>
      <c r="E5389" s="288"/>
    </row>
    <row r="5390" spans="1:5" x14ac:dyDescent="0.25">
      <c r="A5390" s="274"/>
      <c r="B5390" s="498"/>
      <c r="C5390" s="287"/>
      <c r="D5390" s="288"/>
      <c r="E5390" s="288"/>
    </row>
    <row r="5391" spans="1:5" x14ac:dyDescent="0.25">
      <c r="A5391" s="274"/>
      <c r="B5391" s="498"/>
      <c r="C5391" s="287"/>
      <c r="D5391" s="288"/>
      <c r="E5391" s="288"/>
    </row>
    <row r="5392" spans="1:5" x14ac:dyDescent="0.25">
      <c r="A5392" s="274"/>
      <c r="B5392" s="498"/>
      <c r="C5392" s="287"/>
      <c r="D5392" s="288"/>
      <c r="E5392" s="288"/>
    </row>
    <row r="5393" spans="1:5" x14ac:dyDescent="0.25">
      <c r="A5393" s="274"/>
      <c r="B5393" s="498"/>
      <c r="C5393" s="287"/>
      <c r="D5393" s="288"/>
      <c r="E5393" s="288"/>
    </row>
    <row r="5394" spans="1:5" x14ac:dyDescent="0.25">
      <c r="A5394" s="274"/>
      <c r="B5394" s="498"/>
      <c r="C5394" s="287"/>
      <c r="D5394" s="288"/>
      <c r="E5394" s="288"/>
    </row>
    <row r="5395" spans="1:5" x14ac:dyDescent="0.25">
      <c r="A5395" s="274"/>
      <c r="B5395" s="498"/>
      <c r="C5395" s="287"/>
      <c r="D5395" s="288"/>
      <c r="E5395" s="288"/>
    </row>
    <row r="5396" spans="1:5" x14ac:dyDescent="0.25">
      <c r="A5396" s="274"/>
      <c r="B5396" s="498"/>
      <c r="C5396" s="287"/>
      <c r="D5396" s="288"/>
      <c r="E5396" s="288"/>
    </row>
    <row r="5397" spans="1:5" x14ac:dyDescent="0.25">
      <c r="A5397" s="274"/>
      <c r="B5397" s="498"/>
      <c r="C5397" s="287"/>
      <c r="D5397" s="288"/>
      <c r="E5397" s="288"/>
    </row>
    <row r="5398" spans="1:5" x14ac:dyDescent="0.25">
      <c r="A5398" s="274"/>
      <c r="B5398" s="498"/>
      <c r="C5398" s="287"/>
      <c r="D5398" s="288"/>
      <c r="E5398" s="288"/>
    </row>
    <row r="5399" spans="1:5" x14ac:dyDescent="0.25">
      <c r="A5399" s="274"/>
      <c r="B5399" s="498"/>
      <c r="C5399" s="287"/>
      <c r="D5399" s="288"/>
      <c r="E5399" s="288"/>
    </row>
    <row r="5400" spans="1:5" x14ac:dyDescent="0.25">
      <c r="A5400" s="274"/>
      <c r="B5400" s="498"/>
      <c r="C5400" s="287"/>
      <c r="D5400" s="288"/>
      <c r="E5400" s="288"/>
    </row>
    <row r="5401" spans="1:5" x14ac:dyDescent="0.25">
      <c r="A5401" s="274"/>
      <c r="B5401" s="498"/>
      <c r="C5401" s="287"/>
      <c r="D5401" s="288"/>
      <c r="E5401" s="288"/>
    </row>
    <row r="5402" spans="1:5" x14ac:dyDescent="0.25">
      <c r="A5402" s="274"/>
      <c r="B5402" s="498"/>
      <c r="C5402" s="287"/>
      <c r="D5402" s="288"/>
      <c r="E5402" s="288"/>
    </row>
    <row r="5403" spans="1:5" x14ac:dyDescent="0.25">
      <c r="A5403" s="274"/>
      <c r="B5403" s="498"/>
      <c r="C5403" s="287"/>
      <c r="D5403" s="288"/>
      <c r="E5403" s="288"/>
    </row>
    <row r="5404" spans="1:5" x14ac:dyDescent="0.25">
      <c r="A5404" s="274"/>
      <c r="B5404" s="498"/>
      <c r="C5404" s="287"/>
      <c r="D5404" s="288"/>
      <c r="E5404" s="288"/>
    </row>
    <row r="5405" spans="1:5" x14ac:dyDescent="0.25">
      <c r="A5405" s="274"/>
      <c r="B5405" s="498"/>
      <c r="C5405" s="287"/>
      <c r="D5405" s="288"/>
      <c r="E5405" s="288"/>
    </row>
    <row r="5406" spans="1:5" x14ac:dyDescent="0.25">
      <c r="A5406" s="274"/>
      <c r="B5406" s="498"/>
      <c r="C5406" s="287"/>
      <c r="D5406" s="288"/>
      <c r="E5406" s="288"/>
    </row>
    <row r="5407" spans="1:5" x14ac:dyDescent="0.25">
      <c r="A5407" s="274"/>
      <c r="B5407" s="498"/>
      <c r="C5407" s="287"/>
      <c r="D5407" s="288"/>
      <c r="E5407" s="288"/>
    </row>
    <row r="5408" spans="1:5" x14ac:dyDescent="0.25">
      <c r="A5408" s="274"/>
      <c r="B5408" s="498"/>
      <c r="C5408" s="287"/>
      <c r="D5408" s="288"/>
      <c r="E5408" s="288"/>
    </row>
    <row r="5409" spans="1:5" x14ac:dyDescent="0.25">
      <c r="A5409" s="274"/>
      <c r="B5409" s="498"/>
      <c r="C5409" s="287"/>
      <c r="D5409" s="288"/>
      <c r="E5409" s="288"/>
    </row>
    <row r="5410" spans="1:5" x14ac:dyDescent="0.25">
      <c r="A5410" s="274"/>
      <c r="B5410" s="498"/>
      <c r="C5410" s="287"/>
      <c r="D5410" s="288"/>
      <c r="E5410" s="288"/>
    </row>
    <row r="5411" spans="1:5" x14ac:dyDescent="0.25">
      <c r="A5411" s="274"/>
      <c r="B5411" s="498"/>
      <c r="C5411" s="287"/>
      <c r="D5411" s="288"/>
      <c r="E5411" s="288"/>
    </row>
    <row r="5412" spans="1:5" x14ac:dyDescent="0.25">
      <c r="A5412" s="274"/>
      <c r="B5412" s="498"/>
      <c r="C5412" s="287"/>
      <c r="D5412" s="288"/>
      <c r="E5412" s="288"/>
    </row>
    <row r="5413" spans="1:5" x14ac:dyDescent="0.25">
      <c r="A5413" s="274"/>
      <c r="B5413" s="498"/>
      <c r="C5413" s="287"/>
      <c r="D5413" s="288"/>
      <c r="E5413" s="288"/>
    </row>
    <row r="5414" spans="1:5" x14ac:dyDescent="0.25">
      <c r="A5414" s="274"/>
      <c r="B5414" s="498"/>
      <c r="C5414" s="287"/>
      <c r="D5414" s="288"/>
      <c r="E5414" s="288"/>
    </row>
    <row r="5415" spans="1:5" x14ac:dyDescent="0.25">
      <c r="A5415" s="274"/>
      <c r="B5415" s="498"/>
      <c r="C5415" s="287"/>
      <c r="D5415" s="288"/>
      <c r="E5415" s="288"/>
    </row>
    <row r="5416" spans="1:5" x14ac:dyDescent="0.25">
      <c r="A5416" s="274"/>
      <c r="B5416" s="498"/>
      <c r="C5416" s="287"/>
      <c r="D5416" s="288"/>
      <c r="E5416" s="288"/>
    </row>
    <row r="5417" spans="1:5" x14ac:dyDescent="0.25">
      <c r="A5417" s="274"/>
      <c r="B5417" s="498"/>
      <c r="C5417" s="287"/>
      <c r="D5417" s="288"/>
      <c r="E5417" s="288"/>
    </row>
    <row r="5418" spans="1:5" x14ac:dyDescent="0.25">
      <c r="A5418" s="274"/>
      <c r="B5418" s="498"/>
      <c r="C5418" s="287"/>
      <c r="D5418" s="288"/>
      <c r="E5418" s="288"/>
    </row>
    <row r="5419" spans="1:5" x14ac:dyDescent="0.25">
      <c r="A5419" s="274"/>
      <c r="B5419" s="498"/>
      <c r="C5419" s="287"/>
      <c r="D5419" s="288"/>
      <c r="E5419" s="288"/>
    </row>
    <row r="5420" spans="1:5" x14ac:dyDescent="0.25">
      <c r="A5420" s="274"/>
      <c r="B5420" s="498"/>
      <c r="C5420" s="287"/>
      <c r="D5420" s="288"/>
      <c r="E5420" s="288"/>
    </row>
    <row r="5421" spans="1:5" x14ac:dyDescent="0.25">
      <c r="A5421" s="274"/>
      <c r="B5421" s="498"/>
      <c r="C5421" s="287"/>
      <c r="D5421" s="288"/>
      <c r="E5421" s="288"/>
    </row>
    <row r="5422" spans="1:5" x14ac:dyDescent="0.25">
      <c r="A5422" s="274"/>
      <c r="B5422" s="498"/>
      <c r="C5422" s="287"/>
      <c r="D5422" s="288"/>
      <c r="E5422" s="288"/>
    </row>
    <row r="5423" spans="1:5" x14ac:dyDescent="0.25">
      <c r="A5423" s="274"/>
      <c r="B5423" s="498"/>
      <c r="C5423" s="287"/>
      <c r="D5423" s="288"/>
      <c r="E5423" s="288"/>
    </row>
    <row r="5424" spans="1:5" x14ac:dyDescent="0.25">
      <c r="A5424" s="274"/>
      <c r="B5424" s="498"/>
      <c r="C5424" s="287"/>
      <c r="D5424" s="288"/>
      <c r="E5424" s="288"/>
    </row>
    <row r="5425" spans="1:5" x14ac:dyDescent="0.25">
      <c r="A5425" s="274"/>
      <c r="B5425" s="498"/>
      <c r="C5425" s="287"/>
      <c r="D5425" s="288"/>
      <c r="E5425" s="288"/>
    </row>
    <row r="5426" spans="1:5" x14ac:dyDescent="0.25">
      <c r="A5426" s="274"/>
      <c r="B5426" s="498"/>
      <c r="C5426" s="287"/>
      <c r="D5426" s="288"/>
      <c r="E5426" s="288"/>
    </row>
    <row r="5427" spans="1:5" x14ac:dyDescent="0.25">
      <c r="A5427" s="274"/>
      <c r="B5427" s="498"/>
      <c r="C5427" s="287"/>
      <c r="D5427" s="288"/>
      <c r="E5427" s="288"/>
    </row>
    <row r="5428" spans="1:5" x14ac:dyDescent="0.25">
      <c r="A5428" s="274"/>
      <c r="B5428" s="498"/>
      <c r="C5428" s="287"/>
      <c r="D5428" s="288"/>
      <c r="E5428" s="288"/>
    </row>
    <row r="5429" spans="1:5" x14ac:dyDescent="0.25">
      <c r="A5429" s="274"/>
      <c r="B5429" s="498"/>
      <c r="C5429" s="287"/>
      <c r="D5429" s="288"/>
      <c r="E5429" s="288"/>
    </row>
    <row r="5430" spans="1:5" x14ac:dyDescent="0.25">
      <c r="A5430" s="274"/>
      <c r="B5430" s="498"/>
      <c r="C5430" s="287"/>
      <c r="D5430" s="288"/>
      <c r="E5430" s="288"/>
    </row>
    <row r="5431" spans="1:5" x14ac:dyDescent="0.25">
      <c r="A5431" s="274"/>
      <c r="B5431" s="498"/>
      <c r="C5431" s="287"/>
      <c r="D5431" s="288"/>
      <c r="E5431" s="288"/>
    </row>
    <row r="5432" spans="1:5" x14ac:dyDescent="0.25">
      <c r="A5432" s="274"/>
      <c r="B5432" s="498"/>
      <c r="C5432" s="287"/>
      <c r="D5432" s="288"/>
      <c r="E5432" s="288"/>
    </row>
    <row r="5433" spans="1:5" x14ac:dyDescent="0.25">
      <c r="A5433" s="274"/>
      <c r="B5433" s="498"/>
      <c r="C5433" s="287"/>
      <c r="D5433" s="288"/>
      <c r="E5433" s="288"/>
    </row>
    <row r="5434" spans="1:5" x14ac:dyDescent="0.25">
      <c r="A5434" s="274"/>
      <c r="B5434" s="498"/>
      <c r="C5434" s="287"/>
      <c r="D5434" s="288"/>
      <c r="E5434" s="288"/>
    </row>
    <row r="5435" spans="1:5" x14ac:dyDescent="0.25">
      <c r="A5435" s="274"/>
      <c r="B5435" s="498"/>
      <c r="C5435" s="287"/>
      <c r="D5435" s="288"/>
      <c r="E5435" s="288"/>
    </row>
    <row r="5436" spans="1:5" x14ac:dyDescent="0.25">
      <c r="A5436" s="274"/>
      <c r="B5436" s="498"/>
      <c r="C5436" s="287"/>
      <c r="D5436" s="288"/>
      <c r="E5436" s="288"/>
    </row>
    <row r="5437" spans="1:5" x14ac:dyDescent="0.25">
      <c r="A5437" s="274"/>
      <c r="B5437" s="498"/>
      <c r="C5437" s="287"/>
      <c r="D5437" s="288"/>
      <c r="E5437" s="288"/>
    </row>
    <row r="5438" spans="1:5" x14ac:dyDescent="0.25">
      <c r="A5438" s="274"/>
      <c r="B5438" s="498"/>
      <c r="C5438" s="287"/>
      <c r="D5438" s="288"/>
      <c r="E5438" s="288"/>
    </row>
    <row r="5439" spans="1:5" x14ac:dyDescent="0.25">
      <c r="A5439" s="274"/>
      <c r="B5439" s="498"/>
      <c r="C5439" s="287"/>
      <c r="D5439" s="288"/>
      <c r="E5439" s="288"/>
    </row>
    <row r="5440" spans="1:5" x14ac:dyDescent="0.25">
      <c r="A5440" s="274"/>
      <c r="B5440" s="498"/>
      <c r="C5440" s="287"/>
      <c r="D5440" s="288"/>
      <c r="E5440" s="288"/>
    </row>
    <row r="5441" spans="1:5" x14ac:dyDescent="0.25">
      <c r="A5441" s="274"/>
      <c r="B5441" s="498"/>
      <c r="C5441" s="287"/>
      <c r="D5441" s="288"/>
      <c r="E5441" s="288"/>
    </row>
    <row r="5442" spans="1:5" x14ac:dyDescent="0.25">
      <c r="A5442" s="274"/>
      <c r="B5442" s="498"/>
      <c r="C5442" s="287"/>
      <c r="D5442" s="288"/>
      <c r="E5442" s="288"/>
    </row>
    <row r="5443" spans="1:5" x14ac:dyDescent="0.25">
      <c r="A5443" s="274"/>
      <c r="B5443" s="498"/>
      <c r="C5443" s="287"/>
      <c r="D5443" s="288"/>
      <c r="E5443" s="288"/>
    </row>
    <row r="5444" spans="1:5" x14ac:dyDescent="0.25">
      <c r="A5444" s="274"/>
      <c r="B5444" s="498"/>
      <c r="C5444" s="287"/>
      <c r="D5444" s="288"/>
      <c r="E5444" s="288"/>
    </row>
    <row r="5445" spans="1:5" x14ac:dyDescent="0.25">
      <c r="A5445" s="274"/>
      <c r="B5445" s="498"/>
      <c r="C5445" s="287"/>
      <c r="D5445" s="288"/>
      <c r="E5445" s="288"/>
    </row>
    <row r="5446" spans="1:5" x14ac:dyDescent="0.25">
      <c r="A5446" s="274"/>
      <c r="B5446" s="498"/>
      <c r="C5446" s="287"/>
      <c r="D5446" s="288"/>
      <c r="E5446" s="288"/>
    </row>
    <row r="5447" spans="1:5" x14ac:dyDescent="0.25">
      <c r="A5447" s="274"/>
      <c r="B5447" s="498"/>
      <c r="C5447" s="287"/>
      <c r="D5447" s="288"/>
      <c r="E5447" s="288"/>
    </row>
    <row r="5448" spans="1:5" x14ac:dyDescent="0.25">
      <c r="A5448" s="274"/>
      <c r="B5448" s="498"/>
      <c r="C5448" s="287"/>
      <c r="D5448" s="288"/>
      <c r="E5448" s="288"/>
    </row>
    <row r="5449" spans="1:5" x14ac:dyDescent="0.25">
      <c r="A5449" s="274"/>
      <c r="B5449" s="498"/>
      <c r="C5449" s="287"/>
      <c r="D5449" s="288"/>
      <c r="E5449" s="288"/>
    </row>
    <row r="5450" spans="1:5" x14ac:dyDescent="0.25">
      <c r="A5450" s="274"/>
      <c r="B5450" s="498"/>
      <c r="C5450" s="287"/>
      <c r="D5450" s="288"/>
      <c r="E5450" s="288"/>
    </row>
    <row r="5451" spans="1:5" x14ac:dyDescent="0.25">
      <c r="A5451" s="274"/>
      <c r="B5451" s="498"/>
      <c r="C5451" s="287"/>
      <c r="D5451" s="288"/>
      <c r="E5451" s="288"/>
    </row>
    <row r="5452" spans="1:5" x14ac:dyDescent="0.25">
      <c r="A5452" s="274"/>
      <c r="B5452" s="498"/>
      <c r="C5452" s="287"/>
      <c r="D5452" s="288"/>
      <c r="E5452" s="288"/>
    </row>
    <row r="5453" spans="1:5" x14ac:dyDescent="0.25">
      <c r="A5453" s="274"/>
      <c r="B5453" s="498"/>
      <c r="C5453" s="287"/>
      <c r="D5453" s="288"/>
      <c r="E5453" s="288"/>
    </row>
    <row r="5454" spans="1:5" x14ac:dyDescent="0.25">
      <c r="A5454" s="274"/>
      <c r="B5454" s="498"/>
      <c r="C5454" s="287"/>
      <c r="D5454" s="288"/>
      <c r="E5454" s="288"/>
    </row>
    <row r="5455" spans="1:5" x14ac:dyDescent="0.25">
      <c r="A5455" s="274"/>
      <c r="B5455" s="498"/>
      <c r="C5455" s="287"/>
      <c r="D5455" s="288"/>
      <c r="E5455" s="288"/>
    </row>
    <row r="5456" spans="1:5" x14ac:dyDescent="0.25">
      <c r="A5456" s="274"/>
      <c r="B5456" s="498"/>
      <c r="C5456" s="287"/>
      <c r="D5456" s="288"/>
      <c r="E5456" s="288"/>
    </row>
    <row r="5457" spans="1:5" x14ac:dyDescent="0.25">
      <c r="A5457" s="274"/>
      <c r="B5457" s="498"/>
      <c r="C5457" s="287"/>
      <c r="D5457" s="288"/>
      <c r="E5457" s="288"/>
    </row>
    <row r="5458" spans="1:5" x14ac:dyDescent="0.25">
      <c r="A5458" s="274"/>
      <c r="B5458" s="498"/>
      <c r="C5458" s="287"/>
      <c r="D5458" s="288"/>
      <c r="E5458" s="288"/>
    </row>
    <row r="5459" spans="1:5" x14ac:dyDescent="0.25">
      <c r="A5459" s="274"/>
      <c r="B5459" s="498"/>
      <c r="C5459" s="287"/>
      <c r="D5459" s="288"/>
      <c r="E5459" s="288"/>
    </row>
    <row r="5460" spans="1:5" x14ac:dyDescent="0.25">
      <c r="A5460" s="274"/>
      <c r="B5460" s="498"/>
      <c r="C5460" s="287"/>
      <c r="D5460" s="288"/>
      <c r="E5460" s="288"/>
    </row>
    <row r="5461" spans="1:5" x14ac:dyDescent="0.25">
      <c r="A5461" s="274"/>
      <c r="B5461" s="498"/>
      <c r="C5461" s="287"/>
      <c r="D5461" s="288"/>
      <c r="E5461" s="288"/>
    </row>
    <row r="5462" spans="1:5" x14ac:dyDescent="0.25">
      <c r="A5462" s="274"/>
      <c r="B5462" s="498"/>
      <c r="C5462" s="287"/>
      <c r="D5462" s="288"/>
      <c r="E5462" s="288"/>
    </row>
    <row r="5463" spans="1:5" x14ac:dyDescent="0.25">
      <c r="A5463" s="274"/>
      <c r="B5463" s="498"/>
      <c r="C5463" s="287"/>
      <c r="D5463" s="288"/>
      <c r="E5463" s="288"/>
    </row>
    <row r="5464" spans="1:5" x14ac:dyDescent="0.25">
      <c r="A5464" s="274"/>
      <c r="B5464" s="498"/>
      <c r="C5464" s="287"/>
      <c r="D5464" s="288"/>
      <c r="E5464" s="288"/>
    </row>
    <row r="5465" spans="1:5" x14ac:dyDescent="0.25">
      <c r="A5465" s="274"/>
      <c r="B5465" s="498"/>
      <c r="C5465" s="287"/>
      <c r="D5465" s="288"/>
      <c r="E5465" s="288"/>
    </row>
    <row r="5466" spans="1:5" x14ac:dyDescent="0.25">
      <c r="A5466" s="274"/>
      <c r="B5466" s="498"/>
      <c r="C5466" s="287"/>
      <c r="D5466" s="288"/>
      <c r="E5466" s="288"/>
    </row>
    <row r="5467" spans="1:5" x14ac:dyDescent="0.25">
      <c r="A5467" s="274"/>
      <c r="B5467" s="498"/>
      <c r="C5467" s="287"/>
      <c r="D5467" s="288"/>
      <c r="E5467" s="288"/>
    </row>
    <row r="5468" spans="1:5" x14ac:dyDescent="0.25">
      <c r="A5468" s="274"/>
      <c r="B5468" s="498"/>
      <c r="C5468" s="287"/>
      <c r="D5468" s="288"/>
      <c r="E5468" s="288"/>
    </row>
    <row r="5469" spans="1:5" x14ac:dyDescent="0.25">
      <c r="A5469" s="274"/>
      <c r="B5469" s="498"/>
      <c r="C5469" s="287"/>
      <c r="D5469" s="288"/>
      <c r="E5469" s="288"/>
    </row>
    <row r="5470" spans="1:5" x14ac:dyDescent="0.25">
      <c r="A5470" s="274"/>
      <c r="B5470" s="498"/>
      <c r="C5470" s="287"/>
      <c r="D5470" s="288"/>
      <c r="E5470" s="288"/>
    </row>
    <row r="5471" spans="1:5" x14ac:dyDescent="0.25">
      <c r="A5471" s="274"/>
      <c r="B5471" s="498"/>
      <c r="C5471" s="287"/>
      <c r="D5471" s="288"/>
      <c r="E5471" s="288"/>
    </row>
    <row r="5472" spans="1:5" x14ac:dyDescent="0.25">
      <c r="A5472" s="274"/>
      <c r="B5472" s="498"/>
      <c r="C5472" s="287"/>
      <c r="D5472" s="288"/>
      <c r="E5472" s="288"/>
    </row>
    <row r="5473" spans="1:5" x14ac:dyDescent="0.25">
      <c r="A5473" s="274"/>
      <c r="B5473" s="498"/>
      <c r="C5473" s="287"/>
      <c r="D5473" s="288"/>
      <c r="E5473" s="288"/>
    </row>
    <row r="5474" spans="1:5" x14ac:dyDescent="0.25">
      <c r="A5474" s="274"/>
      <c r="B5474" s="498"/>
      <c r="C5474" s="287"/>
      <c r="D5474" s="288"/>
      <c r="E5474" s="288"/>
    </row>
    <row r="5475" spans="1:5" x14ac:dyDescent="0.25">
      <c r="A5475" s="274"/>
      <c r="B5475" s="498"/>
      <c r="C5475" s="287"/>
      <c r="D5475" s="288"/>
      <c r="E5475" s="288"/>
    </row>
    <row r="5476" spans="1:5" x14ac:dyDescent="0.25">
      <c r="A5476" s="274"/>
      <c r="B5476" s="498"/>
      <c r="C5476" s="287"/>
      <c r="D5476" s="288"/>
      <c r="E5476" s="288"/>
    </row>
    <row r="5477" spans="1:5" x14ac:dyDescent="0.25">
      <c r="A5477" s="274"/>
      <c r="B5477" s="498"/>
      <c r="C5477" s="287"/>
      <c r="D5477" s="288"/>
      <c r="E5477" s="288"/>
    </row>
    <row r="5478" spans="1:5" x14ac:dyDescent="0.25">
      <c r="A5478" s="274"/>
      <c r="B5478" s="498"/>
      <c r="C5478" s="287"/>
      <c r="D5478" s="288"/>
      <c r="E5478" s="288"/>
    </row>
    <row r="5479" spans="1:5" x14ac:dyDescent="0.25">
      <c r="A5479" s="274"/>
      <c r="B5479" s="498"/>
      <c r="C5479" s="287"/>
      <c r="D5479" s="288"/>
      <c r="E5479" s="288"/>
    </row>
    <row r="5480" spans="1:5" x14ac:dyDescent="0.25">
      <c r="A5480" s="274"/>
      <c r="B5480" s="498"/>
      <c r="C5480" s="287"/>
      <c r="D5480" s="288"/>
      <c r="E5480" s="288"/>
    </row>
    <row r="5481" spans="1:5" x14ac:dyDescent="0.25">
      <c r="A5481" s="274"/>
      <c r="B5481" s="498"/>
      <c r="C5481" s="287"/>
      <c r="D5481" s="288"/>
      <c r="E5481" s="288"/>
    </row>
    <row r="5482" spans="1:5" x14ac:dyDescent="0.25">
      <c r="A5482" s="274"/>
      <c r="B5482" s="498"/>
      <c r="C5482" s="287"/>
      <c r="D5482" s="288"/>
      <c r="E5482" s="288"/>
    </row>
    <row r="5483" spans="1:5" x14ac:dyDescent="0.25">
      <c r="A5483" s="274"/>
      <c r="B5483" s="498"/>
      <c r="C5483" s="287"/>
      <c r="D5483" s="288"/>
      <c r="E5483" s="288"/>
    </row>
    <row r="5484" spans="1:5" x14ac:dyDescent="0.25">
      <c r="A5484" s="274"/>
      <c r="B5484" s="498"/>
      <c r="C5484" s="287"/>
      <c r="D5484" s="288"/>
      <c r="E5484" s="288"/>
    </row>
    <row r="5485" spans="1:5" x14ac:dyDescent="0.25">
      <c r="A5485" s="274"/>
      <c r="B5485" s="498"/>
      <c r="C5485" s="287"/>
      <c r="D5485" s="288"/>
      <c r="E5485" s="288"/>
    </row>
    <row r="5486" spans="1:5" x14ac:dyDescent="0.25">
      <c r="A5486" s="274"/>
      <c r="B5486" s="498"/>
      <c r="C5486" s="287"/>
      <c r="D5486" s="288"/>
      <c r="E5486" s="288"/>
    </row>
    <row r="5487" spans="1:5" x14ac:dyDescent="0.25">
      <c r="A5487" s="274"/>
      <c r="B5487" s="498"/>
      <c r="C5487" s="287"/>
      <c r="D5487" s="288"/>
      <c r="E5487" s="288"/>
    </row>
    <row r="5488" spans="1:5" x14ac:dyDescent="0.25">
      <c r="A5488" s="274"/>
      <c r="B5488" s="498"/>
      <c r="C5488" s="287"/>
      <c r="D5488" s="288"/>
      <c r="E5488" s="288"/>
    </row>
    <row r="5489" spans="1:5" x14ac:dyDescent="0.25">
      <c r="A5489" s="274"/>
      <c r="B5489" s="498"/>
      <c r="C5489" s="287"/>
      <c r="D5489" s="288"/>
      <c r="E5489" s="288"/>
    </row>
    <row r="5490" spans="1:5" x14ac:dyDescent="0.25">
      <c r="A5490" s="274"/>
      <c r="B5490" s="498"/>
      <c r="C5490" s="287"/>
      <c r="D5490" s="288"/>
      <c r="E5490" s="288"/>
    </row>
    <row r="5491" spans="1:5" x14ac:dyDescent="0.25">
      <c r="A5491" s="274"/>
      <c r="B5491" s="498"/>
      <c r="C5491" s="287"/>
      <c r="D5491" s="288"/>
      <c r="E5491" s="288"/>
    </row>
    <row r="5492" spans="1:5" x14ac:dyDescent="0.25">
      <c r="A5492" s="274"/>
      <c r="B5492" s="498"/>
      <c r="C5492" s="287"/>
      <c r="D5492" s="288"/>
      <c r="E5492" s="288"/>
    </row>
    <row r="5493" spans="1:5" x14ac:dyDescent="0.25">
      <c r="A5493" s="274"/>
      <c r="B5493" s="498"/>
      <c r="C5493" s="287"/>
      <c r="D5493" s="288"/>
      <c r="E5493" s="288"/>
    </row>
    <row r="5494" spans="1:5" x14ac:dyDescent="0.25">
      <c r="A5494" s="274"/>
      <c r="B5494" s="498"/>
      <c r="C5494" s="287"/>
      <c r="D5494" s="288"/>
      <c r="E5494" s="288"/>
    </row>
    <row r="5495" spans="1:5" x14ac:dyDescent="0.25">
      <c r="A5495" s="274"/>
      <c r="B5495" s="498"/>
      <c r="C5495" s="287"/>
      <c r="D5495" s="288"/>
      <c r="E5495" s="288"/>
    </row>
    <row r="5496" spans="1:5" x14ac:dyDescent="0.25">
      <c r="A5496" s="274"/>
      <c r="B5496" s="498"/>
      <c r="C5496" s="287"/>
      <c r="D5496" s="288"/>
      <c r="E5496" s="288"/>
    </row>
    <row r="5497" spans="1:5" x14ac:dyDescent="0.25">
      <c r="A5497" s="274"/>
      <c r="B5497" s="498"/>
      <c r="C5497" s="287"/>
      <c r="D5497" s="288"/>
      <c r="E5497" s="288"/>
    </row>
    <row r="5498" spans="1:5" x14ac:dyDescent="0.25">
      <c r="A5498" s="274"/>
      <c r="B5498" s="498"/>
      <c r="C5498" s="287"/>
      <c r="D5498" s="288"/>
      <c r="E5498" s="288"/>
    </row>
    <row r="5499" spans="1:5" x14ac:dyDescent="0.25">
      <c r="A5499" s="274"/>
      <c r="B5499" s="498"/>
      <c r="C5499" s="287"/>
      <c r="D5499" s="288"/>
      <c r="E5499" s="288"/>
    </row>
    <row r="5500" spans="1:5" x14ac:dyDescent="0.25">
      <c r="A5500" s="274"/>
      <c r="B5500" s="498"/>
      <c r="C5500" s="287"/>
      <c r="D5500" s="288"/>
      <c r="E5500" s="288"/>
    </row>
    <row r="5501" spans="1:5" x14ac:dyDescent="0.25">
      <c r="A5501" s="274"/>
      <c r="B5501" s="498"/>
      <c r="C5501" s="287"/>
      <c r="D5501" s="288"/>
      <c r="E5501" s="288"/>
    </row>
    <row r="5502" spans="1:5" x14ac:dyDescent="0.25">
      <c r="A5502" s="274"/>
      <c r="B5502" s="498"/>
      <c r="C5502" s="287"/>
      <c r="D5502" s="288"/>
      <c r="E5502" s="288"/>
    </row>
    <row r="5503" spans="1:5" x14ac:dyDescent="0.25">
      <c r="A5503" s="274"/>
      <c r="B5503" s="498"/>
      <c r="C5503" s="287"/>
      <c r="D5503" s="288"/>
      <c r="E5503" s="288"/>
    </row>
    <row r="5504" spans="1:5" x14ac:dyDescent="0.25">
      <c r="A5504" s="274"/>
      <c r="B5504" s="498"/>
      <c r="C5504" s="287"/>
      <c r="D5504" s="288"/>
      <c r="E5504" s="288"/>
    </row>
    <row r="5505" spans="1:5" x14ac:dyDescent="0.25">
      <c r="A5505" s="274"/>
      <c r="B5505" s="498"/>
      <c r="C5505" s="287"/>
      <c r="D5505" s="288"/>
      <c r="E5505" s="288"/>
    </row>
    <row r="5506" spans="1:5" x14ac:dyDescent="0.25">
      <c r="A5506" s="274"/>
      <c r="B5506" s="498"/>
      <c r="C5506" s="287"/>
      <c r="D5506" s="288"/>
      <c r="E5506" s="288"/>
    </row>
    <row r="5507" spans="1:5" x14ac:dyDescent="0.25">
      <c r="A5507" s="274"/>
      <c r="B5507" s="498"/>
      <c r="C5507" s="287"/>
      <c r="D5507" s="288"/>
      <c r="E5507" s="288"/>
    </row>
    <row r="5508" spans="1:5" x14ac:dyDescent="0.25">
      <c r="A5508" s="274"/>
      <c r="B5508" s="498"/>
      <c r="C5508" s="287"/>
      <c r="D5508" s="288"/>
      <c r="E5508" s="288"/>
    </row>
    <row r="5509" spans="1:5" x14ac:dyDescent="0.25">
      <c r="A5509" s="274"/>
      <c r="B5509" s="498"/>
      <c r="C5509" s="287"/>
      <c r="D5509" s="288"/>
      <c r="E5509" s="288"/>
    </row>
    <row r="5510" spans="1:5" x14ac:dyDescent="0.25">
      <c r="A5510" s="274"/>
      <c r="B5510" s="498"/>
      <c r="C5510" s="287"/>
      <c r="D5510" s="288"/>
      <c r="E5510" s="288"/>
    </row>
    <row r="5511" spans="1:5" x14ac:dyDescent="0.25">
      <c r="A5511" s="274"/>
      <c r="B5511" s="498"/>
      <c r="C5511" s="287"/>
      <c r="D5511" s="288"/>
      <c r="E5511" s="288"/>
    </row>
    <row r="5512" spans="1:5" x14ac:dyDescent="0.25">
      <c r="A5512" s="274"/>
      <c r="B5512" s="498"/>
      <c r="C5512" s="287"/>
      <c r="D5512" s="288"/>
      <c r="E5512" s="288"/>
    </row>
    <row r="5513" spans="1:5" x14ac:dyDescent="0.25">
      <c r="A5513" s="274"/>
      <c r="B5513" s="498"/>
      <c r="C5513" s="287"/>
      <c r="D5513" s="288"/>
      <c r="E5513" s="288"/>
    </row>
    <row r="5514" spans="1:5" x14ac:dyDescent="0.25">
      <c r="A5514" s="274"/>
      <c r="B5514" s="498"/>
      <c r="C5514" s="287"/>
      <c r="D5514" s="288"/>
      <c r="E5514" s="288"/>
    </row>
    <row r="5515" spans="1:5" x14ac:dyDescent="0.25">
      <c r="A5515" s="274"/>
      <c r="B5515" s="498"/>
      <c r="C5515" s="287"/>
      <c r="D5515" s="288"/>
      <c r="E5515" s="288"/>
    </row>
    <row r="5516" spans="1:5" x14ac:dyDescent="0.25">
      <c r="A5516" s="274"/>
      <c r="B5516" s="498"/>
      <c r="C5516" s="287"/>
      <c r="D5516" s="288"/>
      <c r="E5516" s="288"/>
    </row>
    <row r="5517" spans="1:5" x14ac:dyDescent="0.25">
      <c r="A5517" s="274"/>
      <c r="B5517" s="498"/>
      <c r="C5517" s="287"/>
      <c r="D5517" s="288"/>
      <c r="E5517" s="288"/>
    </row>
    <row r="5518" spans="1:5" x14ac:dyDescent="0.25">
      <c r="A5518" s="274"/>
      <c r="B5518" s="498"/>
      <c r="C5518" s="287"/>
      <c r="D5518" s="288"/>
      <c r="E5518" s="288"/>
    </row>
    <row r="5519" spans="1:5" x14ac:dyDescent="0.25">
      <c r="A5519" s="274"/>
      <c r="B5519" s="498"/>
      <c r="C5519" s="287"/>
      <c r="D5519" s="288"/>
      <c r="E5519" s="288"/>
    </row>
    <row r="5520" spans="1:5" x14ac:dyDescent="0.25">
      <c r="A5520" s="274"/>
      <c r="B5520" s="498"/>
      <c r="C5520" s="287"/>
      <c r="D5520" s="288"/>
      <c r="E5520" s="288"/>
    </row>
    <row r="5521" spans="1:5" x14ac:dyDescent="0.25">
      <c r="A5521" s="274"/>
      <c r="B5521" s="498"/>
      <c r="C5521" s="287"/>
      <c r="D5521" s="288"/>
      <c r="E5521" s="288"/>
    </row>
    <row r="5522" spans="1:5" x14ac:dyDescent="0.25">
      <c r="A5522" s="274"/>
      <c r="B5522" s="498"/>
      <c r="C5522" s="287"/>
      <c r="D5522" s="288"/>
      <c r="E5522" s="288"/>
    </row>
    <row r="5523" spans="1:5" x14ac:dyDescent="0.25">
      <c r="A5523" s="274"/>
      <c r="B5523" s="498"/>
      <c r="C5523" s="287"/>
      <c r="D5523" s="288"/>
      <c r="E5523" s="288"/>
    </row>
    <row r="5524" spans="1:5" x14ac:dyDescent="0.25">
      <c r="A5524" s="274"/>
      <c r="B5524" s="498"/>
      <c r="C5524" s="287"/>
      <c r="D5524" s="288"/>
      <c r="E5524" s="288"/>
    </row>
    <row r="5525" spans="1:5" x14ac:dyDescent="0.25">
      <c r="A5525" s="274"/>
      <c r="B5525" s="498"/>
      <c r="C5525" s="287"/>
      <c r="D5525" s="288"/>
      <c r="E5525" s="288"/>
    </row>
    <row r="5526" spans="1:5" x14ac:dyDescent="0.25">
      <c r="A5526" s="274"/>
      <c r="B5526" s="498"/>
      <c r="C5526" s="287"/>
      <c r="D5526" s="288"/>
      <c r="E5526" s="288"/>
    </row>
    <row r="5527" spans="1:5" x14ac:dyDescent="0.25">
      <c r="A5527" s="274"/>
      <c r="B5527" s="498"/>
      <c r="C5527" s="287"/>
      <c r="D5527" s="288"/>
      <c r="E5527" s="288"/>
    </row>
    <row r="5528" spans="1:5" x14ac:dyDescent="0.25">
      <c r="A5528" s="274"/>
      <c r="B5528" s="498"/>
      <c r="C5528" s="287"/>
      <c r="D5528" s="288"/>
      <c r="E5528" s="288"/>
    </row>
    <row r="5529" spans="1:5" x14ac:dyDescent="0.25">
      <c r="A5529" s="274"/>
      <c r="B5529" s="498"/>
      <c r="C5529" s="287"/>
      <c r="D5529" s="288"/>
      <c r="E5529" s="288"/>
    </row>
    <row r="5530" spans="1:5" x14ac:dyDescent="0.25">
      <c r="A5530" s="274"/>
      <c r="B5530" s="498"/>
      <c r="C5530" s="287"/>
      <c r="D5530" s="288"/>
      <c r="E5530" s="288"/>
    </row>
    <row r="5531" spans="1:5" x14ac:dyDescent="0.25">
      <c r="A5531" s="274"/>
      <c r="B5531" s="498"/>
      <c r="C5531" s="287"/>
      <c r="D5531" s="288"/>
      <c r="E5531" s="288"/>
    </row>
    <row r="5532" spans="1:5" x14ac:dyDescent="0.25">
      <c r="A5532" s="274"/>
      <c r="B5532" s="498"/>
      <c r="C5532" s="287"/>
      <c r="D5532" s="288"/>
      <c r="E5532" s="288"/>
    </row>
    <row r="5533" spans="1:5" x14ac:dyDescent="0.25">
      <c r="A5533" s="274"/>
      <c r="B5533" s="498"/>
      <c r="C5533" s="287"/>
      <c r="D5533" s="288"/>
      <c r="E5533" s="288"/>
    </row>
    <row r="5534" spans="1:5" x14ac:dyDescent="0.25">
      <c r="A5534" s="274"/>
      <c r="B5534" s="498"/>
      <c r="C5534" s="287"/>
      <c r="D5534" s="288"/>
      <c r="E5534" s="288"/>
    </row>
    <row r="5535" spans="1:5" x14ac:dyDescent="0.25">
      <c r="A5535" s="274"/>
      <c r="B5535" s="498"/>
      <c r="C5535" s="287"/>
      <c r="D5535" s="288"/>
      <c r="E5535" s="288"/>
    </row>
    <row r="5536" spans="1:5" x14ac:dyDescent="0.25">
      <c r="A5536" s="274"/>
      <c r="B5536" s="498"/>
      <c r="C5536" s="287"/>
      <c r="D5536" s="288"/>
      <c r="E5536" s="288"/>
    </row>
    <row r="5537" spans="1:5" x14ac:dyDescent="0.25">
      <c r="A5537" s="274"/>
      <c r="B5537" s="498"/>
      <c r="C5537" s="287"/>
      <c r="D5537" s="288"/>
      <c r="E5537" s="288"/>
    </row>
    <row r="5538" spans="1:5" x14ac:dyDescent="0.25">
      <c r="A5538" s="274"/>
      <c r="B5538" s="498"/>
      <c r="C5538" s="287"/>
      <c r="D5538" s="288"/>
      <c r="E5538" s="288"/>
    </row>
    <row r="5539" spans="1:5" x14ac:dyDescent="0.25">
      <c r="A5539" s="274"/>
      <c r="B5539" s="498"/>
      <c r="C5539" s="287"/>
      <c r="D5539" s="288"/>
      <c r="E5539" s="288"/>
    </row>
    <row r="5540" spans="1:5" x14ac:dyDescent="0.25">
      <c r="A5540" s="274"/>
      <c r="B5540" s="498"/>
      <c r="C5540" s="287"/>
      <c r="D5540" s="288"/>
      <c r="E5540" s="288"/>
    </row>
    <row r="5541" spans="1:5" x14ac:dyDescent="0.25">
      <c r="A5541" s="274"/>
      <c r="B5541" s="498"/>
      <c r="C5541" s="287"/>
      <c r="D5541" s="288"/>
      <c r="E5541" s="288"/>
    </row>
    <row r="5542" spans="1:5" x14ac:dyDescent="0.25">
      <c r="A5542" s="274"/>
      <c r="B5542" s="498"/>
      <c r="C5542" s="287"/>
      <c r="D5542" s="288"/>
      <c r="E5542" s="288"/>
    </row>
    <row r="5543" spans="1:5" x14ac:dyDescent="0.25">
      <c r="A5543" s="274"/>
      <c r="B5543" s="498"/>
      <c r="C5543" s="287"/>
      <c r="D5543" s="288"/>
      <c r="E5543" s="288"/>
    </row>
    <row r="5544" spans="1:5" x14ac:dyDescent="0.25">
      <c r="A5544" s="274"/>
      <c r="B5544" s="498"/>
      <c r="C5544" s="287"/>
      <c r="D5544" s="288"/>
      <c r="E5544" s="288"/>
    </row>
    <row r="5545" spans="1:5" x14ac:dyDescent="0.25">
      <c r="A5545" s="274"/>
      <c r="B5545" s="498"/>
      <c r="C5545" s="287"/>
      <c r="D5545" s="288"/>
      <c r="E5545" s="288"/>
    </row>
    <row r="5546" spans="1:5" x14ac:dyDescent="0.25">
      <c r="A5546" s="274"/>
      <c r="B5546" s="498"/>
      <c r="C5546" s="287"/>
      <c r="D5546" s="288"/>
      <c r="E5546" s="288"/>
    </row>
    <row r="5547" spans="1:5" x14ac:dyDescent="0.25">
      <c r="A5547" s="274"/>
      <c r="B5547" s="498"/>
      <c r="C5547" s="287"/>
      <c r="D5547" s="288"/>
      <c r="E5547" s="288"/>
    </row>
    <row r="5548" spans="1:5" x14ac:dyDescent="0.25">
      <c r="A5548" s="274"/>
      <c r="B5548" s="498"/>
      <c r="C5548" s="287"/>
      <c r="D5548" s="288"/>
      <c r="E5548" s="288"/>
    </row>
    <row r="5549" spans="1:5" x14ac:dyDescent="0.25">
      <c r="A5549" s="274"/>
      <c r="B5549" s="498"/>
      <c r="C5549" s="287"/>
      <c r="D5549" s="288"/>
      <c r="E5549" s="288"/>
    </row>
    <row r="5550" spans="1:5" x14ac:dyDescent="0.25">
      <c r="A5550" s="274"/>
      <c r="B5550" s="498"/>
      <c r="C5550" s="287"/>
      <c r="D5550" s="288"/>
      <c r="E5550" s="288"/>
    </row>
    <row r="5551" spans="1:5" x14ac:dyDescent="0.25">
      <c r="A5551" s="274"/>
      <c r="B5551" s="498"/>
      <c r="C5551" s="287"/>
      <c r="D5551" s="288"/>
      <c r="E5551" s="288"/>
    </row>
    <row r="5552" spans="1:5" x14ac:dyDescent="0.25">
      <c r="A5552" s="274"/>
      <c r="B5552" s="498"/>
      <c r="C5552" s="287"/>
      <c r="D5552" s="288"/>
      <c r="E5552" s="288"/>
    </row>
    <row r="5553" spans="1:5" x14ac:dyDescent="0.25">
      <c r="A5553" s="274"/>
      <c r="B5553" s="498"/>
      <c r="C5553" s="287"/>
      <c r="D5553" s="288"/>
      <c r="E5553" s="288"/>
    </row>
    <row r="5554" spans="1:5" x14ac:dyDescent="0.25">
      <c r="A5554" s="274"/>
      <c r="B5554" s="498"/>
      <c r="C5554" s="287"/>
      <c r="D5554" s="288"/>
      <c r="E5554" s="288"/>
    </row>
    <row r="5555" spans="1:5" x14ac:dyDescent="0.25">
      <c r="A5555" s="274"/>
      <c r="B5555" s="498"/>
      <c r="C5555" s="287"/>
      <c r="D5555" s="288"/>
      <c r="E5555" s="288"/>
    </row>
    <row r="5556" spans="1:5" x14ac:dyDescent="0.25">
      <c r="A5556" s="274"/>
      <c r="B5556" s="498"/>
      <c r="C5556" s="287"/>
      <c r="D5556" s="288"/>
      <c r="E5556" s="288"/>
    </row>
    <row r="5557" spans="1:5" x14ac:dyDescent="0.25">
      <c r="A5557" s="274"/>
      <c r="B5557" s="498"/>
      <c r="C5557" s="287"/>
      <c r="D5557" s="288"/>
      <c r="E5557" s="288"/>
    </row>
    <row r="5558" spans="1:5" x14ac:dyDescent="0.25">
      <c r="A5558" s="274"/>
      <c r="B5558" s="498"/>
      <c r="C5558" s="287"/>
      <c r="D5558" s="288"/>
      <c r="E5558" s="288"/>
    </row>
    <row r="5559" spans="1:5" x14ac:dyDescent="0.25">
      <c r="A5559" s="274"/>
      <c r="B5559" s="498"/>
      <c r="C5559" s="287"/>
      <c r="D5559" s="288"/>
      <c r="E5559" s="288"/>
    </row>
    <row r="5560" spans="1:5" x14ac:dyDescent="0.25">
      <c r="A5560" s="274"/>
      <c r="B5560" s="498"/>
      <c r="C5560" s="287"/>
      <c r="D5560" s="288"/>
      <c r="E5560" s="288"/>
    </row>
    <row r="5561" spans="1:5" x14ac:dyDescent="0.25">
      <c r="A5561" s="274"/>
      <c r="B5561" s="498"/>
      <c r="C5561" s="287"/>
      <c r="D5561" s="288"/>
      <c r="E5561" s="288"/>
    </row>
    <row r="5562" spans="1:5" x14ac:dyDescent="0.25">
      <c r="A5562" s="274"/>
      <c r="B5562" s="498"/>
      <c r="C5562" s="287"/>
      <c r="D5562" s="288"/>
      <c r="E5562" s="288"/>
    </row>
    <row r="5563" spans="1:5" x14ac:dyDescent="0.25">
      <c r="A5563" s="274"/>
      <c r="B5563" s="498"/>
      <c r="C5563" s="287"/>
      <c r="D5563" s="288"/>
      <c r="E5563" s="288"/>
    </row>
    <row r="5564" spans="1:5" x14ac:dyDescent="0.25">
      <c r="A5564" s="274"/>
      <c r="B5564" s="498"/>
      <c r="C5564" s="287"/>
      <c r="D5564" s="288"/>
      <c r="E5564" s="288"/>
    </row>
    <row r="5565" spans="1:5" x14ac:dyDescent="0.25">
      <c r="A5565" s="274"/>
      <c r="B5565" s="498"/>
      <c r="C5565" s="287"/>
      <c r="D5565" s="288"/>
      <c r="E5565" s="288"/>
    </row>
    <row r="5566" spans="1:5" x14ac:dyDescent="0.25">
      <c r="A5566" s="274"/>
      <c r="B5566" s="498"/>
      <c r="C5566" s="287"/>
      <c r="D5566" s="288"/>
      <c r="E5566" s="288"/>
    </row>
    <row r="5567" spans="1:5" x14ac:dyDescent="0.25">
      <c r="A5567" s="274"/>
      <c r="B5567" s="498"/>
      <c r="C5567" s="287"/>
      <c r="D5567" s="288"/>
      <c r="E5567" s="288"/>
    </row>
    <row r="5568" spans="1:5" x14ac:dyDescent="0.25">
      <c r="A5568" s="274"/>
      <c r="B5568" s="498"/>
      <c r="C5568" s="287"/>
      <c r="D5568" s="288"/>
      <c r="E5568" s="288"/>
    </row>
    <row r="5569" spans="1:5" x14ac:dyDescent="0.25">
      <c r="A5569" s="274"/>
      <c r="B5569" s="498"/>
      <c r="C5569" s="287"/>
      <c r="D5569" s="288"/>
      <c r="E5569" s="288"/>
    </row>
    <row r="5570" spans="1:5" x14ac:dyDescent="0.25">
      <c r="A5570" s="274"/>
      <c r="B5570" s="498"/>
      <c r="C5570" s="287"/>
      <c r="D5570" s="288"/>
      <c r="E5570" s="288"/>
    </row>
    <row r="5571" spans="1:5" x14ac:dyDescent="0.25">
      <c r="A5571" s="274"/>
      <c r="B5571" s="498"/>
      <c r="C5571" s="287"/>
      <c r="D5571" s="288"/>
      <c r="E5571" s="288"/>
    </row>
    <row r="5572" spans="1:5" x14ac:dyDescent="0.25">
      <c r="A5572" s="274"/>
      <c r="B5572" s="498"/>
      <c r="C5572" s="287"/>
      <c r="D5572" s="288"/>
      <c r="E5572" s="288"/>
    </row>
    <row r="5573" spans="1:5" x14ac:dyDescent="0.25">
      <c r="A5573" s="274"/>
      <c r="B5573" s="498"/>
      <c r="C5573" s="287"/>
      <c r="D5573" s="288"/>
      <c r="E5573" s="288"/>
    </row>
    <row r="5574" spans="1:5" x14ac:dyDescent="0.25">
      <c r="A5574" s="274"/>
      <c r="B5574" s="498"/>
      <c r="C5574" s="287"/>
      <c r="D5574" s="288"/>
      <c r="E5574" s="288"/>
    </row>
    <row r="5575" spans="1:5" x14ac:dyDescent="0.25">
      <c r="A5575" s="274"/>
      <c r="B5575" s="498"/>
      <c r="C5575" s="287"/>
      <c r="D5575" s="288"/>
      <c r="E5575" s="288"/>
    </row>
    <row r="5576" spans="1:5" x14ac:dyDescent="0.25">
      <c r="A5576" s="274"/>
      <c r="B5576" s="498"/>
      <c r="C5576" s="287"/>
      <c r="D5576" s="288"/>
      <c r="E5576" s="288"/>
    </row>
    <row r="5577" spans="1:5" x14ac:dyDescent="0.25">
      <c r="A5577" s="274"/>
      <c r="B5577" s="498"/>
      <c r="C5577" s="287"/>
      <c r="D5577" s="288"/>
      <c r="E5577" s="288"/>
    </row>
    <row r="5578" spans="1:5" x14ac:dyDescent="0.25">
      <c r="A5578" s="274"/>
      <c r="B5578" s="498"/>
      <c r="C5578" s="287"/>
      <c r="D5578" s="288"/>
      <c r="E5578" s="288"/>
    </row>
    <row r="5579" spans="1:5" x14ac:dyDescent="0.25">
      <c r="A5579" s="274"/>
      <c r="B5579" s="498"/>
      <c r="C5579" s="287"/>
      <c r="D5579" s="288"/>
      <c r="E5579" s="288"/>
    </row>
    <row r="5580" spans="1:5" x14ac:dyDescent="0.25">
      <c r="A5580" s="274"/>
      <c r="B5580" s="498"/>
      <c r="C5580" s="287"/>
      <c r="D5580" s="288"/>
      <c r="E5580" s="288"/>
    </row>
    <row r="5581" spans="1:5" x14ac:dyDescent="0.25">
      <c r="A5581" s="274"/>
      <c r="B5581" s="498"/>
      <c r="C5581" s="287"/>
      <c r="D5581" s="288"/>
      <c r="E5581" s="288"/>
    </row>
    <row r="5582" spans="1:5" x14ac:dyDescent="0.25">
      <c r="A5582" s="274"/>
      <c r="B5582" s="498"/>
      <c r="C5582" s="287"/>
      <c r="D5582" s="288"/>
      <c r="E5582" s="288"/>
    </row>
    <row r="5583" spans="1:5" x14ac:dyDescent="0.25">
      <c r="A5583" s="274"/>
      <c r="B5583" s="498"/>
      <c r="C5583" s="287"/>
      <c r="D5583" s="288"/>
      <c r="E5583" s="288"/>
    </row>
    <row r="5584" spans="1:5" x14ac:dyDescent="0.25">
      <c r="A5584" s="274"/>
      <c r="B5584" s="498"/>
      <c r="C5584" s="287"/>
      <c r="D5584" s="288"/>
      <c r="E5584" s="288"/>
    </row>
    <row r="5585" spans="1:5" x14ac:dyDescent="0.25">
      <c r="A5585" s="274"/>
      <c r="B5585" s="498"/>
      <c r="C5585" s="287"/>
      <c r="D5585" s="288"/>
      <c r="E5585" s="288"/>
    </row>
    <row r="5586" spans="1:5" x14ac:dyDescent="0.25">
      <c r="A5586" s="274"/>
      <c r="B5586" s="498"/>
      <c r="C5586" s="287"/>
      <c r="D5586" s="288"/>
      <c r="E5586" s="288"/>
    </row>
    <row r="5587" spans="1:5" x14ac:dyDescent="0.25">
      <c r="A5587" s="274"/>
      <c r="B5587" s="498"/>
      <c r="C5587" s="287"/>
      <c r="D5587" s="288"/>
      <c r="E5587" s="288"/>
    </row>
    <row r="5588" spans="1:5" x14ac:dyDescent="0.25">
      <c r="A5588" s="274"/>
      <c r="B5588" s="498"/>
      <c r="C5588" s="287"/>
      <c r="D5588" s="288"/>
      <c r="E5588" s="288"/>
    </row>
    <row r="5589" spans="1:5" x14ac:dyDescent="0.25">
      <c r="A5589" s="274"/>
      <c r="B5589" s="498"/>
      <c r="C5589" s="287"/>
      <c r="D5589" s="288"/>
      <c r="E5589" s="288"/>
    </row>
    <row r="5590" spans="1:5" x14ac:dyDescent="0.25">
      <c r="A5590" s="274"/>
      <c r="B5590" s="498"/>
      <c r="C5590" s="287"/>
      <c r="D5590" s="288"/>
      <c r="E5590" s="288"/>
    </row>
    <row r="5591" spans="1:5" x14ac:dyDescent="0.25">
      <c r="A5591" s="274"/>
      <c r="B5591" s="498"/>
      <c r="C5591" s="287"/>
      <c r="D5591" s="288"/>
      <c r="E5591" s="288"/>
    </row>
    <row r="5592" spans="1:5" x14ac:dyDescent="0.25">
      <c r="A5592" s="274"/>
      <c r="B5592" s="498"/>
      <c r="C5592" s="287"/>
      <c r="D5592" s="288"/>
      <c r="E5592" s="288"/>
    </row>
    <row r="5593" spans="1:5" x14ac:dyDescent="0.25">
      <c r="A5593" s="274"/>
      <c r="B5593" s="498"/>
      <c r="C5593" s="287"/>
      <c r="D5593" s="288"/>
      <c r="E5593" s="288"/>
    </row>
    <row r="5594" spans="1:5" x14ac:dyDescent="0.25">
      <c r="A5594" s="274"/>
      <c r="B5594" s="498"/>
      <c r="C5594" s="287"/>
      <c r="D5594" s="288"/>
      <c r="E5594" s="288"/>
    </row>
    <row r="5595" spans="1:5" x14ac:dyDescent="0.25">
      <c r="A5595" s="274"/>
      <c r="B5595" s="498"/>
      <c r="C5595" s="287"/>
      <c r="D5595" s="288"/>
      <c r="E5595" s="288"/>
    </row>
    <row r="5596" spans="1:5" x14ac:dyDescent="0.25">
      <c r="A5596" s="274"/>
      <c r="B5596" s="498"/>
      <c r="C5596" s="287"/>
      <c r="D5596" s="288"/>
      <c r="E5596" s="288"/>
    </row>
    <row r="5597" spans="1:5" x14ac:dyDescent="0.25">
      <c r="A5597" s="274"/>
      <c r="B5597" s="498"/>
      <c r="C5597" s="287"/>
      <c r="D5597" s="288"/>
      <c r="E5597" s="288"/>
    </row>
    <row r="5598" spans="1:5" x14ac:dyDescent="0.25">
      <c r="A5598" s="274"/>
      <c r="B5598" s="498"/>
      <c r="C5598" s="287"/>
      <c r="D5598" s="288"/>
      <c r="E5598" s="288"/>
    </row>
    <row r="5599" spans="1:5" x14ac:dyDescent="0.25">
      <c r="A5599" s="274"/>
      <c r="B5599" s="498"/>
      <c r="C5599" s="287"/>
      <c r="D5599" s="288"/>
      <c r="E5599" s="288"/>
    </row>
    <row r="5600" spans="1:5" x14ac:dyDescent="0.25">
      <c r="A5600" s="274"/>
      <c r="B5600" s="498"/>
      <c r="C5600" s="287"/>
      <c r="D5600" s="288"/>
      <c r="E5600" s="288"/>
    </row>
    <row r="5601" spans="1:5" x14ac:dyDescent="0.25">
      <c r="A5601" s="274"/>
      <c r="B5601" s="498"/>
      <c r="C5601" s="287"/>
      <c r="D5601" s="288"/>
      <c r="E5601" s="288"/>
    </row>
    <row r="5602" spans="1:5" x14ac:dyDescent="0.25">
      <c r="A5602" s="274"/>
      <c r="B5602" s="498"/>
      <c r="C5602" s="287"/>
      <c r="D5602" s="288"/>
      <c r="E5602" s="288"/>
    </row>
    <row r="5603" spans="1:5" x14ac:dyDescent="0.25">
      <c r="A5603" s="274"/>
      <c r="B5603" s="498"/>
      <c r="C5603" s="287"/>
      <c r="D5603" s="288"/>
      <c r="E5603" s="288"/>
    </row>
    <row r="5604" spans="1:5" x14ac:dyDescent="0.25">
      <c r="A5604" s="274"/>
      <c r="B5604" s="498"/>
      <c r="C5604" s="287"/>
      <c r="D5604" s="288"/>
      <c r="E5604" s="288"/>
    </row>
    <row r="5605" spans="1:5" x14ac:dyDescent="0.25">
      <c r="A5605" s="274"/>
      <c r="B5605" s="498"/>
      <c r="C5605" s="287"/>
      <c r="D5605" s="288"/>
      <c r="E5605" s="288"/>
    </row>
    <row r="5606" spans="1:5" x14ac:dyDescent="0.25">
      <c r="A5606" s="274"/>
      <c r="B5606" s="498"/>
      <c r="C5606" s="287"/>
      <c r="D5606" s="288"/>
      <c r="E5606" s="288"/>
    </row>
    <row r="5607" spans="1:5" x14ac:dyDescent="0.25">
      <c r="A5607" s="274"/>
      <c r="B5607" s="498"/>
      <c r="C5607" s="287"/>
      <c r="D5607" s="288"/>
      <c r="E5607" s="288"/>
    </row>
    <row r="5608" spans="1:5" x14ac:dyDescent="0.25">
      <c r="A5608" s="274"/>
      <c r="B5608" s="498"/>
      <c r="C5608" s="287"/>
      <c r="D5608" s="288"/>
      <c r="E5608" s="288"/>
    </row>
    <row r="5609" spans="1:5" x14ac:dyDescent="0.25">
      <c r="A5609" s="274"/>
      <c r="B5609" s="498"/>
      <c r="C5609" s="287"/>
      <c r="D5609" s="288"/>
      <c r="E5609" s="288"/>
    </row>
    <row r="5610" spans="1:5" x14ac:dyDescent="0.25">
      <c r="A5610" s="274"/>
      <c r="B5610" s="498"/>
      <c r="C5610" s="287"/>
      <c r="D5610" s="288"/>
      <c r="E5610" s="288"/>
    </row>
    <row r="5611" spans="1:5" x14ac:dyDescent="0.25">
      <c r="A5611" s="274"/>
      <c r="B5611" s="498"/>
      <c r="C5611" s="287"/>
      <c r="D5611" s="288"/>
      <c r="E5611" s="288"/>
    </row>
    <row r="5612" spans="1:5" x14ac:dyDescent="0.25">
      <c r="A5612" s="274"/>
      <c r="B5612" s="498"/>
      <c r="C5612" s="287"/>
      <c r="D5612" s="288"/>
      <c r="E5612" s="288"/>
    </row>
    <row r="5613" spans="1:5" x14ac:dyDescent="0.25">
      <c r="A5613" s="274"/>
      <c r="B5613" s="498"/>
      <c r="C5613" s="287"/>
      <c r="D5613" s="288"/>
      <c r="E5613" s="288"/>
    </row>
    <row r="5614" spans="1:5" x14ac:dyDescent="0.25">
      <c r="A5614" s="274"/>
      <c r="B5614" s="498"/>
      <c r="C5614" s="287"/>
      <c r="D5614" s="288"/>
      <c r="E5614" s="288"/>
    </row>
    <row r="5615" spans="1:5" x14ac:dyDescent="0.25">
      <c r="A5615" s="274"/>
      <c r="B5615" s="498"/>
      <c r="C5615" s="287"/>
      <c r="D5615" s="288"/>
      <c r="E5615" s="288"/>
    </row>
    <row r="5616" spans="1:5" x14ac:dyDescent="0.25">
      <c r="A5616" s="274"/>
      <c r="B5616" s="498"/>
      <c r="C5616" s="287"/>
      <c r="D5616" s="288"/>
      <c r="E5616" s="288"/>
    </row>
    <row r="5617" spans="1:5" x14ac:dyDescent="0.25">
      <c r="A5617" s="274"/>
      <c r="B5617" s="498"/>
      <c r="C5617" s="287"/>
      <c r="D5617" s="288"/>
      <c r="E5617" s="288"/>
    </row>
    <row r="5618" spans="1:5" x14ac:dyDescent="0.25">
      <c r="A5618" s="274"/>
      <c r="B5618" s="498"/>
      <c r="C5618" s="287"/>
      <c r="D5618" s="288"/>
      <c r="E5618" s="288"/>
    </row>
    <row r="5619" spans="1:5" x14ac:dyDescent="0.25">
      <c r="A5619" s="274"/>
      <c r="B5619" s="498"/>
      <c r="C5619" s="287"/>
      <c r="D5619" s="288"/>
      <c r="E5619" s="288"/>
    </row>
    <row r="5620" spans="1:5" x14ac:dyDescent="0.25">
      <c r="A5620" s="274"/>
      <c r="B5620" s="498"/>
      <c r="C5620" s="287"/>
      <c r="D5620" s="288"/>
      <c r="E5620" s="288"/>
    </row>
    <row r="5621" spans="1:5" x14ac:dyDescent="0.25">
      <c r="A5621" s="274"/>
      <c r="B5621" s="498"/>
      <c r="C5621" s="287"/>
      <c r="D5621" s="288"/>
      <c r="E5621" s="288"/>
    </row>
    <row r="5622" spans="1:5" x14ac:dyDescent="0.25">
      <c r="A5622" s="274"/>
      <c r="B5622" s="498"/>
      <c r="C5622" s="287"/>
      <c r="D5622" s="288"/>
      <c r="E5622" s="288"/>
    </row>
    <row r="5623" spans="1:5" x14ac:dyDescent="0.25">
      <c r="A5623" s="274"/>
      <c r="B5623" s="498"/>
      <c r="C5623" s="287"/>
      <c r="D5623" s="288"/>
      <c r="E5623" s="288"/>
    </row>
    <row r="5624" spans="1:5" x14ac:dyDescent="0.25">
      <c r="A5624" s="274"/>
      <c r="B5624" s="498"/>
      <c r="C5624" s="287"/>
      <c r="D5624" s="288"/>
      <c r="E5624" s="288"/>
    </row>
    <row r="5625" spans="1:5" x14ac:dyDescent="0.25">
      <c r="A5625" s="274"/>
      <c r="B5625" s="498"/>
      <c r="C5625" s="287"/>
      <c r="D5625" s="288"/>
      <c r="E5625" s="288"/>
    </row>
    <row r="5626" spans="1:5" x14ac:dyDescent="0.25">
      <c r="A5626" s="274"/>
      <c r="B5626" s="498"/>
      <c r="C5626" s="287"/>
      <c r="D5626" s="288"/>
      <c r="E5626" s="288"/>
    </row>
    <row r="5627" spans="1:5" x14ac:dyDescent="0.25">
      <c r="A5627" s="274"/>
      <c r="B5627" s="498"/>
      <c r="C5627" s="287"/>
      <c r="D5627" s="288"/>
      <c r="E5627" s="288"/>
    </row>
    <row r="5628" spans="1:5" x14ac:dyDescent="0.25">
      <c r="A5628" s="274"/>
      <c r="B5628" s="498"/>
      <c r="C5628" s="287"/>
      <c r="D5628" s="288"/>
      <c r="E5628" s="288"/>
    </row>
    <row r="5629" spans="1:5" x14ac:dyDescent="0.25">
      <c r="A5629" s="274"/>
      <c r="B5629" s="498"/>
      <c r="C5629" s="287"/>
      <c r="D5629" s="288"/>
      <c r="E5629" s="288"/>
    </row>
    <row r="5630" spans="1:5" x14ac:dyDescent="0.25">
      <c r="A5630" s="274"/>
      <c r="B5630" s="498"/>
      <c r="C5630" s="287"/>
      <c r="D5630" s="288"/>
      <c r="E5630" s="288"/>
    </row>
    <row r="5631" spans="1:5" x14ac:dyDescent="0.25">
      <c r="A5631" s="274"/>
      <c r="B5631" s="498"/>
      <c r="C5631" s="287"/>
      <c r="D5631" s="288"/>
      <c r="E5631" s="288"/>
    </row>
    <row r="5632" spans="1:5" x14ac:dyDescent="0.25">
      <c r="A5632" s="274"/>
      <c r="B5632" s="498"/>
      <c r="C5632" s="287"/>
      <c r="D5632" s="288"/>
      <c r="E5632" s="288"/>
    </row>
    <row r="5633" spans="1:5" x14ac:dyDescent="0.25">
      <c r="A5633" s="274"/>
      <c r="B5633" s="498"/>
      <c r="C5633" s="287"/>
      <c r="D5633" s="288"/>
      <c r="E5633" s="288"/>
    </row>
    <row r="5634" spans="1:5" x14ac:dyDescent="0.25">
      <c r="A5634" s="274"/>
      <c r="B5634" s="498"/>
      <c r="C5634" s="287"/>
      <c r="D5634" s="288"/>
      <c r="E5634" s="288"/>
    </row>
    <row r="5635" spans="1:5" x14ac:dyDescent="0.25">
      <c r="A5635" s="274"/>
      <c r="B5635" s="498"/>
      <c r="C5635" s="287"/>
      <c r="D5635" s="288"/>
      <c r="E5635" s="288"/>
    </row>
    <row r="5636" spans="1:5" x14ac:dyDescent="0.25">
      <c r="A5636" s="274"/>
      <c r="B5636" s="498"/>
      <c r="C5636" s="287"/>
      <c r="D5636" s="288"/>
      <c r="E5636" s="288"/>
    </row>
    <row r="5637" spans="1:5" x14ac:dyDescent="0.25">
      <c r="A5637" s="274"/>
      <c r="B5637" s="498"/>
      <c r="C5637" s="287"/>
      <c r="D5637" s="288"/>
      <c r="E5637" s="288"/>
    </row>
    <row r="5638" spans="1:5" x14ac:dyDescent="0.25">
      <c r="A5638" s="274"/>
      <c r="B5638" s="498"/>
      <c r="C5638" s="287"/>
      <c r="D5638" s="288"/>
      <c r="E5638" s="288"/>
    </row>
    <row r="5639" spans="1:5" x14ac:dyDescent="0.25">
      <c r="A5639" s="274"/>
      <c r="B5639" s="498"/>
      <c r="C5639" s="287"/>
      <c r="D5639" s="288"/>
      <c r="E5639" s="288"/>
    </row>
    <row r="5640" spans="1:5" x14ac:dyDescent="0.25">
      <c r="A5640" s="274"/>
      <c r="B5640" s="498"/>
      <c r="C5640" s="287"/>
      <c r="D5640" s="288"/>
      <c r="E5640" s="288"/>
    </row>
    <row r="5641" spans="1:5" x14ac:dyDescent="0.25">
      <c r="A5641" s="274"/>
      <c r="B5641" s="498"/>
      <c r="C5641" s="287"/>
      <c r="D5641" s="288"/>
      <c r="E5641" s="288"/>
    </row>
    <row r="5642" spans="1:5" x14ac:dyDescent="0.25">
      <c r="A5642" s="274"/>
      <c r="B5642" s="498"/>
      <c r="C5642" s="287"/>
      <c r="D5642" s="288"/>
      <c r="E5642" s="288"/>
    </row>
    <row r="5643" spans="1:5" x14ac:dyDescent="0.25">
      <c r="A5643" s="274"/>
      <c r="B5643" s="498"/>
      <c r="C5643" s="287"/>
      <c r="D5643" s="288"/>
      <c r="E5643" s="288"/>
    </row>
    <row r="5644" spans="1:5" x14ac:dyDescent="0.25">
      <c r="A5644" s="274"/>
      <c r="B5644" s="498"/>
      <c r="C5644" s="287"/>
      <c r="D5644" s="288"/>
      <c r="E5644" s="288"/>
    </row>
    <row r="5645" spans="1:5" x14ac:dyDescent="0.25">
      <c r="A5645" s="274"/>
      <c r="B5645" s="498"/>
      <c r="C5645" s="287"/>
      <c r="D5645" s="288"/>
      <c r="E5645" s="288"/>
    </row>
    <row r="5646" spans="1:5" x14ac:dyDescent="0.25">
      <c r="A5646" s="274"/>
      <c r="B5646" s="498"/>
      <c r="C5646" s="287"/>
      <c r="D5646" s="288"/>
      <c r="E5646" s="288"/>
    </row>
    <row r="5647" spans="1:5" x14ac:dyDescent="0.25">
      <c r="A5647" s="274"/>
      <c r="B5647" s="498"/>
      <c r="C5647" s="287"/>
      <c r="D5647" s="288"/>
      <c r="E5647" s="288"/>
    </row>
    <row r="5648" spans="1:5" x14ac:dyDescent="0.25">
      <c r="A5648" s="274"/>
      <c r="B5648" s="498"/>
      <c r="C5648" s="287"/>
      <c r="D5648" s="288"/>
      <c r="E5648" s="288"/>
    </row>
    <row r="5649" spans="1:5" x14ac:dyDescent="0.25">
      <c r="A5649" s="274"/>
      <c r="B5649" s="498"/>
      <c r="C5649" s="287"/>
      <c r="D5649" s="288"/>
      <c r="E5649" s="288"/>
    </row>
    <row r="5650" spans="1:5" x14ac:dyDescent="0.25">
      <c r="A5650" s="274"/>
      <c r="B5650" s="498"/>
      <c r="C5650" s="287"/>
      <c r="D5650" s="288"/>
      <c r="E5650" s="288"/>
    </row>
    <row r="5651" spans="1:5" x14ac:dyDescent="0.25">
      <c r="A5651" s="274"/>
      <c r="B5651" s="498"/>
      <c r="C5651" s="287"/>
      <c r="D5651" s="288"/>
      <c r="E5651" s="288"/>
    </row>
    <row r="5652" spans="1:5" x14ac:dyDescent="0.25">
      <c r="A5652" s="274"/>
      <c r="B5652" s="498"/>
      <c r="C5652" s="287"/>
      <c r="D5652" s="288"/>
      <c r="E5652" s="288"/>
    </row>
    <row r="5653" spans="1:5" x14ac:dyDescent="0.25">
      <c r="A5653" s="274"/>
      <c r="B5653" s="498"/>
      <c r="C5653" s="287"/>
      <c r="D5653" s="288"/>
      <c r="E5653" s="288"/>
    </row>
    <row r="5654" spans="1:5" x14ac:dyDescent="0.25">
      <c r="A5654" s="274"/>
      <c r="B5654" s="498"/>
      <c r="C5654" s="287"/>
      <c r="D5654" s="288"/>
      <c r="E5654" s="288"/>
    </row>
    <row r="5655" spans="1:5" x14ac:dyDescent="0.25">
      <c r="A5655" s="274"/>
      <c r="B5655" s="498"/>
      <c r="C5655" s="287"/>
      <c r="D5655" s="288"/>
      <c r="E5655" s="288"/>
    </row>
    <row r="5656" spans="1:5" x14ac:dyDescent="0.25">
      <c r="A5656" s="274"/>
      <c r="B5656" s="498"/>
      <c r="C5656" s="287"/>
      <c r="D5656" s="288"/>
      <c r="E5656" s="288"/>
    </row>
    <row r="5657" spans="1:5" x14ac:dyDescent="0.25">
      <c r="A5657" s="274"/>
      <c r="B5657" s="498"/>
      <c r="C5657" s="287"/>
      <c r="D5657" s="288"/>
      <c r="E5657" s="288"/>
    </row>
    <row r="5658" spans="1:5" x14ac:dyDescent="0.25">
      <c r="A5658" s="274"/>
      <c r="B5658" s="498"/>
      <c r="C5658" s="287"/>
      <c r="D5658" s="288"/>
      <c r="E5658" s="288"/>
    </row>
    <row r="5659" spans="1:5" x14ac:dyDescent="0.25">
      <c r="A5659" s="274"/>
      <c r="B5659" s="498"/>
      <c r="C5659" s="287"/>
      <c r="D5659" s="288"/>
      <c r="E5659" s="288"/>
    </row>
    <row r="5660" spans="1:5" x14ac:dyDescent="0.25">
      <c r="A5660" s="274"/>
      <c r="B5660" s="498"/>
      <c r="C5660" s="287"/>
      <c r="D5660" s="288"/>
      <c r="E5660" s="288"/>
    </row>
    <row r="5661" spans="1:5" x14ac:dyDescent="0.25">
      <c r="A5661" s="274"/>
      <c r="B5661" s="498"/>
      <c r="C5661" s="287"/>
      <c r="D5661" s="288"/>
      <c r="E5661" s="288"/>
    </row>
    <row r="5662" spans="1:5" x14ac:dyDescent="0.25">
      <c r="A5662" s="274"/>
      <c r="B5662" s="498"/>
      <c r="C5662" s="287"/>
      <c r="D5662" s="288"/>
      <c r="E5662" s="288"/>
    </row>
    <row r="5663" spans="1:5" x14ac:dyDescent="0.25">
      <c r="A5663" s="274"/>
      <c r="B5663" s="498"/>
      <c r="C5663" s="287"/>
      <c r="D5663" s="288"/>
      <c r="E5663" s="288"/>
    </row>
    <row r="5664" spans="1:5" x14ac:dyDescent="0.25">
      <c r="A5664" s="274"/>
      <c r="B5664" s="498"/>
      <c r="C5664" s="287"/>
      <c r="D5664" s="288"/>
      <c r="E5664" s="288"/>
    </row>
    <row r="5665" spans="1:5" x14ac:dyDescent="0.25">
      <c r="A5665" s="274"/>
      <c r="B5665" s="498"/>
      <c r="C5665" s="287"/>
      <c r="D5665" s="288"/>
      <c r="E5665" s="288"/>
    </row>
    <row r="5666" spans="1:5" x14ac:dyDescent="0.25">
      <c r="A5666" s="274"/>
      <c r="B5666" s="498"/>
      <c r="C5666" s="287"/>
      <c r="D5666" s="288"/>
      <c r="E5666" s="288"/>
    </row>
    <row r="5667" spans="1:5" x14ac:dyDescent="0.25">
      <c r="A5667" s="274"/>
      <c r="B5667" s="498"/>
      <c r="C5667" s="287"/>
      <c r="D5667" s="288"/>
      <c r="E5667" s="288"/>
    </row>
    <row r="5668" spans="1:5" x14ac:dyDescent="0.25">
      <c r="A5668" s="274"/>
      <c r="B5668" s="498"/>
      <c r="C5668" s="287"/>
      <c r="D5668" s="288"/>
      <c r="E5668" s="288"/>
    </row>
    <row r="5669" spans="1:5" x14ac:dyDescent="0.25">
      <c r="A5669" s="274"/>
      <c r="B5669" s="498"/>
      <c r="C5669" s="287"/>
      <c r="D5669" s="288"/>
      <c r="E5669" s="288"/>
    </row>
    <row r="5670" spans="1:5" x14ac:dyDescent="0.25">
      <c r="A5670" s="274"/>
      <c r="B5670" s="498"/>
      <c r="C5670" s="287"/>
      <c r="D5670" s="288"/>
      <c r="E5670" s="288"/>
    </row>
    <row r="5671" spans="1:5" x14ac:dyDescent="0.25">
      <c r="A5671" s="274"/>
      <c r="B5671" s="498"/>
      <c r="C5671" s="287"/>
      <c r="D5671" s="288"/>
      <c r="E5671" s="288"/>
    </row>
    <row r="5672" spans="1:5" x14ac:dyDescent="0.25">
      <c r="A5672" s="274"/>
      <c r="B5672" s="498"/>
      <c r="C5672" s="287"/>
      <c r="D5672" s="288"/>
      <c r="E5672" s="288"/>
    </row>
    <row r="5673" spans="1:5" x14ac:dyDescent="0.25">
      <c r="A5673" s="274"/>
      <c r="B5673" s="498"/>
      <c r="C5673" s="287"/>
      <c r="D5673" s="288"/>
      <c r="E5673" s="288"/>
    </row>
    <row r="5674" spans="1:5" x14ac:dyDescent="0.25">
      <c r="A5674" s="274"/>
      <c r="B5674" s="498"/>
      <c r="C5674" s="287"/>
      <c r="D5674" s="288"/>
      <c r="E5674" s="288"/>
    </row>
    <row r="5675" spans="1:5" x14ac:dyDescent="0.25">
      <c r="A5675" s="274"/>
      <c r="B5675" s="498"/>
      <c r="C5675" s="287"/>
      <c r="D5675" s="288"/>
      <c r="E5675" s="288"/>
    </row>
    <row r="5676" spans="1:5" x14ac:dyDescent="0.25">
      <c r="A5676" s="274"/>
      <c r="B5676" s="498"/>
      <c r="C5676" s="287"/>
      <c r="D5676" s="288"/>
      <c r="E5676" s="288"/>
    </row>
    <row r="5677" spans="1:5" x14ac:dyDescent="0.25">
      <c r="A5677" s="274"/>
      <c r="B5677" s="498"/>
      <c r="C5677" s="287"/>
      <c r="D5677" s="288"/>
      <c r="E5677" s="288"/>
    </row>
    <row r="5678" spans="1:5" x14ac:dyDescent="0.25">
      <c r="A5678" s="274"/>
      <c r="B5678" s="498"/>
      <c r="C5678" s="287"/>
      <c r="D5678" s="288"/>
      <c r="E5678" s="288"/>
    </row>
    <row r="5679" spans="1:5" x14ac:dyDescent="0.25">
      <c r="A5679" s="274"/>
      <c r="B5679" s="498"/>
      <c r="C5679" s="287"/>
      <c r="D5679" s="288"/>
      <c r="E5679" s="288"/>
    </row>
    <row r="5680" spans="1:5" x14ac:dyDescent="0.25">
      <c r="A5680" s="274"/>
      <c r="B5680" s="498"/>
      <c r="C5680" s="287"/>
      <c r="D5680" s="288"/>
      <c r="E5680" s="288"/>
    </row>
    <row r="5681" spans="1:5" x14ac:dyDescent="0.25">
      <c r="A5681" s="274"/>
      <c r="B5681" s="498"/>
      <c r="C5681" s="287"/>
      <c r="D5681" s="288"/>
      <c r="E5681" s="288"/>
    </row>
    <row r="5682" spans="1:5" x14ac:dyDescent="0.25">
      <c r="A5682" s="274"/>
      <c r="B5682" s="498"/>
      <c r="C5682" s="287"/>
      <c r="D5682" s="288"/>
      <c r="E5682" s="288"/>
    </row>
    <row r="5683" spans="1:5" x14ac:dyDescent="0.25">
      <c r="A5683" s="274"/>
      <c r="B5683" s="498"/>
      <c r="C5683" s="287"/>
      <c r="D5683" s="288"/>
      <c r="E5683" s="288"/>
    </row>
    <row r="5684" spans="1:5" x14ac:dyDescent="0.25">
      <c r="A5684" s="274"/>
      <c r="B5684" s="498"/>
      <c r="C5684" s="287"/>
      <c r="D5684" s="288"/>
      <c r="E5684" s="288"/>
    </row>
    <row r="5685" spans="1:5" x14ac:dyDescent="0.25">
      <c r="A5685" s="274"/>
      <c r="B5685" s="498"/>
      <c r="C5685" s="287"/>
      <c r="D5685" s="288"/>
      <c r="E5685" s="288"/>
    </row>
    <row r="5686" spans="1:5" x14ac:dyDescent="0.25">
      <c r="A5686" s="274"/>
      <c r="B5686" s="498"/>
      <c r="C5686" s="287"/>
      <c r="D5686" s="288"/>
      <c r="E5686" s="288"/>
    </row>
    <row r="5687" spans="1:5" x14ac:dyDescent="0.25">
      <c r="A5687" s="274"/>
      <c r="B5687" s="498"/>
      <c r="C5687" s="287"/>
      <c r="D5687" s="288"/>
      <c r="E5687" s="288"/>
    </row>
    <row r="5688" spans="1:5" x14ac:dyDescent="0.25">
      <c r="A5688" s="274"/>
      <c r="B5688" s="498"/>
      <c r="C5688" s="287"/>
      <c r="D5688" s="288"/>
      <c r="E5688" s="288"/>
    </row>
    <row r="5689" spans="1:5" x14ac:dyDescent="0.25">
      <c r="A5689" s="274"/>
      <c r="B5689" s="498"/>
      <c r="C5689" s="287"/>
      <c r="D5689" s="288"/>
      <c r="E5689" s="288"/>
    </row>
    <row r="5690" spans="1:5" x14ac:dyDescent="0.25">
      <c r="A5690" s="274"/>
      <c r="B5690" s="498"/>
      <c r="C5690" s="287"/>
      <c r="D5690" s="288"/>
      <c r="E5690" s="288"/>
    </row>
    <row r="5691" spans="1:5" x14ac:dyDescent="0.25">
      <c r="A5691" s="274"/>
      <c r="B5691" s="498"/>
      <c r="C5691" s="287"/>
      <c r="D5691" s="288"/>
      <c r="E5691" s="288"/>
    </row>
    <row r="5692" spans="1:5" x14ac:dyDescent="0.25">
      <c r="A5692" s="274"/>
      <c r="B5692" s="498"/>
      <c r="C5692" s="287"/>
      <c r="D5692" s="288"/>
      <c r="E5692" s="288"/>
    </row>
    <row r="5693" spans="1:5" x14ac:dyDescent="0.25">
      <c r="A5693" s="274"/>
      <c r="B5693" s="498"/>
      <c r="C5693" s="287"/>
      <c r="D5693" s="288"/>
      <c r="E5693" s="288"/>
    </row>
    <row r="5694" spans="1:5" x14ac:dyDescent="0.25">
      <c r="A5694" s="274"/>
      <c r="B5694" s="498"/>
      <c r="C5694" s="287"/>
      <c r="D5694" s="288"/>
      <c r="E5694" s="288"/>
    </row>
    <row r="5695" spans="1:5" x14ac:dyDescent="0.25">
      <c r="A5695" s="274"/>
      <c r="B5695" s="498"/>
      <c r="C5695" s="287"/>
      <c r="D5695" s="288"/>
      <c r="E5695" s="288"/>
    </row>
    <row r="5696" spans="1:5" x14ac:dyDescent="0.25">
      <c r="A5696" s="274"/>
      <c r="B5696" s="498"/>
      <c r="C5696" s="287"/>
      <c r="D5696" s="288"/>
      <c r="E5696" s="288"/>
    </row>
    <row r="5697" spans="1:5" x14ac:dyDescent="0.25">
      <c r="A5697" s="274"/>
      <c r="B5697" s="498"/>
      <c r="C5697" s="287"/>
      <c r="D5697" s="288"/>
      <c r="E5697" s="288"/>
    </row>
    <row r="5698" spans="1:5" x14ac:dyDescent="0.25">
      <c r="A5698" s="274"/>
      <c r="B5698" s="498"/>
      <c r="C5698" s="287"/>
      <c r="D5698" s="288"/>
      <c r="E5698" s="288"/>
    </row>
    <row r="5699" spans="1:5" x14ac:dyDescent="0.25">
      <c r="A5699" s="274"/>
      <c r="B5699" s="498"/>
      <c r="C5699" s="287"/>
      <c r="D5699" s="288"/>
      <c r="E5699" s="288"/>
    </row>
    <row r="5700" spans="1:5" x14ac:dyDescent="0.25">
      <c r="A5700" s="274"/>
      <c r="B5700" s="498"/>
      <c r="C5700" s="287"/>
      <c r="D5700" s="288"/>
      <c r="E5700" s="288"/>
    </row>
    <row r="5701" spans="1:5" x14ac:dyDescent="0.25">
      <c r="A5701" s="274"/>
      <c r="B5701" s="498"/>
      <c r="C5701" s="287"/>
      <c r="D5701" s="288"/>
      <c r="E5701" s="288"/>
    </row>
    <row r="5702" spans="1:5" x14ac:dyDescent="0.25">
      <c r="A5702" s="274"/>
      <c r="B5702" s="498"/>
      <c r="C5702" s="287"/>
      <c r="D5702" s="288"/>
      <c r="E5702" s="288"/>
    </row>
    <row r="5703" spans="1:5" x14ac:dyDescent="0.25">
      <c r="A5703" s="274"/>
      <c r="B5703" s="498"/>
      <c r="C5703" s="287"/>
      <c r="D5703" s="288"/>
      <c r="E5703" s="288"/>
    </row>
    <row r="5704" spans="1:5" x14ac:dyDescent="0.25">
      <c r="A5704" s="274"/>
      <c r="B5704" s="498"/>
      <c r="C5704" s="287"/>
      <c r="D5704" s="288"/>
      <c r="E5704" s="288"/>
    </row>
    <row r="5705" spans="1:5" x14ac:dyDescent="0.25">
      <c r="A5705" s="274"/>
      <c r="B5705" s="498"/>
      <c r="C5705" s="287"/>
      <c r="D5705" s="288"/>
      <c r="E5705" s="288"/>
    </row>
    <row r="5706" spans="1:5" x14ac:dyDescent="0.25">
      <c r="A5706" s="274"/>
      <c r="B5706" s="498"/>
      <c r="C5706" s="287"/>
      <c r="D5706" s="288"/>
      <c r="E5706" s="288"/>
    </row>
    <row r="5707" spans="1:5" x14ac:dyDescent="0.25">
      <c r="A5707" s="274"/>
      <c r="B5707" s="498"/>
      <c r="C5707" s="287"/>
      <c r="D5707" s="288"/>
      <c r="E5707" s="288"/>
    </row>
    <row r="5708" spans="1:5" x14ac:dyDescent="0.25">
      <c r="A5708" s="274"/>
      <c r="B5708" s="498"/>
      <c r="C5708" s="287"/>
      <c r="D5708" s="288"/>
      <c r="E5708" s="288"/>
    </row>
    <row r="5709" spans="1:5" x14ac:dyDescent="0.25">
      <c r="A5709" s="274"/>
      <c r="B5709" s="498"/>
      <c r="C5709" s="287"/>
      <c r="D5709" s="288"/>
      <c r="E5709" s="288"/>
    </row>
    <row r="5710" spans="1:5" x14ac:dyDescent="0.25">
      <c r="A5710" s="274"/>
      <c r="B5710" s="498"/>
      <c r="C5710" s="287"/>
      <c r="D5710" s="288"/>
      <c r="E5710" s="288"/>
    </row>
    <row r="5711" spans="1:5" x14ac:dyDescent="0.25">
      <c r="A5711" s="274"/>
      <c r="B5711" s="498"/>
      <c r="C5711" s="287"/>
      <c r="D5711" s="288"/>
      <c r="E5711" s="288"/>
    </row>
    <row r="5712" spans="1:5" x14ac:dyDescent="0.25">
      <c r="A5712" s="274"/>
      <c r="B5712" s="498"/>
      <c r="C5712" s="287"/>
      <c r="D5712" s="288"/>
      <c r="E5712" s="288"/>
    </row>
    <row r="5713" spans="1:5" x14ac:dyDescent="0.25">
      <c r="A5713" s="274"/>
      <c r="B5713" s="498"/>
      <c r="C5713" s="287"/>
      <c r="D5713" s="288"/>
      <c r="E5713" s="288"/>
    </row>
    <row r="5714" spans="1:5" x14ac:dyDescent="0.25">
      <c r="A5714" s="274"/>
      <c r="B5714" s="498"/>
      <c r="C5714" s="287"/>
      <c r="D5714" s="288"/>
      <c r="E5714" s="288"/>
    </row>
    <row r="5715" spans="1:5" x14ac:dyDescent="0.25">
      <c r="A5715" s="274"/>
      <c r="B5715" s="498"/>
      <c r="C5715" s="287"/>
      <c r="D5715" s="288"/>
      <c r="E5715" s="288"/>
    </row>
    <row r="5716" spans="1:5" x14ac:dyDescent="0.25">
      <c r="A5716" s="274"/>
      <c r="B5716" s="498"/>
      <c r="C5716" s="287"/>
      <c r="D5716" s="288"/>
      <c r="E5716" s="288"/>
    </row>
    <row r="5717" spans="1:5" x14ac:dyDescent="0.25">
      <c r="A5717" s="274"/>
      <c r="B5717" s="498"/>
      <c r="C5717" s="287"/>
      <c r="D5717" s="288"/>
      <c r="E5717" s="288"/>
    </row>
    <row r="5718" spans="1:5" x14ac:dyDescent="0.25">
      <c r="A5718" s="274"/>
      <c r="B5718" s="498"/>
      <c r="C5718" s="287"/>
      <c r="D5718" s="288"/>
      <c r="E5718" s="288"/>
    </row>
    <row r="5719" spans="1:5" x14ac:dyDescent="0.25">
      <c r="A5719" s="274"/>
      <c r="B5719" s="498"/>
      <c r="C5719" s="287"/>
      <c r="D5719" s="288"/>
      <c r="E5719" s="288"/>
    </row>
    <row r="5720" spans="1:5" x14ac:dyDescent="0.25">
      <c r="A5720" s="274"/>
      <c r="B5720" s="498"/>
      <c r="C5720" s="287"/>
      <c r="D5720" s="288"/>
      <c r="E5720" s="288"/>
    </row>
    <row r="5721" spans="1:5" x14ac:dyDescent="0.25">
      <c r="A5721" s="274"/>
      <c r="B5721" s="498"/>
      <c r="C5721" s="287"/>
      <c r="D5721" s="288"/>
      <c r="E5721" s="288"/>
    </row>
    <row r="5722" spans="1:5" x14ac:dyDescent="0.25">
      <c r="A5722" s="274"/>
      <c r="B5722" s="498"/>
      <c r="C5722" s="287"/>
      <c r="D5722" s="288"/>
      <c r="E5722" s="288"/>
    </row>
    <row r="5723" spans="1:5" x14ac:dyDescent="0.25">
      <c r="A5723" s="274"/>
      <c r="B5723" s="498"/>
      <c r="C5723" s="287"/>
      <c r="D5723" s="288"/>
      <c r="E5723" s="288"/>
    </row>
    <row r="5724" spans="1:5" x14ac:dyDescent="0.25">
      <c r="A5724" s="274"/>
      <c r="B5724" s="498"/>
      <c r="C5724" s="287"/>
      <c r="D5724" s="288"/>
      <c r="E5724" s="288"/>
    </row>
    <row r="5725" spans="1:5" x14ac:dyDescent="0.25">
      <c r="A5725" s="274"/>
      <c r="B5725" s="498"/>
      <c r="C5725" s="287"/>
      <c r="D5725" s="288"/>
      <c r="E5725" s="288"/>
    </row>
    <row r="5726" spans="1:5" x14ac:dyDescent="0.25">
      <c r="A5726" s="274"/>
      <c r="B5726" s="498"/>
      <c r="C5726" s="287"/>
      <c r="D5726" s="288"/>
      <c r="E5726" s="288"/>
    </row>
    <row r="5727" spans="1:5" x14ac:dyDescent="0.25">
      <c r="A5727" s="274"/>
      <c r="B5727" s="498"/>
      <c r="C5727" s="287"/>
      <c r="D5727" s="288"/>
      <c r="E5727" s="288"/>
    </row>
    <row r="5728" spans="1:5" x14ac:dyDescent="0.25">
      <c r="A5728" s="274"/>
      <c r="B5728" s="498"/>
      <c r="C5728" s="287"/>
      <c r="D5728" s="288"/>
      <c r="E5728" s="288"/>
    </row>
    <row r="5729" spans="1:5" x14ac:dyDescent="0.25">
      <c r="A5729" s="274"/>
      <c r="B5729" s="498"/>
      <c r="C5729" s="287"/>
      <c r="D5729" s="288"/>
      <c r="E5729" s="288"/>
    </row>
    <row r="5730" spans="1:5" x14ac:dyDescent="0.25">
      <c r="A5730" s="274"/>
      <c r="B5730" s="498"/>
      <c r="C5730" s="287"/>
      <c r="D5730" s="288"/>
      <c r="E5730" s="288"/>
    </row>
    <row r="5731" spans="1:5" x14ac:dyDescent="0.25">
      <c r="A5731" s="274"/>
      <c r="B5731" s="498"/>
      <c r="C5731" s="287"/>
      <c r="D5731" s="288"/>
      <c r="E5731" s="288"/>
    </row>
    <row r="5732" spans="1:5" x14ac:dyDescent="0.25">
      <c r="A5732" s="274"/>
      <c r="B5732" s="498"/>
      <c r="C5732" s="287"/>
      <c r="D5732" s="288"/>
      <c r="E5732" s="288"/>
    </row>
    <row r="5733" spans="1:5" x14ac:dyDescent="0.25">
      <c r="A5733" s="274"/>
      <c r="B5733" s="498"/>
      <c r="C5733" s="287"/>
      <c r="D5733" s="288"/>
      <c r="E5733" s="288"/>
    </row>
    <row r="5734" spans="1:5" x14ac:dyDescent="0.25">
      <c r="A5734" s="274"/>
      <c r="B5734" s="498"/>
      <c r="C5734" s="287"/>
      <c r="D5734" s="288"/>
      <c r="E5734" s="288"/>
    </row>
    <row r="5735" spans="1:5" x14ac:dyDescent="0.25">
      <c r="A5735" s="274"/>
      <c r="B5735" s="498"/>
      <c r="C5735" s="287"/>
      <c r="D5735" s="288"/>
      <c r="E5735" s="288"/>
    </row>
    <row r="5736" spans="1:5" x14ac:dyDescent="0.25">
      <c r="A5736" s="274"/>
      <c r="B5736" s="498"/>
      <c r="C5736" s="287"/>
      <c r="D5736" s="288"/>
      <c r="E5736" s="288"/>
    </row>
    <row r="5737" spans="1:5" x14ac:dyDescent="0.25">
      <c r="A5737" s="274"/>
      <c r="B5737" s="498"/>
      <c r="C5737" s="287"/>
      <c r="D5737" s="288"/>
      <c r="E5737" s="288"/>
    </row>
    <row r="5738" spans="1:5" x14ac:dyDescent="0.25">
      <c r="A5738" s="274"/>
      <c r="B5738" s="498"/>
      <c r="C5738" s="287"/>
      <c r="D5738" s="288"/>
      <c r="E5738" s="288"/>
    </row>
    <row r="5739" spans="1:5" x14ac:dyDescent="0.25">
      <c r="A5739" s="274"/>
      <c r="B5739" s="498"/>
      <c r="C5739" s="287"/>
      <c r="D5739" s="288"/>
      <c r="E5739" s="288"/>
    </row>
    <row r="5740" spans="1:5" x14ac:dyDescent="0.25">
      <c r="A5740" s="274"/>
      <c r="B5740" s="498"/>
      <c r="C5740" s="287"/>
      <c r="D5740" s="288"/>
      <c r="E5740" s="288"/>
    </row>
    <row r="5741" spans="1:5" x14ac:dyDescent="0.25">
      <c r="A5741" s="274"/>
      <c r="B5741" s="498"/>
      <c r="C5741" s="287"/>
      <c r="D5741" s="288"/>
      <c r="E5741" s="288"/>
    </row>
    <row r="5742" spans="1:5" x14ac:dyDescent="0.25">
      <c r="A5742" s="274"/>
      <c r="B5742" s="498"/>
      <c r="C5742" s="287"/>
      <c r="D5742" s="288"/>
      <c r="E5742" s="288"/>
    </row>
    <row r="5743" spans="1:5" x14ac:dyDescent="0.25">
      <c r="A5743" s="274"/>
      <c r="B5743" s="498"/>
      <c r="C5743" s="287"/>
      <c r="D5743" s="288"/>
      <c r="E5743" s="288"/>
    </row>
    <row r="5744" spans="1:5" x14ac:dyDescent="0.25">
      <c r="A5744" s="274"/>
      <c r="B5744" s="498"/>
      <c r="C5744" s="287"/>
      <c r="D5744" s="288"/>
      <c r="E5744" s="288"/>
    </row>
    <row r="5745" spans="1:5" x14ac:dyDescent="0.25">
      <c r="A5745" s="274"/>
      <c r="B5745" s="498"/>
      <c r="C5745" s="287"/>
      <c r="D5745" s="288"/>
      <c r="E5745" s="288"/>
    </row>
    <row r="5746" spans="1:5" x14ac:dyDescent="0.25">
      <c r="A5746" s="274"/>
      <c r="B5746" s="498"/>
      <c r="C5746" s="287"/>
      <c r="D5746" s="288"/>
      <c r="E5746" s="288"/>
    </row>
    <row r="5747" spans="1:5" x14ac:dyDescent="0.25">
      <c r="A5747" s="274"/>
      <c r="B5747" s="498"/>
      <c r="C5747" s="287"/>
      <c r="D5747" s="288"/>
      <c r="E5747" s="288"/>
    </row>
    <row r="5748" spans="1:5" x14ac:dyDescent="0.25">
      <c r="A5748" s="274"/>
      <c r="B5748" s="498"/>
      <c r="C5748" s="287"/>
      <c r="D5748" s="288"/>
      <c r="E5748" s="288"/>
    </row>
    <row r="5749" spans="1:5" x14ac:dyDescent="0.25">
      <c r="A5749" s="274"/>
      <c r="B5749" s="498"/>
      <c r="C5749" s="287"/>
      <c r="D5749" s="288"/>
      <c r="E5749" s="288"/>
    </row>
    <row r="5750" spans="1:5" x14ac:dyDescent="0.25">
      <c r="A5750" s="274"/>
      <c r="B5750" s="498"/>
      <c r="C5750" s="287"/>
      <c r="D5750" s="288"/>
      <c r="E5750" s="288"/>
    </row>
    <row r="5751" spans="1:5" x14ac:dyDescent="0.25">
      <c r="A5751" s="274"/>
      <c r="B5751" s="498"/>
      <c r="C5751" s="287"/>
      <c r="D5751" s="288"/>
      <c r="E5751" s="288"/>
    </row>
    <row r="5752" spans="1:5" x14ac:dyDescent="0.25">
      <c r="A5752" s="274"/>
      <c r="B5752" s="498"/>
      <c r="C5752" s="287"/>
      <c r="D5752" s="288"/>
      <c r="E5752" s="288"/>
    </row>
    <row r="5753" spans="1:5" x14ac:dyDescent="0.25">
      <c r="A5753" s="274"/>
      <c r="B5753" s="498"/>
      <c r="C5753" s="287"/>
      <c r="D5753" s="288"/>
      <c r="E5753" s="288"/>
    </row>
    <row r="5754" spans="1:5" x14ac:dyDescent="0.25">
      <c r="A5754" s="274"/>
      <c r="B5754" s="498"/>
      <c r="C5754" s="287"/>
      <c r="D5754" s="288"/>
      <c r="E5754" s="288"/>
    </row>
    <row r="5755" spans="1:5" x14ac:dyDescent="0.25">
      <c r="A5755" s="274"/>
      <c r="B5755" s="498"/>
      <c r="C5755" s="287"/>
      <c r="D5755" s="288"/>
      <c r="E5755" s="288"/>
    </row>
    <row r="5756" spans="1:5" x14ac:dyDescent="0.25">
      <c r="A5756" s="274"/>
      <c r="B5756" s="498"/>
      <c r="C5756" s="287"/>
      <c r="D5756" s="288"/>
      <c r="E5756" s="288"/>
    </row>
    <row r="5757" spans="1:5" x14ac:dyDescent="0.25">
      <c r="A5757" s="274"/>
      <c r="B5757" s="498"/>
      <c r="C5757" s="287"/>
      <c r="D5757" s="288"/>
      <c r="E5757" s="288"/>
    </row>
    <row r="5758" spans="1:5" x14ac:dyDescent="0.25">
      <c r="A5758" s="274"/>
      <c r="B5758" s="498"/>
      <c r="C5758" s="287"/>
      <c r="D5758" s="288"/>
      <c r="E5758" s="288"/>
    </row>
    <row r="5759" spans="1:5" x14ac:dyDescent="0.25">
      <c r="A5759" s="274"/>
      <c r="B5759" s="498"/>
      <c r="C5759" s="287"/>
      <c r="D5759" s="288"/>
      <c r="E5759" s="288"/>
    </row>
    <row r="5760" spans="1:5" x14ac:dyDescent="0.25">
      <c r="A5760" s="274"/>
      <c r="B5760" s="498"/>
      <c r="C5760" s="287"/>
      <c r="D5760" s="288"/>
      <c r="E5760" s="288"/>
    </row>
    <row r="5761" spans="1:5" x14ac:dyDescent="0.25">
      <c r="A5761" s="274"/>
      <c r="B5761" s="498"/>
      <c r="C5761" s="287"/>
      <c r="D5761" s="288"/>
      <c r="E5761" s="288"/>
    </row>
    <row r="5762" spans="1:5" x14ac:dyDescent="0.25">
      <c r="A5762" s="274"/>
      <c r="B5762" s="498"/>
      <c r="C5762" s="287"/>
      <c r="D5762" s="288"/>
      <c r="E5762" s="288"/>
    </row>
    <row r="5763" spans="1:5" x14ac:dyDescent="0.25">
      <c r="A5763" s="274"/>
      <c r="B5763" s="498"/>
      <c r="C5763" s="287"/>
      <c r="D5763" s="288"/>
      <c r="E5763" s="288"/>
    </row>
    <row r="5764" spans="1:5" x14ac:dyDescent="0.25">
      <c r="A5764" s="274"/>
      <c r="B5764" s="498"/>
      <c r="C5764" s="287"/>
      <c r="D5764" s="288"/>
      <c r="E5764" s="288"/>
    </row>
    <row r="5765" spans="1:5" x14ac:dyDescent="0.25">
      <c r="A5765" s="274"/>
      <c r="B5765" s="498"/>
      <c r="C5765" s="287"/>
      <c r="D5765" s="288"/>
      <c r="E5765" s="288"/>
    </row>
    <row r="5766" spans="1:5" x14ac:dyDescent="0.25">
      <c r="A5766" s="274"/>
      <c r="B5766" s="498"/>
      <c r="C5766" s="287"/>
      <c r="D5766" s="288"/>
      <c r="E5766" s="288"/>
    </row>
    <row r="5767" spans="1:5" x14ac:dyDescent="0.25">
      <c r="A5767" s="274"/>
      <c r="B5767" s="498"/>
      <c r="C5767" s="287"/>
      <c r="D5767" s="288"/>
      <c r="E5767" s="288"/>
    </row>
    <row r="5768" spans="1:5" x14ac:dyDescent="0.25">
      <c r="A5768" s="274"/>
      <c r="B5768" s="498"/>
      <c r="C5768" s="287"/>
      <c r="D5768" s="288"/>
      <c r="E5768" s="288"/>
    </row>
    <row r="5769" spans="1:5" x14ac:dyDescent="0.25">
      <c r="A5769" s="274"/>
      <c r="B5769" s="498"/>
      <c r="C5769" s="287"/>
      <c r="D5769" s="288"/>
      <c r="E5769" s="288"/>
    </row>
    <row r="5770" spans="1:5" x14ac:dyDescent="0.25">
      <c r="A5770" s="274"/>
      <c r="B5770" s="498"/>
      <c r="C5770" s="287"/>
      <c r="D5770" s="288"/>
      <c r="E5770" s="288"/>
    </row>
    <row r="5771" spans="1:5" x14ac:dyDescent="0.25">
      <c r="A5771" s="274"/>
      <c r="B5771" s="498"/>
      <c r="C5771" s="287"/>
      <c r="D5771" s="288"/>
      <c r="E5771" s="288"/>
    </row>
    <row r="5772" spans="1:5" x14ac:dyDescent="0.25">
      <c r="A5772" s="274"/>
      <c r="B5772" s="498"/>
      <c r="C5772" s="287"/>
      <c r="D5772" s="288"/>
      <c r="E5772" s="288"/>
    </row>
    <row r="5773" spans="1:5" x14ac:dyDescent="0.25">
      <c r="A5773" s="274"/>
      <c r="B5773" s="498"/>
      <c r="C5773" s="287"/>
      <c r="D5773" s="288"/>
      <c r="E5773" s="288"/>
    </row>
    <row r="5774" spans="1:5" x14ac:dyDescent="0.25">
      <c r="A5774" s="274"/>
      <c r="B5774" s="498"/>
      <c r="C5774" s="287"/>
      <c r="D5774" s="288"/>
      <c r="E5774" s="288"/>
    </row>
    <row r="5775" spans="1:5" x14ac:dyDescent="0.25">
      <c r="A5775" s="274"/>
      <c r="B5775" s="498"/>
      <c r="C5775" s="287"/>
      <c r="D5775" s="288"/>
      <c r="E5775" s="288"/>
    </row>
    <row r="5776" spans="1:5" x14ac:dyDescent="0.25">
      <c r="A5776" s="274"/>
      <c r="B5776" s="498"/>
      <c r="C5776" s="287"/>
      <c r="D5776" s="288"/>
      <c r="E5776" s="288"/>
    </row>
    <row r="5777" spans="1:5" x14ac:dyDescent="0.25">
      <c r="A5777" s="274"/>
      <c r="B5777" s="498"/>
      <c r="C5777" s="287"/>
      <c r="D5777" s="288"/>
      <c r="E5777" s="288"/>
    </row>
    <row r="5778" spans="1:5" x14ac:dyDescent="0.25">
      <c r="A5778" s="274"/>
      <c r="B5778" s="498"/>
      <c r="C5778" s="287"/>
      <c r="D5778" s="288"/>
      <c r="E5778" s="288"/>
    </row>
    <row r="5779" spans="1:5" x14ac:dyDescent="0.25">
      <c r="A5779" s="274"/>
      <c r="B5779" s="498"/>
      <c r="C5779" s="287"/>
      <c r="D5779" s="288"/>
      <c r="E5779" s="288"/>
    </row>
    <row r="5780" spans="1:5" x14ac:dyDescent="0.25">
      <c r="A5780" s="274"/>
      <c r="B5780" s="498"/>
      <c r="C5780" s="287"/>
      <c r="D5780" s="288"/>
      <c r="E5780" s="288"/>
    </row>
    <row r="5781" spans="1:5" x14ac:dyDescent="0.25">
      <c r="A5781" s="274"/>
      <c r="B5781" s="498"/>
      <c r="C5781" s="287"/>
      <c r="D5781" s="288"/>
      <c r="E5781" s="288"/>
    </row>
    <row r="5782" spans="1:5" x14ac:dyDescent="0.25">
      <c r="A5782" s="274"/>
      <c r="B5782" s="498"/>
      <c r="C5782" s="287"/>
      <c r="D5782" s="288"/>
      <c r="E5782" s="288"/>
    </row>
    <row r="5783" spans="1:5" x14ac:dyDescent="0.25">
      <c r="A5783" s="274"/>
      <c r="B5783" s="498"/>
      <c r="C5783" s="287"/>
      <c r="D5783" s="288"/>
      <c r="E5783" s="288"/>
    </row>
    <row r="5784" spans="1:5" x14ac:dyDescent="0.25">
      <c r="A5784" s="274"/>
      <c r="B5784" s="498"/>
      <c r="C5784" s="287"/>
      <c r="D5784" s="288"/>
      <c r="E5784" s="288"/>
    </row>
    <row r="5785" spans="1:5" x14ac:dyDescent="0.25">
      <c r="A5785" s="274"/>
      <c r="B5785" s="498"/>
      <c r="C5785" s="287"/>
      <c r="D5785" s="288"/>
      <c r="E5785" s="288"/>
    </row>
    <row r="5786" spans="1:5" x14ac:dyDescent="0.25">
      <c r="A5786" s="274"/>
      <c r="B5786" s="498"/>
      <c r="C5786" s="287"/>
      <c r="D5786" s="288"/>
      <c r="E5786" s="288"/>
    </row>
    <row r="5787" spans="1:5" x14ac:dyDescent="0.25">
      <c r="A5787" s="274"/>
      <c r="B5787" s="498"/>
      <c r="C5787" s="287"/>
      <c r="D5787" s="288"/>
      <c r="E5787" s="288"/>
    </row>
    <row r="5788" spans="1:5" x14ac:dyDescent="0.25">
      <c r="A5788" s="274"/>
      <c r="B5788" s="498"/>
      <c r="C5788" s="287"/>
      <c r="D5788" s="288"/>
      <c r="E5788" s="288"/>
    </row>
    <row r="5789" spans="1:5" x14ac:dyDescent="0.25">
      <c r="A5789" s="274"/>
      <c r="B5789" s="498"/>
      <c r="C5789" s="287"/>
      <c r="D5789" s="288"/>
      <c r="E5789" s="288"/>
    </row>
    <row r="5790" spans="1:5" x14ac:dyDescent="0.25">
      <c r="A5790" s="274"/>
      <c r="B5790" s="498"/>
      <c r="C5790" s="287"/>
      <c r="D5790" s="288"/>
      <c r="E5790" s="288"/>
    </row>
    <row r="5791" spans="1:5" x14ac:dyDescent="0.25">
      <c r="A5791" s="274"/>
      <c r="B5791" s="498"/>
      <c r="C5791" s="287"/>
      <c r="D5791" s="288"/>
      <c r="E5791" s="288"/>
    </row>
    <row r="5792" spans="1:5" x14ac:dyDescent="0.25">
      <c r="A5792" s="274"/>
      <c r="B5792" s="498"/>
      <c r="C5792" s="287"/>
      <c r="D5792" s="288"/>
      <c r="E5792" s="288"/>
    </row>
    <row r="5793" spans="1:5" x14ac:dyDescent="0.25">
      <c r="A5793" s="274"/>
      <c r="B5793" s="498"/>
      <c r="C5793" s="287"/>
      <c r="D5793" s="288"/>
      <c r="E5793" s="288"/>
    </row>
    <row r="5794" spans="1:5" x14ac:dyDescent="0.25">
      <c r="A5794" s="274"/>
      <c r="B5794" s="498"/>
      <c r="C5794" s="287"/>
      <c r="D5794" s="288"/>
      <c r="E5794" s="288"/>
    </row>
    <row r="5795" spans="1:5" x14ac:dyDescent="0.25">
      <c r="A5795" s="274"/>
      <c r="B5795" s="498"/>
      <c r="C5795" s="287"/>
      <c r="D5795" s="288"/>
      <c r="E5795" s="288"/>
    </row>
    <row r="5796" spans="1:5" x14ac:dyDescent="0.25">
      <c r="A5796" s="274"/>
      <c r="B5796" s="498"/>
      <c r="C5796" s="287"/>
      <c r="D5796" s="288"/>
      <c r="E5796" s="288"/>
    </row>
    <row r="5797" spans="1:5" x14ac:dyDescent="0.25">
      <c r="A5797" s="274"/>
      <c r="B5797" s="498"/>
      <c r="C5797" s="287"/>
      <c r="D5797" s="288"/>
      <c r="E5797" s="288"/>
    </row>
    <row r="5798" spans="1:5" x14ac:dyDescent="0.25">
      <c r="A5798" s="274"/>
      <c r="B5798" s="498"/>
      <c r="C5798" s="287"/>
      <c r="D5798" s="288"/>
      <c r="E5798" s="288"/>
    </row>
    <row r="5799" spans="1:5" x14ac:dyDescent="0.25">
      <c r="A5799" s="274"/>
      <c r="B5799" s="498"/>
      <c r="C5799" s="287"/>
      <c r="D5799" s="288"/>
      <c r="E5799" s="288"/>
    </row>
    <row r="5800" spans="1:5" x14ac:dyDescent="0.25">
      <c r="A5800" s="274"/>
      <c r="B5800" s="498"/>
      <c r="C5800" s="287"/>
      <c r="D5800" s="288"/>
      <c r="E5800" s="288"/>
    </row>
    <row r="5801" spans="1:5" x14ac:dyDescent="0.25">
      <c r="A5801" s="274"/>
      <c r="B5801" s="498"/>
      <c r="C5801" s="287"/>
      <c r="D5801" s="288"/>
      <c r="E5801" s="288"/>
    </row>
    <row r="5802" spans="1:5" x14ac:dyDescent="0.25">
      <c r="A5802" s="274"/>
      <c r="B5802" s="498"/>
      <c r="C5802" s="287"/>
      <c r="D5802" s="288"/>
      <c r="E5802" s="288"/>
    </row>
    <row r="5803" spans="1:5" x14ac:dyDescent="0.25">
      <c r="A5803" s="274"/>
      <c r="B5803" s="498"/>
      <c r="C5803" s="287"/>
      <c r="D5803" s="288"/>
      <c r="E5803" s="288"/>
    </row>
    <row r="5804" spans="1:5" x14ac:dyDescent="0.25">
      <c r="A5804" s="274"/>
      <c r="B5804" s="498"/>
      <c r="C5804" s="287"/>
      <c r="D5804" s="288"/>
      <c r="E5804" s="288"/>
    </row>
    <row r="5805" spans="1:5" x14ac:dyDescent="0.25">
      <c r="A5805" s="274"/>
      <c r="B5805" s="498"/>
      <c r="C5805" s="287"/>
      <c r="D5805" s="288"/>
      <c r="E5805" s="288"/>
    </row>
    <row r="5806" spans="1:5" x14ac:dyDescent="0.25">
      <c r="A5806" s="274"/>
      <c r="B5806" s="498"/>
      <c r="C5806" s="287"/>
      <c r="D5806" s="288"/>
      <c r="E5806" s="288"/>
    </row>
    <row r="5807" spans="1:5" x14ac:dyDescent="0.25">
      <c r="A5807" s="274"/>
      <c r="B5807" s="498"/>
      <c r="C5807" s="287"/>
      <c r="D5807" s="288"/>
      <c r="E5807" s="288"/>
    </row>
    <row r="5808" spans="1:5" x14ac:dyDescent="0.25">
      <c r="A5808" s="274"/>
      <c r="B5808" s="498"/>
      <c r="C5808" s="287"/>
      <c r="D5808" s="288"/>
      <c r="E5808" s="288"/>
    </row>
    <row r="5809" spans="1:5" x14ac:dyDescent="0.25">
      <c r="A5809" s="274"/>
      <c r="B5809" s="498"/>
      <c r="C5809" s="287"/>
      <c r="D5809" s="288"/>
      <c r="E5809" s="288"/>
    </row>
    <row r="5810" spans="1:5" x14ac:dyDescent="0.25">
      <c r="A5810" s="274"/>
      <c r="B5810" s="498"/>
      <c r="C5810" s="287"/>
      <c r="D5810" s="288"/>
      <c r="E5810" s="288"/>
    </row>
    <row r="5811" spans="1:5" x14ac:dyDescent="0.25">
      <c r="A5811" s="274"/>
      <c r="B5811" s="498"/>
      <c r="C5811" s="287"/>
      <c r="D5811" s="288"/>
      <c r="E5811" s="288"/>
    </row>
    <row r="5812" spans="1:5" x14ac:dyDescent="0.25">
      <c r="A5812" s="274"/>
      <c r="B5812" s="498"/>
      <c r="C5812" s="287"/>
      <c r="D5812" s="288"/>
      <c r="E5812" s="288"/>
    </row>
    <row r="5813" spans="1:5" x14ac:dyDescent="0.25">
      <c r="A5813" s="274"/>
      <c r="B5813" s="498"/>
      <c r="C5813" s="287"/>
      <c r="D5813" s="288"/>
      <c r="E5813" s="288"/>
    </row>
    <row r="5814" spans="1:5" x14ac:dyDescent="0.25">
      <c r="A5814" s="274"/>
      <c r="B5814" s="498"/>
      <c r="C5814" s="287"/>
      <c r="D5814" s="288"/>
      <c r="E5814" s="288"/>
    </row>
    <row r="5815" spans="1:5" x14ac:dyDescent="0.25">
      <c r="A5815" s="274"/>
      <c r="B5815" s="498"/>
      <c r="C5815" s="287"/>
      <c r="D5815" s="288"/>
      <c r="E5815" s="288"/>
    </row>
    <row r="5816" spans="1:5" x14ac:dyDescent="0.25">
      <c r="A5816" s="274"/>
      <c r="B5816" s="498"/>
      <c r="C5816" s="287"/>
      <c r="D5816" s="288"/>
      <c r="E5816" s="288"/>
    </row>
    <row r="5817" spans="1:5" x14ac:dyDescent="0.25">
      <c r="A5817" s="274"/>
      <c r="B5817" s="498"/>
      <c r="C5817" s="287"/>
      <c r="D5817" s="288"/>
      <c r="E5817" s="288"/>
    </row>
    <row r="5818" spans="1:5" x14ac:dyDescent="0.25">
      <c r="A5818" s="274"/>
      <c r="B5818" s="498"/>
      <c r="C5818" s="287"/>
      <c r="D5818" s="288"/>
      <c r="E5818" s="288"/>
    </row>
    <row r="5819" spans="1:5" x14ac:dyDescent="0.25">
      <c r="A5819" s="274"/>
      <c r="B5819" s="498"/>
      <c r="C5819" s="287"/>
      <c r="D5819" s="288"/>
      <c r="E5819" s="288"/>
    </row>
    <row r="5820" spans="1:5" x14ac:dyDescent="0.25">
      <c r="A5820" s="274"/>
      <c r="B5820" s="498"/>
      <c r="C5820" s="287"/>
      <c r="D5820" s="288"/>
      <c r="E5820" s="288"/>
    </row>
    <row r="5821" spans="1:5" x14ac:dyDescent="0.25">
      <c r="A5821" s="274"/>
      <c r="B5821" s="498"/>
      <c r="C5821" s="287"/>
      <c r="D5821" s="288"/>
      <c r="E5821" s="288"/>
    </row>
    <row r="5822" spans="1:5" x14ac:dyDescent="0.25">
      <c r="A5822" s="274"/>
      <c r="B5822" s="498"/>
      <c r="C5822" s="287"/>
      <c r="D5822" s="288"/>
      <c r="E5822" s="288"/>
    </row>
    <row r="5823" spans="1:5" x14ac:dyDescent="0.25">
      <c r="A5823" s="274"/>
      <c r="B5823" s="498"/>
      <c r="C5823" s="287"/>
      <c r="D5823" s="288"/>
      <c r="E5823" s="288"/>
    </row>
    <row r="5824" spans="1:5" x14ac:dyDescent="0.25">
      <c r="A5824" s="274"/>
      <c r="B5824" s="498"/>
      <c r="C5824" s="287"/>
      <c r="D5824" s="288"/>
      <c r="E5824" s="288"/>
    </row>
    <row r="5825" spans="1:5" x14ac:dyDescent="0.25">
      <c r="A5825" s="274"/>
      <c r="B5825" s="498"/>
      <c r="C5825" s="287"/>
      <c r="D5825" s="288"/>
      <c r="E5825" s="288"/>
    </row>
    <row r="5826" spans="1:5" x14ac:dyDescent="0.25">
      <c r="A5826" s="274"/>
      <c r="B5826" s="498"/>
      <c r="C5826" s="287"/>
      <c r="D5826" s="288"/>
      <c r="E5826" s="288"/>
    </row>
    <row r="5827" spans="1:5" x14ac:dyDescent="0.25">
      <c r="A5827" s="274"/>
      <c r="B5827" s="498"/>
      <c r="C5827" s="287"/>
      <c r="D5827" s="288"/>
      <c r="E5827" s="288"/>
    </row>
    <row r="5828" spans="1:5" x14ac:dyDescent="0.25">
      <c r="A5828" s="274"/>
      <c r="B5828" s="498"/>
      <c r="C5828" s="287"/>
      <c r="D5828" s="288"/>
      <c r="E5828" s="288"/>
    </row>
    <row r="5829" spans="1:5" x14ac:dyDescent="0.25">
      <c r="A5829" s="274"/>
      <c r="B5829" s="498"/>
      <c r="C5829" s="287"/>
      <c r="D5829" s="288"/>
      <c r="E5829" s="288"/>
    </row>
    <row r="5830" spans="1:5" x14ac:dyDescent="0.25">
      <c r="A5830" s="274"/>
      <c r="B5830" s="498"/>
      <c r="C5830" s="287"/>
      <c r="D5830" s="288"/>
      <c r="E5830" s="288"/>
    </row>
    <row r="5831" spans="1:5" x14ac:dyDescent="0.25">
      <c r="A5831" s="274"/>
      <c r="B5831" s="498"/>
      <c r="C5831" s="287"/>
      <c r="D5831" s="288"/>
      <c r="E5831" s="288"/>
    </row>
    <row r="5832" spans="1:5" x14ac:dyDescent="0.25">
      <c r="A5832" s="274"/>
      <c r="B5832" s="498"/>
      <c r="C5832" s="287"/>
      <c r="D5832" s="288"/>
      <c r="E5832" s="288"/>
    </row>
    <row r="5833" spans="1:5" x14ac:dyDescent="0.25">
      <c r="A5833" s="274"/>
      <c r="B5833" s="498"/>
      <c r="C5833" s="287"/>
      <c r="D5833" s="288"/>
      <c r="E5833" s="288"/>
    </row>
    <row r="5834" spans="1:5" x14ac:dyDescent="0.25">
      <c r="A5834" s="274"/>
      <c r="B5834" s="498"/>
      <c r="C5834" s="287"/>
      <c r="D5834" s="288"/>
      <c r="E5834" s="288"/>
    </row>
    <row r="5835" spans="1:5" x14ac:dyDescent="0.25">
      <c r="A5835" s="274"/>
      <c r="B5835" s="498"/>
      <c r="C5835" s="287"/>
      <c r="D5835" s="288"/>
      <c r="E5835" s="288"/>
    </row>
    <row r="5836" spans="1:5" x14ac:dyDescent="0.25">
      <c r="A5836" s="274"/>
      <c r="B5836" s="498"/>
      <c r="C5836" s="287"/>
      <c r="D5836" s="288"/>
      <c r="E5836" s="288"/>
    </row>
    <row r="5837" spans="1:5" x14ac:dyDescent="0.25">
      <c r="A5837" s="274"/>
      <c r="B5837" s="498"/>
      <c r="C5837" s="287"/>
      <c r="D5837" s="288"/>
      <c r="E5837" s="288"/>
    </row>
    <row r="5838" spans="1:5" x14ac:dyDescent="0.25">
      <c r="A5838" s="274"/>
      <c r="B5838" s="498"/>
      <c r="C5838" s="287"/>
      <c r="D5838" s="288"/>
      <c r="E5838" s="288"/>
    </row>
    <row r="5839" spans="1:5" x14ac:dyDescent="0.25">
      <c r="A5839" s="274"/>
      <c r="B5839" s="498"/>
      <c r="C5839" s="287"/>
      <c r="D5839" s="288"/>
      <c r="E5839" s="288"/>
    </row>
    <row r="5840" spans="1:5" x14ac:dyDescent="0.25">
      <c r="A5840" s="274"/>
      <c r="B5840" s="498"/>
      <c r="C5840" s="287"/>
      <c r="D5840" s="288"/>
      <c r="E5840" s="288"/>
    </row>
    <row r="5841" spans="1:5" x14ac:dyDescent="0.25">
      <c r="A5841" s="274"/>
      <c r="B5841" s="498"/>
      <c r="C5841" s="287"/>
      <c r="D5841" s="288"/>
      <c r="E5841" s="288"/>
    </row>
    <row r="5842" spans="1:5" x14ac:dyDescent="0.25">
      <c r="A5842" s="274"/>
      <c r="B5842" s="498"/>
      <c r="C5842" s="287"/>
      <c r="D5842" s="288"/>
      <c r="E5842" s="288"/>
    </row>
    <row r="5843" spans="1:5" x14ac:dyDescent="0.25">
      <c r="A5843" s="274"/>
      <c r="B5843" s="498"/>
      <c r="C5843" s="287"/>
      <c r="D5843" s="288"/>
      <c r="E5843" s="288"/>
    </row>
    <row r="5844" spans="1:5" x14ac:dyDescent="0.25">
      <c r="A5844" s="274"/>
      <c r="B5844" s="498"/>
      <c r="C5844" s="287"/>
      <c r="D5844" s="288"/>
      <c r="E5844" s="288"/>
    </row>
    <row r="5845" spans="1:5" x14ac:dyDescent="0.25">
      <c r="A5845" s="274"/>
      <c r="B5845" s="498"/>
      <c r="C5845" s="287"/>
      <c r="D5845" s="288"/>
      <c r="E5845" s="288"/>
    </row>
    <row r="5846" spans="1:5" x14ac:dyDescent="0.25">
      <c r="A5846" s="274"/>
      <c r="B5846" s="498"/>
      <c r="C5846" s="287"/>
      <c r="D5846" s="288"/>
      <c r="E5846" s="288"/>
    </row>
    <row r="5847" spans="1:5" x14ac:dyDescent="0.25">
      <c r="A5847" s="274"/>
      <c r="B5847" s="498"/>
      <c r="C5847" s="287"/>
      <c r="D5847" s="288"/>
      <c r="E5847" s="288"/>
    </row>
    <row r="5848" spans="1:5" x14ac:dyDescent="0.25">
      <c r="A5848" s="274"/>
      <c r="B5848" s="498"/>
      <c r="C5848" s="287"/>
      <c r="D5848" s="288"/>
      <c r="E5848" s="288"/>
    </row>
    <row r="5849" spans="1:5" x14ac:dyDescent="0.25">
      <c r="A5849" s="274"/>
      <c r="B5849" s="498"/>
      <c r="C5849" s="287"/>
      <c r="D5849" s="288"/>
      <c r="E5849" s="288"/>
    </row>
    <row r="5850" spans="1:5" x14ac:dyDescent="0.25">
      <c r="A5850" s="274"/>
      <c r="B5850" s="498"/>
      <c r="C5850" s="287"/>
      <c r="D5850" s="288"/>
      <c r="E5850" s="288"/>
    </row>
    <row r="5851" spans="1:5" x14ac:dyDescent="0.25">
      <c r="A5851" s="274"/>
      <c r="B5851" s="498"/>
      <c r="C5851" s="287"/>
      <c r="D5851" s="288"/>
      <c r="E5851" s="288"/>
    </row>
    <row r="5852" spans="1:5" x14ac:dyDescent="0.25">
      <c r="A5852" s="274"/>
      <c r="B5852" s="498"/>
      <c r="C5852" s="287"/>
      <c r="D5852" s="288"/>
      <c r="E5852" s="288"/>
    </row>
    <row r="5853" spans="1:5" x14ac:dyDescent="0.25">
      <c r="A5853" s="274"/>
      <c r="B5853" s="498"/>
      <c r="C5853" s="287"/>
      <c r="D5853" s="288"/>
      <c r="E5853" s="288"/>
    </row>
    <row r="5854" spans="1:5" x14ac:dyDescent="0.25">
      <c r="A5854" s="274"/>
      <c r="B5854" s="498"/>
      <c r="C5854" s="287"/>
      <c r="D5854" s="288"/>
      <c r="E5854" s="288"/>
    </row>
    <row r="5855" spans="1:5" x14ac:dyDescent="0.25">
      <c r="A5855" s="274"/>
      <c r="B5855" s="498"/>
      <c r="C5855" s="287"/>
      <c r="D5855" s="288"/>
      <c r="E5855" s="288"/>
    </row>
    <row r="5856" spans="1:5" x14ac:dyDescent="0.25">
      <c r="A5856" s="274"/>
      <c r="B5856" s="498"/>
      <c r="C5856" s="287"/>
      <c r="D5856" s="288"/>
      <c r="E5856" s="288"/>
    </row>
    <row r="5857" spans="1:5" x14ac:dyDescent="0.25">
      <c r="A5857" s="274"/>
      <c r="B5857" s="498"/>
      <c r="C5857" s="287"/>
      <c r="D5857" s="288"/>
      <c r="E5857" s="288"/>
    </row>
    <row r="5858" spans="1:5" x14ac:dyDescent="0.25">
      <c r="A5858" s="274"/>
      <c r="B5858" s="498"/>
      <c r="C5858" s="287"/>
      <c r="D5858" s="288"/>
      <c r="E5858" s="288"/>
    </row>
    <row r="5859" spans="1:5" x14ac:dyDescent="0.25">
      <c r="A5859" s="274"/>
      <c r="B5859" s="498"/>
      <c r="C5859" s="287"/>
      <c r="D5859" s="288"/>
      <c r="E5859" s="288"/>
    </row>
    <row r="5860" spans="1:5" x14ac:dyDescent="0.25">
      <c r="A5860" s="274"/>
      <c r="B5860" s="498"/>
      <c r="C5860" s="287"/>
      <c r="D5860" s="288"/>
      <c r="E5860" s="288"/>
    </row>
    <row r="5861" spans="1:5" x14ac:dyDescent="0.25">
      <c r="A5861" s="274"/>
      <c r="B5861" s="498"/>
      <c r="C5861" s="287"/>
      <c r="D5861" s="288"/>
      <c r="E5861" s="288"/>
    </row>
    <row r="5862" spans="1:5" x14ac:dyDescent="0.25">
      <c r="A5862" s="274"/>
      <c r="B5862" s="498"/>
      <c r="C5862" s="287"/>
      <c r="D5862" s="288"/>
      <c r="E5862" s="288"/>
    </row>
    <row r="5863" spans="1:5" x14ac:dyDescent="0.25">
      <c r="A5863" s="274"/>
      <c r="B5863" s="498"/>
      <c r="C5863" s="287"/>
      <c r="D5863" s="288"/>
      <c r="E5863" s="288"/>
    </row>
    <row r="5864" spans="1:5" x14ac:dyDescent="0.25">
      <c r="A5864" s="274"/>
      <c r="B5864" s="498"/>
      <c r="C5864" s="287"/>
      <c r="D5864" s="288"/>
      <c r="E5864" s="288"/>
    </row>
    <row r="5865" spans="1:5" x14ac:dyDescent="0.25">
      <c r="A5865" s="274"/>
      <c r="B5865" s="498"/>
      <c r="C5865" s="287"/>
      <c r="D5865" s="288"/>
      <c r="E5865" s="288"/>
    </row>
    <row r="5866" spans="1:5" x14ac:dyDescent="0.25">
      <c r="A5866" s="274"/>
      <c r="B5866" s="498"/>
      <c r="C5866" s="287"/>
      <c r="D5866" s="288"/>
      <c r="E5866" s="288"/>
    </row>
    <row r="5867" spans="1:5" x14ac:dyDescent="0.25">
      <c r="A5867" s="274"/>
      <c r="B5867" s="498"/>
      <c r="C5867" s="287"/>
      <c r="D5867" s="288"/>
      <c r="E5867" s="288"/>
    </row>
    <row r="5868" spans="1:5" x14ac:dyDescent="0.25">
      <c r="A5868" s="274"/>
      <c r="B5868" s="498"/>
      <c r="C5868" s="287"/>
      <c r="D5868" s="288"/>
      <c r="E5868" s="288"/>
    </row>
    <row r="5869" spans="1:5" x14ac:dyDescent="0.25">
      <c r="A5869" s="274"/>
      <c r="B5869" s="498"/>
      <c r="C5869" s="287"/>
      <c r="D5869" s="288"/>
      <c r="E5869" s="288"/>
    </row>
    <row r="5870" spans="1:5" x14ac:dyDescent="0.25">
      <c r="A5870" s="274"/>
      <c r="B5870" s="498"/>
      <c r="C5870" s="287"/>
      <c r="D5870" s="288"/>
      <c r="E5870" s="288"/>
    </row>
    <row r="5871" spans="1:5" x14ac:dyDescent="0.25">
      <c r="A5871" s="274"/>
      <c r="B5871" s="498"/>
      <c r="C5871" s="287"/>
      <c r="D5871" s="288"/>
      <c r="E5871" s="288"/>
    </row>
    <row r="5872" spans="1:5" x14ac:dyDescent="0.25">
      <c r="A5872" s="274"/>
      <c r="B5872" s="498"/>
      <c r="C5872" s="287"/>
      <c r="D5872" s="288"/>
      <c r="E5872" s="288"/>
    </row>
    <row r="5873" spans="1:5" x14ac:dyDescent="0.25">
      <c r="A5873" s="274"/>
      <c r="B5873" s="498"/>
      <c r="C5873" s="287"/>
      <c r="D5873" s="288"/>
      <c r="E5873" s="288"/>
    </row>
    <row r="5874" spans="1:5" x14ac:dyDescent="0.25">
      <c r="A5874" s="274"/>
      <c r="B5874" s="498"/>
      <c r="C5874" s="287"/>
      <c r="D5874" s="288"/>
      <c r="E5874" s="288"/>
    </row>
    <row r="5875" spans="1:5" x14ac:dyDescent="0.25">
      <c r="A5875" s="274"/>
      <c r="B5875" s="498"/>
      <c r="C5875" s="287"/>
      <c r="D5875" s="288"/>
      <c r="E5875" s="288"/>
    </row>
    <row r="5876" spans="1:5" x14ac:dyDescent="0.25">
      <c r="A5876" s="274"/>
      <c r="B5876" s="498"/>
      <c r="C5876" s="287"/>
      <c r="D5876" s="288"/>
      <c r="E5876" s="288"/>
    </row>
    <row r="5877" spans="1:5" x14ac:dyDescent="0.25">
      <c r="A5877" s="274"/>
      <c r="B5877" s="498"/>
      <c r="C5877" s="287"/>
      <c r="D5877" s="288"/>
      <c r="E5877" s="288"/>
    </row>
    <row r="5878" spans="1:5" x14ac:dyDescent="0.25">
      <c r="A5878" s="274"/>
      <c r="B5878" s="498"/>
      <c r="C5878" s="287"/>
      <c r="D5878" s="288"/>
      <c r="E5878" s="288"/>
    </row>
    <row r="5879" spans="1:5" x14ac:dyDescent="0.25">
      <c r="A5879" s="274"/>
      <c r="B5879" s="498"/>
      <c r="C5879" s="287"/>
      <c r="D5879" s="288"/>
      <c r="E5879" s="288"/>
    </row>
    <row r="5880" spans="1:5" x14ac:dyDescent="0.25">
      <c r="A5880" s="274"/>
      <c r="B5880" s="498"/>
      <c r="C5880" s="287"/>
      <c r="D5880" s="288"/>
      <c r="E5880" s="288"/>
    </row>
    <row r="5881" spans="1:5" x14ac:dyDescent="0.25">
      <c r="A5881" s="274"/>
      <c r="B5881" s="498"/>
      <c r="C5881" s="287"/>
      <c r="D5881" s="288"/>
      <c r="E5881" s="288"/>
    </row>
    <row r="5882" spans="1:5" x14ac:dyDescent="0.25">
      <c r="A5882" s="274"/>
      <c r="B5882" s="498"/>
      <c r="C5882" s="287"/>
      <c r="D5882" s="288"/>
      <c r="E5882" s="288"/>
    </row>
    <row r="5883" spans="1:5" x14ac:dyDescent="0.25">
      <c r="A5883" s="274"/>
      <c r="B5883" s="498"/>
      <c r="C5883" s="287"/>
      <c r="D5883" s="288"/>
      <c r="E5883" s="288"/>
    </row>
    <row r="5884" spans="1:5" x14ac:dyDescent="0.25">
      <c r="A5884" s="274"/>
      <c r="B5884" s="498"/>
      <c r="C5884" s="287"/>
      <c r="D5884" s="288"/>
      <c r="E5884" s="288"/>
    </row>
    <row r="5885" spans="1:5" x14ac:dyDescent="0.25">
      <c r="A5885" s="274"/>
      <c r="B5885" s="498"/>
      <c r="C5885" s="287"/>
      <c r="D5885" s="288"/>
      <c r="E5885" s="288"/>
    </row>
    <row r="5886" spans="1:5" x14ac:dyDescent="0.25">
      <c r="A5886" s="274"/>
      <c r="B5886" s="498"/>
      <c r="C5886" s="287"/>
      <c r="D5886" s="288"/>
      <c r="E5886" s="288"/>
    </row>
    <row r="5887" spans="1:5" x14ac:dyDescent="0.25">
      <c r="A5887" s="274"/>
      <c r="B5887" s="498"/>
      <c r="C5887" s="287"/>
      <c r="D5887" s="288"/>
      <c r="E5887" s="288"/>
    </row>
    <row r="5888" spans="1:5" x14ac:dyDescent="0.25">
      <c r="A5888" s="274"/>
      <c r="B5888" s="498"/>
      <c r="C5888" s="287"/>
      <c r="D5888" s="288"/>
      <c r="E5888" s="288"/>
    </row>
    <row r="5889" spans="1:5" x14ac:dyDescent="0.25">
      <c r="A5889" s="274"/>
      <c r="B5889" s="498"/>
      <c r="C5889" s="287"/>
      <c r="D5889" s="288"/>
      <c r="E5889" s="288"/>
    </row>
    <row r="5890" spans="1:5" x14ac:dyDescent="0.25">
      <c r="A5890" s="274"/>
      <c r="B5890" s="498"/>
      <c r="C5890" s="287"/>
      <c r="D5890" s="288"/>
      <c r="E5890" s="288"/>
    </row>
    <row r="5891" spans="1:5" x14ac:dyDescent="0.25">
      <c r="A5891" s="274"/>
      <c r="B5891" s="498"/>
      <c r="C5891" s="287"/>
      <c r="D5891" s="288"/>
      <c r="E5891" s="288"/>
    </row>
    <row r="5892" spans="1:5" x14ac:dyDescent="0.25">
      <c r="A5892" s="274"/>
      <c r="B5892" s="498"/>
      <c r="C5892" s="287"/>
      <c r="D5892" s="288"/>
      <c r="E5892" s="288"/>
    </row>
    <row r="5893" spans="1:5" x14ac:dyDescent="0.25">
      <c r="A5893" s="274"/>
      <c r="B5893" s="498"/>
      <c r="C5893" s="287"/>
      <c r="D5893" s="288"/>
      <c r="E5893" s="288"/>
    </row>
    <row r="5894" spans="1:5" x14ac:dyDescent="0.25">
      <c r="A5894" s="274"/>
      <c r="B5894" s="498"/>
      <c r="C5894" s="287"/>
      <c r="D5894" s="288"/>
      <c r="E5894" s="288"/>
    </row>
    <row r="5895" spans="1:5" x14ac:dyDescent="0.25">
      <c r="A5895" s="274"/>
      <c r="B5895" s="498"/>
      <c r="C5895" s="287"/>
      <c r="D5895" s="288"/>
      <c r="E5895" s="288"/>
    </row>
    <row r="5896" spans="1:5" x14ac:dyDescent="0.25">
      <c r="A5896" s="274"/>
      <c r="B5896" s="498"/>
      <c r="C5896" s="287"/>
      <c r="D5896" s="288"/>
      <c r="E5896" s="288"/>
    </row>
    <row r="5897" spans="1:5" x14ac:dyDescent="0.25">
      <c r="A5897" s="274"/>
      <c r="B5897" s="498"/>
      <c r="C5897" s="287"/>
      <c r="D5897" s="288"/>
      <c r="E5897" s="288"/>
    </row>
    <row r="5898" spans="1:5" x14ac:dyDescent="0.25">
      <c r="A5898" s="274"/>
      <c r="B5898" s="498"/>
      <c r="C5898" s="287"/>
      <c r="D5898" s="288"/>
      <c r="E5898" s="288"/>
    </row>
    <row r="5899" spans="1:5" x14ac:dyDescent="0.25">
      <c r="A5899" s="274"/>
      <c r="B5899" s="498"/>
      <c r="C5899" s="287"/>
      <c r="D5899" s="288"/>
      <c r="E5899" s="288"/>
    </row>
    <row r="5900" spans="1:5" x14ac:dyDescent="0.25">
      <c r="A5900" s="274"/>
      <c r="B5900" s="498"/>
      <c r="C5900" s="287"/>
      <c r="D5900" s="288"/>
      <c r="E5900" s="288"/>
    </row>
    <row r="5901" spans="1:5" x14ac:dyDescent="0.25">
      <c r="A5901" s="274"/>
      <c r="B5901" s="498"/>
      <c r="C5901" s="287"/>
      <c r="D5901" s="288"/>
      <c r="E5901" s="288"/>
    </row>
    <row r="5902" spans="1:5" x14ac:dyDescent="0.25">
      <c r="A5902" s="274"/>
      <c r="B5902" s="498"/>
      <c r="C5902" s="287"/>
      <c r="D5902" s="288"/>
      <c r="E5902" s="288"/>
    </row>
    <row r="5903" spans="1:5" x14ac:dyDescent="0.25">
      <c r="A5903" s="274"/>
      <c r="B5903" s="498"/>
      <c r="C5903" s="287"/>
      <c r="D5903" s="288"/>
      <c r="E5903" s="288"/>
    </row>
    <row r="5904" spans="1:5" x14ac:dyDescent="0.25">
      <c r="A5904" s="274"/>
      <c r="B5904" s="498"/>
      <c r="C5904" s="287"/>
      <c r="D5904" s="288"/>
      <c r="E5904" s="288"/>
    </row>
    <row r="5905" spans="1:5" x14ac:dyDescent="0.25">
      <c r="A5905" s="274"/>
      <c r="B5905" s="498"/>
      <c r="C5905" s="287"/>
      <c r="D5905" s="288"/>
      <c r="E5905" s="288"/>
    </row>
    <row r="5906" spans="1:5" x14ac:dyDescent="0.25">
      <c r="A5906" s="274"/>
      <c r="B5906" s="498"/>
      <c r="C5906" s="287"/>
      <c r="D5906" s="288"/>
      <c r="E5906" s="288"/>
    </row>
    <row r="5907" spans="1:5" x14ac:dyDescent="0.25">
      <c r="A5907" s="274"/>
      <c r="B5907" s="498"/>
      <c r="C5907" s="287"/>
      <c r="D5907" s="288"/>
      <c r="E5907" s="288"/>
    </row>
    <row r="5908" spans="1:5" x14ac:dyDescent="0.25">
      <c r="A5908" s="274"/>
      <c r="B5908" s="498"/>
      <c r="C5908" s="287"/>
      <c r="D5908" s="288"/>
      <c r="E5908" s="288"/>
    </row>
    <row r="5909" spans="1:5" x14ac:dyDescent="0.25">
      <c r="A5909" s="274"/>
      <c r="B5909" s="498"/>
      <c r="C5909" s="287"/>
      <c r="D5909" s="288"/>
      <c r="E5909" s="288"/>
    </row>
    <row r="5910" spans="1:5" x14ac:dyDescent="0.25">
      <c r="A5910" s="274"/>
      <c r="B5910" s="498"/>
      <c r="C5910" s="287"/>
      <c r="D5910" s="288"/>
      <c r="E5910" s="288"/>
    </row>
    <row r="5911" spans="1:5" x14ac:dyDescent="0.25">
      <c r="A5911" s="274"/>
      <c r="B5911" s="498"/>
      <c r="C5911" s="287"/>
      <c r="D5911" s="288"/>
      <c r="E5911" s="288"/>
    </row>
    <row r="5912" spans="1:5" x14ac:dyDescent="0.25">
      <c r="A5912" s="274"/>
      <c r="B5912" s="498"/>
      <c r="C5912" s="287"/>
      <c r="D5912" s="288"/>
      <c r="E5912" s="288"/>
    </row>
    <row r="5913" spans="1:5" x14ac:dyDescent="0.25">
      <c r="A5913" s="274"/>
      <c r="B5913" s="498"/>
      <c r="C5913" s="287"/>
      <c r="D5913" s="288"/>
      <c r="E5913" s="288"/>
    </row>
    <row r="5914" spans="1:5" x14ac:dyDescent="0.25">
      <c r="A5914" s="274"/>
      <c r="B5914" s="498"/>
      <c r="C5914" s="287"/>
      <c r="D5914" s="288"/>
      <c r="E5914" s="288"/>
    </row>
    <row r="5915" spans="1:5" x14ac:dyDescent="0.25">
      <c r="A5915" s="274"/>
      <c r="B5915" s="498"/>
      <c r="C5915" s="287"/>
      <c r="D5915" s="288"/>
      <c r="E5915" s="288"/>
    </row>
    <row r="5916" spans="1:5" x14ac:dyDescent="0.25">
      <c r="A5916" s="274"/>
      <c r="B5916" s="498"/>
      <c r="C5916" s="287"/>
      <c r="D5916" s="288"/>
      <c r="E5916" s="288"/>
    </row>
    <row r="5917" spans="1:5" x14ac:dyDescent="0.25">
      <c r="A5917" s="274"/>
      <c r="B5917" s="498"/>
      <c r="C5917" s="287"/>
      <c r="D5917" s="288"/>
      <c r="E5917" s="288"/>
    </row>
    <row r="5918" spans="1:5" x14ac:dyDescent="0.25">
      <c r="A5918" s="274"/>
      <c r="B5918" s="498"/>
      <c r="C5918" s="287"/>
      <c r="D5918" s="288"/>
      <c r="E5918" s="288"/>
    </row>
    <row r="5919" spans="1:5" x14ac:dyDescent="0.25">
      <c r="A5919" s="274"/>
      <c r="B5919" s="498"/>
      <c r="C5919" s="287"/>
      <c r="D5919" s="288"/>
      <c r="E5919" s="288"/>
    </row>
    <row r="5920" spans="1:5" x14ac:dyDescent="0.25">
      <c r="A5920" s="274"/>
      <c r="B5920" s="498"/>
      <c r="C5920" s="287"/>
      <c r="D5920" s="288"/>
      <c r="E5920" s="288"/>
    </row>
    <row r="5921" spans="1:5" x14ac:dyDescent="0.25">
      <c r="A5921" s="274"/>
      <c r="B5921" s="498"/>
      <c r="C5921" s="287"/>
      <c r="D5921" s="288"/>
      <c r="E5921" s="288"/>
    </row>
    <row r="5922" spans="1:5" x14ac:dyDescent="0.25">
      <c r="A5922" s="274"/>
      <c r="B5922" s="498"/>
      <c r="C5922" s="287"/>
      <c r="D5922" s="288"/>
      <c r="E5922" s="288"/>
    </row>
    <row r="5923" spans="1:5" x14ac:dyDescent="0.25">
      <c r="A5923" s="274"/>
      <c r="B5923" s="498"/>
      <c r="C5923" s="287"/>
      <c r="D5923" s="288"/>
      <c r="E5923" s="288"/>
    </row>
    <row r="5924" spans="1:5" x14ac:dyDescent="0.25">
      <c r="A5924" s="274"/>
      <c r="B5924" s="498"/>
      <c r="C5924" s="287"/>
      <c r="D5924" s="288"/>
      <c r="E5924" s="288"/>
    </row>
    <row r="5925" spans="1:5" x14ac:dyDescent="0.25">
      <c r="A5925" s="274"/>
      <c r="B5925" s="498"/>
      <c r="C5925" s="287"/>
      <c r="D5925" s="288"/>
      <c r="E5925" s="288"/>
    </row>
    <row r="5926" spans="1:5" x14ac:dyDescent="0.25">
      <c r="A5926" s="274"/>
      <c r="B5926" s="498"/>
      <c r="C5926" s="287"/>
      <c r="D5926" s="288"/>
      <c r="E5926" s="288"/>
    </row>
    <row r="5927" spans="1:5" x14ac:dyDescent="0.25">
      <c r="A5927" s="274"/>
      <c r="B5927" s="498"/>
      <c r="C5927" s="287"/>
      <c r="D5927" s="288"/>
      <c r="E5927" s="288"/>
    </row>
    <row r="5928" spans="1:5" x14ac:dyDescent="0.25">
      <c r="A5928" s="274"/>
      <c r="B5928" s="498"/>
      <c r="C5928" s="287"/>
      <c r="D5928" s="288"/>
      <c r="E5928" s="288"/>
    </row>
    <row r="5929" spans="1:5" x14ac:dyDescent="0.25">
      <c r="A5929" s="274"/>
      <c r="B5929" s="498"/>
      <c r="C5929" s="287"/>
      <c r="D5929" s="288"/>
      <c r="E5929" s="288"/>
    </row>
    <row r="5930" spans="1:5" x14ac:dyDescent="0.25">
      <c r="A5930" s="274"/>
      <c r="B5930" s="498"/>
      <c r="C5930" s="287"/>
      <c r="D5930" s="288"/>
      <c r="E5930" s="288"/>
    </row>
    <row r="5931" spans="1:5" x14ac:dyDescent="0.25">
      <c r="A5931" s="274"/>
      <c r="B5931" s="498"/>
      <c r="C5931" s="287"/>
      <c r="D5931" s="288"/>
      <c r="E5931" s="288"/>
    </row>
    <row r="5932" spans="1:5" x14ac:dyDescent="0.25">
      <c r="A5932" s="274"/>
      <c r="B5932" s="498"/>
      <c r="C5932" s="287"/>
      <c r="D5932" s="288"/>
      <c r="E5932" s="288"/>
    </row>
    <row r="5933" spans="1:5" x14ac:dyDescent="0.25">
      <c r="A5933" s="274"/>
      <c r="B5933" s="498"/>
      <c r="C5933" s="287"/>
      <c r="D5933" s="288"/>
      <c r="E5933" s="288"/>
    </row>
    <row r="5934" spans="1:5" x14ac:dyDescent="0.25">
      <c r="A5934" s="274"/>
      <c r="B5934" s="498"/>
      <c r="C5934" s="287"/>
      <c r="D5934" s="288"/>
      <c r="E5934" s="288"/>
    </row>
    <row r="5935" spans="1:5" x14ac:dyDescent="0.25">
      <c r="A5935" s="274"/>
      <c r="B5935" s="498"/>
      <c r="C5935" s="287"/>
      <c r="D5935" s="288"/>
      <c r="E5935" s="288"/>
    </row>
    <row r="5936" spans="1:5" x14ac:dyDescent="0.25">
      <c r="A5936" s="274"/>
      <c r="B5936" s="498"/>
      <c r="C5936" s="287"/>
      <c r="D5936" s="288"/>
      <c r="E5936" s="288"/>
    </row>
    <row r="5937" spans="1:5" x14ac:dyDescent="0.25">
      <c r="A5937" s="274"/>
      <c r="B5937" s="498"/>
      <c r="C5937" s="287"/>
      <c r="D5937" s="288"/>
      <c r="E5937" s="288"/>
    </row>
    <row r="5938" spans="1:5" x14ac:dyDescent="0.25">
      <c r="A5938" s="274"/>
      <c r="B5938" s="498"/>
      <c r="C5938" s="287"/>
      <c r="D5938" s="288"/>
      <c r="E5938" s="288"/>
    </row>
    <row r="5939" spans="1:5" x14ac:dyDescent="0.25">
      <c r="A5939" s="274"/>
      <c r="B5939" s="498"/>
      <c r="C5939" s="287"/>
      <c r="D5939" s="288"/>
      <c r="E5939" s="288"/>
    </row>
    <row r="5940" spans="1:5" x14ac:dyDescent="0.25">
      <c r="A5940" s="274"/>
      <c r="B5940" s="498"/>
      <c r="C5940" s="287"/>
      <c r="D5940" s="288"/>
      <c r="E5940" s="288"/>
    </row>
    <row r="5941" spans="1:5" x14ac:dyDescent="0.25">
      <c r="A5941" s="274"/>
      <c r="B5941" s="498"/>
      <c r="C5941" s="287"/>
      <c r="D5941" s="288"/>
      <c r="E5941" s="288"/>
    </row>
    <row r="5942" spans="1:5" x14ac:dyDescent="0.25">
      <c r="A5942" s="274"/>
      <c r="B5942" s="498"/>
      <c r="C5942" s="287"/>
      <c r="D5942" s="288"/>
      <c r="E5942" s="288"/>
    </row>
    <row r="5943" spans="1:5" x14ac:dyDescent="0.25">
      <c r="A5943" s="274"/>
      <c r="B5943" s="498"/>
      <c r="C5943" s="287"/>
      <c r="D5943" s="288"/>
      <c r="E5943" s="288"/>
    </row>
    <row r="5944" spans="1:5" x14ac:dyDescent="0.25">
      <c r="A5944" s="274"/>
      <c r="B5944" s="498"/>
      <c r="C5944" s="287"/>
      <c r="D5944" s="288"/>
      <c r="E5944" s="288"/>
    </row>
    <row r="5945" spans="1:5" x14ac:dyDescent="0.25">
      <c r="A5945" s="274"/>
      <c r="B5945" s="498"/>
      <c r="C5945" s="287"/>
      <c r="D5945" s="288"/>
      <c r="E5945" s="288"/>
    </row>
    <row r="5946" spans="1:5" x14ac:dyDescent="0.25">
      <c r="A5946" s="274"/>
      <c r="B5946" s="498"/>
      <c r="C5946" s="287"/>
      <c r="D5946" s="288"/>
      <c r="E5946" s="288"/>
    </row>
    <row r="5947" spans="1:5" x14ac:dyDescent="0.25">
      <c r="A5947" s="274"/>
      <c r="B5947" s="498"/>
      <c r="C5947" s="287"/>
      <c r="D5947" s="288"/>
      <c r="E5947" s="288"/>
    </row>
    <row r="5948" spans="1:5" x14ac:dyDescent="0.25">
      <c r="A5948" s="274"/>
      <c r="B5948" s="498"/>
      <c r="C5948" s="287"/>
      <c r="D5948" s="288"/>
      <c r="E5948" s="288"/>
    </row>
    <row r="5949" spans="1:5" x14ac:dyDescent="0.25">
      <c r="A5949" s="274"/>
      <c r="B5949" s="498"/>
      <c r="C5949" s="287"/>
      <c r="D5949" s="288"/>
      <c r="E5949" s="288"/>
    </row>
    <row r="5950" spans="1:5" x14ac:dyDescent="0.25">
      <c r="A5950" s="274"/>
      <c r="B5950" s="498"/>
      <c r="C5950" s="287"/>
      <c r="D5950" s="288"/>
      <c r="E5950" s="288"/>
    </row>
    <row r="5951" spans="1:5" x14ac:dyDescent="0.25">
      <c r="A5951" s="274"/>
      <c r="B5951" s="498"/>
      <c r="C5951" s="287"/>
      <c r="D5951" s="288"/>
      <c r="E5951" s="288"/>
    </row>
    <row r="5952" spans="1:5" x14ac:dyDescent="0.25">
      <c r="A5952" s="274"/>
      <c r="B5952" s="498"/>
      <c r="C5952" s="287"/>
      <c r="D5952" s="288"/>
      <c r="E5952" s="288"/>
    </row>
    <row r="5953" spans="1:5" x14ac:dyDescent="0.25">
      <c r="A5953" s="274"/>
      <c r="B5953" s="498"/>
      <c r="C5953" s="287"/>
      <c r="D5953" s="288"/>
      <c r="E5953" s="288"/>
    </row>
    <row r="5954" spans="1:5" x14ac:dyDescent="0.25">
      <c r="A5954" s="274"/>
      <c r="B5954" s="498"/>
      <c r="C5954" s="287"/>
      <c r="D5954" s="288"/>
      <c r="E5954" s="288"/>
    </row>
    <row r="5955" spans="1:5" x14ac:dyDescent="0.25">
      <c r="A5955" s="274"/>
      <c r="B5955" s="498"/>
      <c r="C5955" s="287"/>
      <c r="D5955" s="288"/>
      <c r="E5955" s="288"/>
    </row>
    <row r="5956" spans="1:5" x14ac:dyDescent="0.25">
      <c r="A5956" s="274"/>
      <c r="B5956" s="498"/>
      <c r="C5956" s="287"/>
      <c r="D5956" s="288"/>
      <c r="E5956" s="288"/>
    </row>
    <row r="5957" spans="1:5" x14ac:dyDescent="0.25">
      <c r="A5957" s="274"/>
      <c r="B5957" s="498"/>
      <c r="C5957" s="287"/>
      <c r="D5957" s="288"/>
      <c r="E5957" s="288"/>
    </row>
    <row r="5958" spans="1:5" x14ac:dyDescent="0.25">
      <c r="A5958" s="274"/>
      <c r="B5958" s="498"/>
      <c r="C5958" s="287"/>
      <c r="D5958" s="288"/>
      <c r="E5958" s="288"/>
    </row>
    <row r="5959" spans="1:5" x14ac:dyDescent="0.25">
      <c r="A5959" s="274"/>
      <c r="B5959" s="498"/>
      <c r="C5959" s="287"/>
      <c r="D5959" s="288"/>
      <c r="E5959" s="288"/>
    </row>
    <row r="5960" spans="1:5" x14ac:dyDescent="0.25">
      <c r="A5960" s="274"/>
      <c r="B5960" s="498"/>
      <c r="C5960" s="287"/>
      <c r="D5960" s="288"/>
      <c r="E5960" s="288"/>
    </row>
    <row r="5961" spans="1:5" x14ac:dyDescent="0.25">
      <c r="A5961" s="274"/>
      <c r="B5961" s="498"/>
      <c r="C5961" s="287"/>
      <c r="D5961" s="288"/>
      <c r="E5961" s="288"/>
    </row>
    <row r="5962" spans="1:5" x14ac:dyDescent="0.25">
      <c r="A5962" s="274"/>
      <c r="B5962" s="498"/>
      <c r="C5962" s="287"/>
      <c r="D5962" s="288"/>
      <c r="E5962" s="288"/>
    </row>
    <row r="5963" spans="1:5" x14ac:dyDescent="0.25">
      <c r="A5963" s="274"/>
      <c r="B5963" s="498"/>
      <c r="C5963" s="287"/>
      <c r="D5963" s="288"/>
      <c r="E5963" s="288"/>
    </row>
    <row r="5964" spans="1:5" x14ac:dyDescent="0.25">
      <c r="A5964" s="274"/>
      <c r="B5964" s="498"/>
      <c r="C5964" s="287"/>
      <c r="D5964" s="288"/>
      <c r="E5964" s="288"/>
    </row>
    <row r="5965" spans="1:5" x14ac:dyDescent="0.25">
      <c r="A5965" s="274"/>
      <c r="B5965" s="498"/>
      <c r="C5965" s="287"/>
      <c r="D5965" s="288"/>
      <c r="E5965" s="288"/>
    </row>
    <row r="5966" spans="1:5" x14ac:dyDescent="0.25">
      <c r="A5966" s="274"/>
      <c r="B5966" s="498"/>
      <c r="C5966" s="287"/>
      <c r="D5966" s="288"/>
      <c r="E5966" s="288"/>
    </row>
    <row r="5967" spans="1:5" x14ac:dyDescent="0.25">
      <c r="A5967" s="274"/>
      <c r="B5967" s="498"/>
      <c r="C5967" s="287"/>
      <c r="D5967" s="288"/>
      <c r="E5967" s="288"/>
    </row>
    <row r="5968" spans="1:5" x14ac:dyDescent="0.25">
      <c r="A5968" s="274"/>
      <c r="B5968" s="498"/>
      <c r="C5968" s="287"/>
      <c r="D5968" s="288"/>
      <c r="E5968" s="288"/>
    </row>
    <row r="5969" spans="1:5" x14ac:dyDescent="0.25">
      <c r="A5969" s="274"/>
      <c r="B5969" s="498"/>
      <c r="C5969" s="287"/>
      <c r="D5969" s="288"/>
      <c r="E5969" s="288"/>
    </row>
    <row r="5970" spans="1:5" x14ac:dyDescent="0.25">
      <c r="A5970" s="274"/>
      <c r="B5970" s="498"/>
      <c r="C5970" s="287"/>
      <c r="D5970" s="288"/>
      <c r="E5970" s="288"/>
    </row>
    <row r="5971" spans="1:5" x14ac:dyDescent="0.25">
      <c r="A5971" s="274"/>
      <c r="B5971" s="498"/>
      <c r="C5971" s="287"/>
      <c r="D5971" s="288"/>
      <c r="E5971" s="288"/>
    </row>
    <row r="5972" spans="1:5" x14ac:dyDescent="0.25">
      <c r="A5972" s="274"/>
      <c r="B5972" s="498"/>
      <c r="C5972" s="287"/>
      <c r="D5972" s="288"/>
      <c r="E5972" s="288"/>
    </row>
    <row r="5973" spans="1:5" x14ac:dyDescent="0.25">
      <c r="A5973" s="274"/>
      <c r="B5973" s="498"/>
      <c r="C5973" s="287"/>
      <c r="D5973" s="288"/>
      <c r="E5973" s="288"/>
    </row>
    <row r="5974" spans="1:5" x14ac:dyDescent="0.25">
      <c r="A5974" s="274"/>
      <c r="B5974" s="498"/>
      <c r="C5974" s="287"/>
      <c r="D5974" s="288"/>
      <c r="E5974" s="288"/>
    </row>
    <row r="5975" spans="1:5" x14ac:dyDescent="0.25">
      <c r="A5975" s="274"/>
      <c r="B5975" s="498"/>
      <c r="C5975" s="287"/>
      <c r="D5975" s="288"/>
      <c r="E5975" s="288"/>
    </row>
    <row r="5976" spans="1:5" x14ac:dyDescent="0.25">
      <c r="A5976" s="274"/>
      <c r="B5976" s="498"/>
      <c r="C5976" s="287"/>
      <c r="D5976" s="288"/>
      <c r="E5976" s="288"/>
    </row>
    <row r="5977" spans="1:5" x14ac:dyDescent="0.25">
      <c r="A5977" s="274"/>
      <c r="B5977" s="498"/>
      <c r="C5977" s="287"/>
      <c r="D5977" s="288"/>
      <c r="E5977" s="288"/>
    </row>
    <row r="5978" spans="1:5" x14ac:dyDescent="0.25">
      <c r="A5978" s="274"/>
      <c r="B5978" s="498"/>
      <c r="C5978" s="287"/>
      <c r="D5978" s="288"/>
      <c r="E5978" s="288"/>
    </row>
    <row r="5979" spans="1:5" x14ac:dyDescent="0.25">
      <c r="A5979" s="274"/>
      <c r="B5979" s="498"/>
      <c r="C5979" s="287"/>
      <c r="D5979" s="288"/>
      <c r="E5979" s="288"/>
    </row>
    <row r="5980" spans="1:5" x14ac:dyDescent="0.25">
      <c r="A5980" s="274"/>
      <c r="B5980" s="498"/>
      <c r="C5980" s="287"/>
      <c r="D5980" s="288"/>
      <c r="E5980" s="288"/>
    </row>
    <row r="5981" spans="1:5" x14ac:dyDescent="0.25">
      <c r="A5981" s="274"/>
      <c r="B5981" s="498"/>
      <c r="C5981" s="287"/>
      <c r="D5981" s="288"/>
      <c r="E5981" s="288"/>
    </row>
    <row r="5982" spans="1:5" x14ac:dyDescent="0.25">
      <c r="A5982" s="274"/>
      <c r="B5982" s="498"/>
      <c r="C5982" s="287"/>
      <c r="D5982" s="288"/>
      <c r="E5982" s="288"/>
    </row>
    <row r="5983" spans="1:5" x14ac:dyDescent="0.25">
      <c r="A5983" s="274"/>
      <c r="B5983" s="498"/>
      <c r="C5983" s="287"/>
      <c r="D5983" s="288"/>
      <c r="E5983" s="288"/>
    </row>
    <row r="5984" spans="1:5" x14ac:dyDescent="0.25">
      <c r="A5984" s="274"/>
      <c r="B5984" s="498"/>
      <c r="C5984" s="287"/>
      <c r="D5984" s="288"/>
      <c r="E5984" s="288"/>
    </row>
    <row r="5985" spans="1:5" x14ac:dyDescent="0.25">
      <c r="A5985" s="274"/>
      <c r="B5985" s="498"/>
      <c r="C5985" s="287"/>
      <c r="D5985" s="288"/>
      <c r="E5985" s="288"/>
    </row>
    <row r="5986" spans="1:5" x14ac:dyDescent="0.25">
      <c r="A5986" s="274"/>
      <c r="B5986" s="498"/>
      <c r="C5986" s="287"/>
      <c r="D5986" s="288"/>
      <c r="E5986" s="288"/>
    </row>
    <row r="5987" spans="1:5" x14ac:dyDescent="0.25">
      <c r="A5987" s="274"/>
      <c r="B5987" s="498"/>
      <c r="C5987" s="287"/>
      <c r="D5987" s="288"/>
      <c r="E5987" s="288"/>
    </row>
    <row r="5988" spans="1:5" x14ac:dyDescent="0.25">
      <c r="A5988" s="274"/>
      <c r="B5988" s="498"/>
      <c r="C5988" s="287"/>
      <c r="D5988" s="288"/>
      <c r="E5988" s="288"/>
    </row>
    <row r="5989" spans="1:5" x14ac:dyDescent="0.25">
      <c r="A5989" s="274"/>
      <c r="B5989" s="498"/>
      <c r="C5989" s="287"/>
      <c r="D5989" s="288"/>
      <c r="E5989" s="288"/>
    </row>
    <row r="5990" spans="1:5" x14ac:dyDescent="0.25">
      <c r="A5990" s="274"/>
      <c r="B5990" s="498"/>
      <c r="C5990" s="287"/>
      <c r="D5990" s="288"/>
      <c r="E5990" s="288"/>
    </row>
    <row r="5991" spans="1:5" x14ac:dyDescent="0.25">
      <c r="A5991" s="274"/>
      <c r="B5991" s="498"/>
      <c r="C5991" s="287"/>
      <c r="D5991" s="288"/>
      <c r="E5991" s="288"/>
    </row>
    <row r="5992" spans="1:5" x14ac:dyDescent="0.25">
      <c r="A5992" s="274"/>
      <c r="B5992" s="498"/>
      <c r="C5992" s="287"/>
      <c r="D5992" s="288"/>
      <c r="E5992" s="288"/>
    </row>
    <row r="5993" spans="1:5" x14ac:dyDescent="0.25">
      <c r="A5993" s="274"/>
      <c r="B5993" s="498"/>
      <c r="C5993" s="287"/>
      <c r="D5993" s="288"/>
      <c r="E5993" s="288"/>
    </row>
    <row r="5994" spans="1:5" x14ac:dyDescent="0.25">
      <c r="A5994" s="274"/>
      <c r="B5994" s="498"/>
      <c r="C5994" s="287"/>
      <c r="D5994" s="288"/>
      <c r="E5994" s="288"/>
    </row>
    <row r="5995" spans="1:5" x14ac:dyDescent="0.25">
      <c r="A5995" s="274"/>
      <c r="B5995" s="498"/>
      <c r="C5995" s="287"/>
      <c r="D5995" s="288"/>
      <c r="E5995" s="288"/>
    </row>
    <row r="5996" spans="1:5" x14ac:dyDescent="0.25">
      <c r="A5996" s="274"/>
      <c r="B5996" s="498"/>
      <c r="C5996" s="287"/>
      <c r="D5996" s="288"/>
      <c r="E5996" s="288"/>
    </row>
    <row r="5997" spans="1:5" x14ac:dyDescent="0.25">
      <c r="A5997" s="274"/>
      <c r="B5997" s="498"/>
      <c r="C5997" s="287"/>
      <c r="D5997" s="288"/>
      <c r="E5997" s="288"/>
    </row>
    <row r="5998" spans="1:5" x14ac:dyDescent="0.25">
      <c r="A5998" s="274"/>
      <c r="B5998" s="498"/>
      <c r="C5998" s="287"/>
      <c r="D5998" s="288"/>
      <c r="E5998" s="288"/>
    </row>
    <row r="5999" spans="1:5" x14ac:dyDescent="0.25">
      <c r="A5999" s="274"/>
      <c r="B5999" s="498"/>
      <c r="C5999" s="287"/>
      <c r="D5999" s="288"/>
      <c r="E5999" s="288"/>
    </row>
    <row r="6000" spans="1:5" x14ac:dyDescent="0.25">
      <c r="A6000" s="274"/>
      <c r="B6000" s="498"/>
      <c r="C6000" s="287"/>
      <c r="D6000" s="288"/>
      <c r="E6000" s="288"/>
    </row>
    <row r="6001" spans="1:5" x14ac:dyDescent="0.25">
      <c r="A6001" s="274"/>
      <c r="B6001" s="498"/>
      <c r="C6001" s="287"/>
      <c r="D6001" s="288"/>
      <c r="E6001" s="288"/>
    </row>
    <row r="6002" spans="1:5" x14ac:dyDescent="0.25">
      <c r="A6002" s="274"/>
      <c r="B6002" s="498"/>
      <c r="C6002" s="287"/>
      <c r="D6002" s="288"/>
      <c r="E6002" s="288"/>
    </row>
    <row r="6003" spans="1:5" x14ac:dyDescent="0.25">
      <c r="A6003" s="274"/>
      <c r="B6003" s="498"/>
      <c r="C6003" s="287"/>
      <c r="D6003" s="288"/>
      <c r="E6003" s="288"/>
    </row>
    <row r="6004" spans="1:5" x14ac:dyDescent="0.25">
      <c r="A6004" s="274"/>
      <c r="B6004" s="498"/>
      <c r="C6004" s="287"/>
      <c r="D6004" s="288"/>
      <c r="E6004" s="288"/>
    </row>
    <row r="6005" spans="1:5" x14ac:dyDescent="0.25">
      <c r="A6005" s="274"/>
      <c r="B6005" s="498"/>
      <c r="C6005" s="287"/>
      <c r="D6005" s="288"/>
      <c r="E6005" s="288"/>
    </row>
    <row r="6006" spans="1:5" x14ac:dyDescent="0.25">
      <c r="A6006" s="274"/>
      <c r="B6006" s="498"/>
      <c r="C6006" s="287"/>
      <c r="D6006" s="288"/>
      <c r="E6006" s="288"/>
    </row>
    <row r="6007" spans="1:5" x14ac:dyDescent="0.25">
      <c r="A6007" s="274"/>
      <c r="B6007" s="498"/>
      <c r="C6007" s="287"/>
      <c r="D6007" s="288"/>
      <c r="E6007" s="288"/>
    </row>
    <row r="6008" spans="1:5" x14ac:dyDescent="0.25">
      <c r="A6008" s="274"/>
      <c r="B6008" s="498"/>
      <c r="C6008" s="287"/>
      <c r="D6008" s="288"/>
      <c r="E6008" s="288"/>
    </row>
    <row r="6009" spans="1:5" x14ac:dyDescent="0.25">
      <c r="A6009" s="274"/>
      <c r="B6009" s="498"/>
      <c r="C6009" s="287"/>
      <c r="D6009" s="288"/>
      <c r="E6009" s="288"/>
    </row>
    <row r="6010" spans="1:5" x14ac:dyDescent="0.25">
      <c r="A6010" s="274"/>
      <c r="B6010" s="498"/>
      <c r="C6010" s="287"/>
      <c r="D6010" s="288"/>
      <c r="E6010" s="288"/>
    </row>
    <row r="6011" spans="1:5" x14ac:dyDescent="0.25">
      <c r="A6011" s="274"/>
      <c r="B6011" s="498"/>
      <c r="C6011" s="287"/>
      <c r="D6011" s="288"/>
      <c r="E6011" s="288"/>
    </row>
    <row r="6012" spans="1:5" x14ac:dyDescent="0.25">
      <c r="A6012" s="274"/>
      <c r="B6012" s="498"/>
      <c r="C6012" s="287"/>
      <c r="D6012" s="288"/>
      <c r="E6012" s="288"/>
    </row>
    <row r="6013" spans="1:5" x14ac:dyDescent="0.25">
      <c r="A6013" s="274"/>
      <c r="B6013" s="498"/>
      <c r="C6013" s="287"/>
      <c r="D6013" s="288"/>
      <c r="E6013" s="288"/>
    </row>
    <row r="6014" spans="1:5" x14ac:dyDescent="0.25">
      <c r="A6014" s="274"/>
      <c r="B6014" s="498"/>
      <c r="C6014" s="287"/>
      <c r="D6014" s="288"/>
      <c r="E6014" s="288"/>
    </row>
    <row r="6015" spans="1:5" x14ac:dyDescent="0.25">
      <c r="A6015" s="274"/>
      <c r="B6015" s="498"/>
      <c r="C6015" s="287"/>
      <c r="D6015" s="288"/>
      <c r="E6015" s="288"/>
    </row>
    <row r="6016" spans="1:5" x14ac:dyDescent="0.25">
      <c r="A6016" s="274"/>
      <c r="B6016" s="498"/>
      <c r="C6016" s="287"/>
      <c r="D6016" s="288"/>
      <c r="E6016" s="288"/>
    </row>
    <row r="6017" spans="1:5" x14ac:dyDescent="0.25">
      <c r="A6017" s="274"/>
      <c r="B6017" s="498"/>
      <c r="C6017" s="287"/>
      <c r="D6017" s="288"/>
      <c r="E6017" s="288"/>
    </row>
    <row r="6018" spans="1:5" x14ac:dyDescent="0.25">
      <c r="A6018" s="274"/>
      <c r="B6018" s="498"/>
      <c r="C6018" s="287"/>
      <c r="D6018" s="288"/>
      <c r="E6018" s="288"/>
    </row>
    <row r="6019" spans="1:5" x14ac:dyDescent="0.25">
      <c r="A6019" s="274"/>
      <c r="B6019" s="498"/>
      <c r="C6019" s="287"/>
      <c r="D6019" s="288"/>
      <c r="E6019" s="288"/>
    </row>
    <row r="6020" spans="1:5" x14ac:dyDescent="0.25">
      <c r="A6020" s="274"/>
      <c r="B6020" s="498"/>
      <c r="C6020" s="287"/>
      <c r="D6020" s="288"/>
      <c r="E6020" s="288"/>
    </row>
    <row r="6021" spans="1:5" x14ac:dyDescent="0.25">
      <c r="A6021" s="274"/>
      <c r="B6021" s="498"/>
      <c r="C6021" s="287"/>
      <c r="D6021" s="288"/>
      <c r="E6021" s="288"/>
    </row>
    <row r="6022" spans="1:5" x14ac:dyDescent="0.25">
      <c r="A6022" s="274"/>
      <c r="B6022" s="498"/>
      <c r="C6022" s="287"/>
      <c r="D6022" s="288"/>
      <c r="E6022" s="288"/>
    </row>
    <row r="6023" spans="1:5" x14ac:dyDescent="0.25">
      <c r="A6023" s="274"/>
      <c r="B6023" s="498"/>
      <c r="C6023" s="287"/>
      <c r="D6023" s="288"/>
      <c r="E6023" s="288"/>
    </row>
    <row r="6024" spans="1:5" x14ac:dyDescent="0.25">
      <c r="A6024" s="274"/>
      <c r="B6024" s="498"/>
      <c r="C6024" s="287"/>
      <c r="D6024" s="288"/>
      <c r="E6024" s="288"/>
    </row>
    <row r="6025" spans="1:5" x14ac:dyDescent="0.25">
      <c r="A6025" s="274"/>
      <c r="B6025" s="498"/>
      <c r="C6025" s="287"/>
      <c r="D6025" s="288"/>
      <c r="E6025" s="288"/>
    </row>
    <row r="6026" spans="1:5" x14ac:dyDescent="0.25">
      <c r="A6026" s="274"/>
      <c r="B6026" s="498"/>
      <c r="C6026" s="287"/>
      <c r="D6026" s="288"/>
      <c r="E6026" s="288"/>
    </row>
    <row r="6027" spans="1:5" x14ac:dyDescent="0.25">
      <c r="A6027" s="274"/>
      <c r="B6027" s="498"/>
      <c r="C6027" s="287"/>
      <c r="D6027" s="288"/>
      <c r="E6027" s="288"/>
    </row>
    <row r="6028" spans="1:5" x14ac:dyDescent="0.25">
      <c r="A6028" s="274"/>
      <c r="B6028" s="498"/>
      <c r="C6028" s="287"/>
      <c r="D6028" s="288"/>
      <c r="E6028" s="288"/>
    </row>
    <row r="6029" spans="1:5" x14ac:dyDescent="0.25">
      <c r="A6029" s="274"/>
      <c r="B6029" s="498"/>
      <c r="C6029" s="287"/>
      <c r="D6029" s="288"/>
      <c r="E6029" s="288"/>
    </row>
    <row r="6030" spans="1:5" x14ac:dyDescent="0.25">
      <c r="A6030" s="274"/>
      <c r="B6030" s="498"/>
      <c r="C6030" s="287"/>
      <c r="D6030" s="288"/>
      <c r="E6030" s="288"/>
    </row>
    <row r="6031" spans="1:5" x14ac:dyDescent="0.25">
      <c r="A6031" s="274"/>
      <c r="B6031" s="498"/>
      <c r="C6031" s="287"/>
      <c r="D6031" s="288"/>
      <c r="E6031" s="288"/>
    </row>
    <row r="6032" spans="1:5" x14ac:dyDescent="0.25">
      <c r="A6032" s="274"/>
      <c r="B6032" s="498"/>
      <c r="C6032" s="287"/>
      <c r="D6032" s="288"/>
      <c r="E6032" s="288"/>
    </row>
    <row r="6033" spans="1:5" x14ac:dyDescent="0.25">
      <c r="A6033" s="274"/>
      <c r="B6033" s="498"/>
      <c r="C6033" s="287"/>
      <c r="D6033" s="288"/>
      <c r="E6033" s="288"/>
    </row>
    <row r="6034" spans="1:5" x14ac:dyDescent="0.25">
      <c r="A6034" s="274"/>
      <c r="B6034" s="498"/>
      <c r="C6034" s="287"/>
      <c r="D6034" s="288"/>
      <c r="E6034" s="288"/>
    </row>
    <row r="6035" spans="1:5" x14ac:dyDescent="0.25">
      <c r="A6035" s="274"/>
      <c r="B6035" s="498"/>
      <c r="C6035" s="287"/>
      <c r="D6035" s="288"/>
      <c r="E6035" s="288"/>
    </row>
    <row r="6036" spans="1:5" x14ac:dyDescent="0.25">
      <c r="A6036" s="274"/>
      <c r="B6036" s="498"/>
      <c r="C6036" s="287"/>
      <c r="D6036" s="288"/>
      <c r="E6036" s="288"/>
    </row>
    <row r="6037" spans="1:5" x14ac:dyDescent="0.25">
      <c r="A6037" s="274"/>
      <c r="B6037" s="498"/>
      <c r="C6037" s="287"/>
      <c r="D6037" s="288"/>
      <c r="E6037" s="288"/>
    </row>
    <row r="6038" spans="1:5" x14ac:dyDescent="0.25">
      <c r="A6038" s="274"/>
      <c r="B6038" s="498"/>
      <c r="C6038" s="287"/>
      <c r="D6038" s="288"/>
      <c r="E6038" s="288"/>
    </row>
    <row r="6039" spans="1:5" x14ac:dyDescent="0.25">
      <c r="A6039" s="274"/>
      <c r="B6039" s="498"/>
      <c r="C6039" s="287"/>
      <c r="D6039" s="288"/>
      <c r="E6039" s="288"/>
    </row>
    <row r="6040" spans="1:5" x14ac:dyDescent="0.25">
      <c r="A6040" s="274"/>
      <c r="B6040" s="498"/>
      <c r="C6040" s="287"/>
      <c r="D6040" s="288"/>
      <c r="E6040" s="288"/>
    </row>
    <row r="6041" spans="1:5" x14ac:dyDescent="0.25">
      <c r="A6041" s="274"/>
      <c r="B6041" s="498"/>
      <c r="C6041" s="287"/>
      <c r="D6041" s="288"/>
      <c r="E6041" s="288"/>
    </row>
    <row r="6042" spans="1:5" x14ac:dyDescent="0.25">
      <c r="A6042" s="274"/>
      <c r="B6042" s="498"/>
      <c r="C6042" s="287"/>
      <c r="D6042" s="288"/>
      <c r="E6042" s="288"/>
    </row>
    <row r="6043" spans="1:5" x14ac:dyDescent="0.25">
      <c r="A6043" s="274"/>
      <c r="B6043" s="498"/>
      <c r="C6043" s="287"/>
      <c r="D6043" s="288"/>
      <c r="E6043" s="288"/>
    </row>
    <row r="6044" spans="1:5" x14ac:dyDescent="0.25">
      <c r="A6044" s="274"/>
      <c r="B6044" s="498"/>
      <c r="C6044" s="287"/>
      <c r="D6044" s="288"/>
      <c r="E6044" s="288"/>
    </row>
    <row r="6045" spans="1:5" x14ac:dyDescent="0.25">
      <c r="A6045" s="274"/>
      <c r="B6045" s="498"/>
      <c r="C6045" s="287"/>
      <c r="D6045" s="288"/>
      <c r="E6045" s="288"/>
    </row>
    <row r="6046" spans="1:5" x14ac:dyDescent="0.25">
      <c r="A6046" s="274"/>
      <c r="B6046" s="498"/>
      <c r="C6046" s="287"/>
      <c r="D6046" s="288"/>
      <c r="E6046" s="288"/>
    </row>
    <row r="6047" spans="1:5" x14ac:dyDescent="0.25">
      <c r="A6047" s="274"/>
      <c r="B6047" s="498"/>
      <c r="C6047" s="287"/>
      <c r="D6047" s="288"/>
      <c r="E6047" s="288"/>
    </row>
    <row r="6048" spans="1:5" x14ac:dyDescent="0.25">
      <c r="A6048" s="274"/>
      <c r="B6048" s="498"/>
      <c r="C6048" s="287"/>
      <c r="D6048" s="288"/>
      <c r="E6048" s="288"/>
    </row>
    <row r="6049" spans="1:5" x14ac:dyDescent="0.25">
      <c r="A6049" s="274"/>
      <c r="B6049" s="498"/>
      <c r="C6049" s="287"/>
      <c r="D6049" s="288"/>
      <c r="E6049" s="288"/>
    </row>
    <row r="6050" spans="1:5" x14ac:dyDescent="0.25">
      <c r="A6050" s="274"/>
      <c r="B6050" s="498"/>
      <c r="C6050" s="287"/>
      <c r="D6050" s="288"/>
      <c r="E6050" s="288"/>
    </row>
    <row r="6051" spans="1:5" x14ac:dyDescent="0.25">
      <c r="A6051" s="274"/>
      <c r="B6051" s="498"/>
      <c r="C6051" s="287"/>
      <c r="D6051" s="288"/>
      <c r="E6051" s="288"/>
    </row>
    <row r="6052" spans="1:5" x14ac:dyDescent="0.25">
      <c r="A6052" s="274"/>
      <c r="B6052" s="498"/>
      <c r="C6052" s="287"/>
      <c r="D6052" s="288"/>
      <c r="E6052" s="288"/>
    </row>
    <row r="6053" spans="1:5" x14ac:dyDescent="0.25">
      <c r="A6053" s="274"/>
      <c r="B6053" s="498"/>
      <c r="C6053" s="287"/>
      <c r="D6053" s="288"/>
      <c r="E6053" s="288"/>
    </row>
    <row r="6054" spans="1:5" x14ac:dyDescent="0.25">
      <c r="A6054" s="274"/>
      <c r="B6054" s="498"/>
      <c r="C6054" s="287"/>
      <c r="D6054" s="288"/>
      <c r="E6054" s="288"/>
    </row>
    <row r="6055" spans="1:5" x14ac:dyDescent="0.25">
      <c r="A6055" s="274"/>
      <c r="B6055" s="498"/>
      <c r="C6055" s="287"/>
      <c r="D6055" s="288"/>
      <c r="E6055" s="288"/>
    </row>
    <row r="6056" spans="1:5" x14ac:dyDescent="0.25">
      <c r="A6056" s="274"/>
      <c r="B6056" s="498"/>
      <c r="C6056" s="287"/>
      <c r="D6056" s="288"/>
      <c r="E6056" s="288"/>
    </row>
    <row r="6057" spans="1:5" x14ac:dyDescent="0.25">
      <c r="A6057" s="274"/>
      <c r="B6057" s="498"/>
      <c r="C6057" s="287"/>
      <c r="D6057" s="288"/>
      <c r="E6057" s="288"/>
    </row>
    <row r="6058" spans="1:5" x14ac:dyDescent="0.25">
      <c r="A6058" s="274"/>
      <c r="B6058" s="498"/>
      <c r="C6058" s="287"/>
      <c r="D6058" s="288"/>
      <c r="E6058" s="288"/>
    </row>
    <row r="6059" spans="1:5" x14ac:dyDescent="0.25">
      <c r="A6059" s="274"/>
      <c r="B6059" s="498"/>
      <c r="C6059" s="287"/>
      <c r="D6059" s="288"/>
      <c r="E6059" s="288"/>
    </row>
    <row r="6060" spans="1:5" x14ac:dyDescent="0.25">
      <c r="A6060" s="274"/>
      <c r="B6060" s="498"/>
      <c r="C6060" s="287"/>
      <c r="D6060" s="288"/>
      <c r="E6060" s="288"/>
    </row>
    <row r="6061" spans="1:5" x14ac:dyDescent="0.25">
      <c r="A6061" s="274"/>
      <c r="B6061" s="498"/>
      <c r="C6061" s="287"/>
      <c r="D6061" s="288"/>
      <c r="E6061" s="288"/>
    </row>
    <row r="6062" spans="1:5" x14ac:dyDescent="0.25">
      <c r="A6062" s="274"/>
      <c r="B6062" s="498"/>
      <c r="C6062" s="287"/>
      <c r="D6062" s="288"/>
      <c r="E6062" s="288"/>
    </row>
    <row r="6063" spans="1:5" x14ac:dyDescent="0.25">
      <c r="A6063" s="274"/>
      <c r="B6063" s="498"/>
      <c r="C6063" s="287"/>
      <c r="D6063" s="288"/>
      <c r="E6063" s="288"/>
    </row>
    <row r="6064" spans="1:5" x14ac:dyDescent="0.25">
      <c r="A6064" s="274"/>
      <c r="B6064" s="498"/>
      <c r="C6064" s="287"/>
      <c r="D6064" s="288"/>
      <c r="E6064" s="288"/>
    </row>
    <row r="6065" spans="1:5" x14ac:dyDescent="0.25">
      <c r="A6065" s="274"/>
      <c r="B6065" s="498"/>
      <c r="C6065" s="287"/>
      <c r="D6065" s="288"/>
      <c r="E6065" s="288"/>
    </row>
    <row r="6066" spans="1:5" x14ac:dyDescent="0.25">
      <c r="A6066" s="274"/>
      <c r="B6066" s="498"/>
      <c r="C6066" s="287"/>
      <c r="D6066" s="288"/>
      <c r="E6066" s="288"/>
    </row>
    <row r="6067" spans="1:5" x14ac:dyDescent="0.25">
      <c r="A6067" s="274"/>
      <c r="B6067" s="498"/>
      <c r="C6067" s="287"/>
      <c r="D6067" s="288"/>
      <c r="E6067" s="288"/>
    </row>
    <row r="6068" spans="1:5" x14ac:dyDescent="0.25">
      <c r="A6068" s="274"/>
      <c r="B6068" s="498"/>
      <c r="C6068" s="287"/>
      <c r="D6068" s="288"/>
      <c r="E6068" s="288"/>
    </row>
    <row r="6069" spans="1:5" x14ac:dyDescent="0.25">
      <c r="A6069" s="274"/>
      <c r="B6069" s="498"/>
      <c r="C6069" s="287"/>
      <c r="D6069" s="288"/>
      <c r="E6069" s="288"/>
    </row>
    <row r="6070" spans="1:5" x14ac:dyDescent="0.25">
      <c r="A6070" s="274"/>
      <c r="B6070" s="498"/>
      <c r="C6070" s="287"/>
      <c r="D6070" s="288"/>
      <c r="E6070" s="288"/>
    </row>
    <row r="6071" spans="1:5" x14ac:dyDescent="0.25">
      <c r="A6071" s="274"/>
      <c r="B6071" s="498"/>
      <c r="C6071" s="287"/>
      <c r="D6071" s="288"/>
      <c r="E6071" s="288"/>
    </row>
    <row r="6072" spans="1:5" x14ac:dyDescent="0.25">
      <c r="A6072" s="274"/>
      <c r="B6072" s="498"/>
      <c r="C6072" s="287"/>
      <c r="D6072" s="288"/>
      <c r="E6072" s="288"/>
    </row>
    <row r="6073" spans="1:5" x14ac:dyDescent="0.25">
      <c r="A6073" s="274"/>
      <c r="B6073" s="498"/>
      <c r="C6073" s="287"/>
      <c r="D6073" s="288"/>
      <c r="E6073" s="288"/>
    </row>
    <row r="6074" spans="1:5" x14ac:dyDescent="0.25">
      <c r="A6074" s="274"/>
      <c r="B6074" s="498"/>
      <c r="C6074" s="287"/>
      <c r="D6074" s="288"/>
      <c r="E6074" s="288"/>
    </row>
    <row r="6075" spans="1:5" x14ac:dyDescent="0.25">
      <c r="A6075" s="274"/>
      <c r="B6075" s="498"/>
      <c r="C6075" s="287"/>
      <c r="D6075" s="288"/>
      <c r="E6075" s="288"/>
    </row>
    <row r="6076" spans="1:5" x14ac:dyDescent="0.25">
      <c r="A6076" s="274"/>
      <c r="B6076" s="498"/>
      <c r="C6076" s="287"/>
      <c r="D6076" s="288"/>
      <c r="E6076" s="288"/>
    </row>
    <row r="6077" spans="1:5" x14ac:dyDescent="0.25">
      <c r="A6077" s="274"/>
      <c r="B6077" s="498"/>
      <c r="C6077" s="287"/>
      <c r="D6077" s="288"/>
      <c r="E6077" s="288"/>
    </row>
    <row r="6078" spans="1:5" x14ac:dyDescent="0.25">
      <c r="A6078" s="274"/>
      <c r="B6078" s="498"/>
      <c r="C6078" s="287"/>
      <c r="D6078" s="288"/>
      <c r="E6078" s="288"/>
    </row>
    <row r="6079" spans="1:5" x14ac:dyDescent="0.25">
      <c r="A6079" s="274"/>
      <c r="B6079" s="498"/>
      <c r="C6079" s="287"/>
      <c r="D6079" s="288"/>
      <c r="E6079" s="288"/>
    </row>
    <row r="6080" spans="1:5" x14ac:dyDescent="0.25">
      <c r="A6080" s="274"/>
      <c r="B6080" s="498"/>
      <c r="C6080" s="287"/>
      <c r="D6080" s="288"/>
      <c r="E6080" s="288"/>
    </row>
    <row r="6081" spans="1:5" x14ac:dyDescent="0.25">
      <c r="A6081" s="274"/>
      <c r="B6081" s="498"/>
      <c r="C6081" s="287"/>
      <c r="D6081" s="288"/>
      <c r="E6081" s="288"/>
    </row>
    <row r="6082" spans="1:5" x14ac:dyDescent="0.25">
      <c r="A6082" s="274"/>
      <c r="B6082" s="498"/>
      <c r="C6082" s="287"/>
      <c r="D6082" s="288"/>
      <c r="E6082" s="288"/>
    </row>
    <row r="6083" spans="1:5" x14ac:dyDescent="0.25">
      <c r="A6083" s="274"/>
      <c r="B6083" s="498"/>
      <c r="C6083" s="287"/>
      <c r="D6083" s="288"/>
      <c r="E6083" s="288"/>
    </row>
    <row r="6084" spans="1:5" x14ac:dyDescent="0.25">
      <c r="A6084" s="274"/>
      <c r="B6084" s="498"/>
      <c r="C6084" s="287"/>
      <c r="D6084" s="288"/>
      <c r="E6084" s="288"/>
    </row>
    <row r="6085" spans="1:5" x14ac:dyDescent="0.25">
      <c r="A6085" s="274"/>
      <c r="B6085" s="498"/>
      <c r="C6085" s="287"/>
      <c r="D6085" s="288"/>
      <c r="E6085" s="288"/>
    </row>
    <row r="6086" spans="1:5" x14ac:dyDescent="0.25">
      <c r="A6086" s="274"/>
      <c r="B6086" s="498"/>
      <c r="C6086" s="287"/>
      <c r="D6086" s="288"/>
      <c r="E6086" s="288"/>
    </row>
    <row r="6087" spans="1:5" x14ac:dyDescent="0.25">
      <c r="A6087" s="274"/>
      <c r="B6087" s="498"/>
      <c r="C6087" s="287"/>
      <c r="D6087" s="288"/>
      <c r="E6087" s="288"/>
    </row>
    <row r="6088" spans="1:5" x14ac:dyDescent="0.25">
      <c r="A6088" s="274"/>
      <c r="B6088" s="498"/>
      <c r="C6088" s="287"/>
      <c r="D6088" s="288"/>
      <c r="E6088" s="288"/>
    </row>
    <row r="6089" spans="1:5" x14ac:dyDescent="0.25">
      <c r="A6089" s="274"/>
      <c r="B6089" s="498"/>
      <c r="C6089" s="287"/>
      <c r="D6089" s="288"/>
      <c r="E6089" s="288"/>
    </row>
    <row r="6090" spans="1:5" x14ac:dyDescent="0.25">
      <c r="A6090" s="274"/>
      <c r="B6090" s="498"/>
      <c r="C6090" s="287"/>
      <c r="D6090" s="288"/>
      <c r="E6090" s="288"/>
    </row>
    <row r="6091" spans="1:5" x14ac:dyDescent="0.25">
      <c r="A6091" s="274"/>
      <c r="B6091" s="498"/>
      <c r="C6091" s="287"/>
      <c r="D6091" s="288"/>
      <c r="E6091" s="288"/>
    </row>
    <row r="6092" spans="1:5" x14ac:dyDescent="0.25">
      <c r="A6092" s="274"/>
      <c r="B6092" s="498"/>
      <c r="C6092" s="287"/>
      <c r="D6092" s="288"/>
      <c r="E6092" s="288"/>
    </row>
    <row r="6093" spans="1:5" x14ac:dyDescent="0.25">
      <c r="A6093" s="274"/>
      <c r="B6093" s="498"/>
      <c r="C6093" s="287"/>
      <c r="D6093" s="288"/>
      <c r="E6093" s="288"/>
    </row>
    <row r="6094" spans="1:5" x14ac:dyDescent="0.25">
      <c r="A6094" s="274"/>
      <c r="B6094" s="498"/>
      <c r="C6094" s="287"/>
      <c r="D6094" s="288"/>
      <c r="E6094" s="288"/>
    </row>
    <row r="6095" spans="1:5" x14ac:dyDescent="0.25">
      <c r="A6095" s="274"/>
      <c r="B6095" s="498"/>
      <c r="C6095" s="287"/>
      <c r="D6095" s="288"/>
      <c r="E6095" s="288"/>
    </row>
    <row r="6096" spans="1:5" x14ac:dyDescent="0.25">
      <c r="A6096" s="274"/>
      <c r="B6096" s="498"/>
      <c r="C6096" s="287"/>
      <c r="D6096" s="288"/>
      <c r="E6096" s="288"/>
    </row>
    <row r="6097" spans="1:5" x14ac:dyDescent="0.25">
      <c r="A6097" s="274"/>
      <c r="B6097" s="498"/>
      <c r="C6097" s="287"/>
      <c r="D6097" s="288"/>
      <c r="E6097" s="288"/>
    </row>
    <row r="6098" spans="1:5" x14ac:dyDescent="0.25">
      <c r="A6098" s="274"/>
      <c r="B6098" s="498"/>
      <c r="C6098" s="287"/>
      <c r="D6098" s="288"/>
      <c r="E6098" s="288"/>
    </row>
    <row r="6099" spans="1:5" x14ac:dyDescent="0.25">
      <c r="A6099" s="274"/>
      <c r="B6099" s="498"/>
      <c r="C6099" s="287"/>
      <c r="D6099" s="288"/>
      <c r="E6099" s="288"/>
    </row>
    <row r="6100" spans="1:5" x14ac:dyDescent="0.25">
      <c r="A6100" s="274"/>
      <c r="B6100" s="498"/>
      <c r="C6100" s="287"/>
      <c r="D6100" s="288"/>
      <c r="E6100" s="288"/>
    </row>
    <row r="6101" spans="1:5" x14ac:dyDescent="0.25">
      <c r="A6101" s="274"/>
      <c r="B6101" s="498"/>
      <c r="C6101" s="287"/>
      <c r="D6101" s="288"/>
      <c r="E6101" s="288"/>
    </row>
    <row r="6102" spans="1:5" x14ac:dyDescent="0.25">
      <c r="A6102" s="274"/>
      <c r="B6102" s="498"/>
      <c r="C6102" s="287"/>
      <c r="D6102" s="288"/>
      <c r="E6102" s="288"/>
    </row>
    <row r="6103" spans="1:5" x14ac:dyDescent="0.25">
      <c r="A6103" s="274"/>
      <c r="B6103" s="498"/>
      <c r="C6103" s="287"/>
      <c r="D6103" s="288"/>
      <c r="E6103" s="288"/>
    </row>
    <row r="6104" spans="1:5" x14ac:dyDescent="0.25">
      <c r="A6104" s="274"/>
      <c r="B6104" s="498"/>
      <c r="C6104" s="287"/>
      <c r="D6104" s="288"/>
      <c r="E6104" s="288"/>
    </row>
    <row r="6105" spans="1:5" x14ac:dyDescent="0.25">
      <c r="A6105" s="274"/>
      <c r="B6105" s="498"/>
      <c r="C6105" s="287"/>
      <c r="D6105" s="288"/>
      <c r="E6105" s="288"/>
    </row>
    <row r="6106" spans="1:5" x14ac:dyDescent="0.25">
      <c r="A6106" s="274"/>
      <c r="B6106" s="498"/>
      <c r="C6106" s="287"/>
      <c r="D6106" s="288"/>
      <c r="E6106" s="288"/>
    </row>
    <row r="6107" spans="1:5" x14ac:dyDescent="0.25">
      <c r="A6107" s="274"/>
      <c r="B6107" s="498"/>
      <c r="C6107" s="287"/>
      <c r="D6107" s="288"/>
      <c r="E6107" s="288"/>
    </row>
    <row r="6108" spans="1:5" x14ac:dyDescent="0.25">
      <c r="A6108" s="274"/>
      <c r="B6108" s="498"/>
      <c r="C6108" s="287"/>
      <c r="D6108" s="288"/>
      <c r="E6108" s="288"/>
    </row>
    <row r="6109" spans="1:5" x14ac:dyDescent="0.25">
      <c r="A6109" s="274"/>
      <c r="B6109" s="498"/>
      <c r="C6109" s="287"/>
      <c r="D6109" s="288"/>
      <c r="E6109" s="288"/>
    </row>
    <row r="6110" spans="1:5" x14ac:dyDescent="0.25">
      <c r="A6110" s="274"/>
      <c r="B6110" s="498"/>
      <c r="C6110" s="287"/>
      <c r="D6110" s="288"/>
      <c r="E6110" s="288"/>
    </row>
    <row r="6111" spans="1:5" x14ac:dyDescent="0.25">
      <c r="A6111" s="274"/>
      <c r="B6111" s="498"/>
      <c r="C6111" s="287"/>
      <c r="D6111" s="288"/>
      <c r="E6111" s="288"/>
    </row>
    <row r="6112" spans="1:5" x14ac:dyDescent="0.25">
      <c r="A6112" s="274"/>
      <c r="B6112" s="498"/>
      <c r="C6112" s="287"/>
      <c r="D6112" s="288"/>
      <c r="E6112" s="288"/>
    </row>
    <row r="6113" spans="1:5" x14ac:dyDescent="0.25">
      <c r="A6113" s="274"/>
      <c r="B6113" s="498"/>
      <c r="C6113" s="287"/>
      <c r="D6113" s="288"/>
      <c r="E6113" s="288"/>
    </row>
    <row r="6114" spans="1:5" x14ac:dyDescent="0.25">
      <c r="A6114" s="274"/>
      <c r="B6114" s="498"/>
      <c r="C6114" s="287"/>
      <c r="D6114" s="288"/>
      <c r="E6114" s="288"/>
    </row>
    <row r="6115" spans="1:5" x14ac:dyDescent="0.25">
      <c r="A6115" s="274"/>
      <c r="B6115" s="498"/>
      <c r="C6115" s="287"/>
      <c r="D6115" s="288"/>
      <c r="E6115" s="288"/>
    </row>
    <row r="6116" spans="1:5" x14ac:dyDescent="0.25">
      <c r="A6116" s="274"/>
      <c r="B6116" s="498"/>
      <c r="C6116" s="287"/>
      <c r="D6116" s="288"/>
      <c r="E6116" s="288"/>
    </row>
    <row r="6117" spans="1:5" x14ac:dyDescent="0.25">
      <c r="A6117" s="274"/>
      <c r="B6117" s="498"/>
      <c r="C6117" s="287"/>
      <c r="D6117" s="288"/>
      <c r="E6117" s="288"/>
    </row>
    <row r="6118" spans="1:5" x14ac:dyDescent="0.25">
      <c r="A6118" s="274"/>
      <c r="B6118" s="498"/>
      <c r="C6118" s="287"/>
      <c r="D6118" s="288"/>
      <c r="E6118" s="288"/>
    </row>
    <row r="6119" spans="1:5" x14ac:dyDescent="0.25">
      <c r="A6119" s="274"/>
      <c r="B6119" s="498"/>
      <c r="C6119" s="287"/>
      <c r="D6119" s="288"/>
      <c r="E6119" s="288"/>
    </row>
    <row r="6120" spans="1:5" x14ac:dyDescent="0.25">
      <c r="A6120" s="274"/>
      <c r="B6120" s="498"/>
      <c r="C6120" s="287"/>
      <c r="D6120" s="288"/>
      <c r="E6120" s="288"/>
    </row>
    <row r="6121" spans="1:5" x14ac:dyDescent="0.25">
      <c r="A6121" s="274"/>
      <c r="B6121" s="498"/>
      <c r="C6121" s="287"/>
      <c r="D6121" s="288"/>
      <c r="E6121" s="288"/>
    </row>
    <row r="6122" spans="1:5" x14ac:dyDescent="0.25">
      <c r="A6122" s="274"/>
      <c r="B6122" s="498"/>
      <c r="C6122" s="287"/>
      <c r="D6122" s="288"/>
      <c r="E6122" s="288"/>
    </row>
    <row r="6123" spans="1:5" x14ac:dyDescent="0.25">
      <c r="A6123" s="274"/>
      <c r="B6123" s="498"/>
      <c r="C6123" s="287"/>
      <c r="D6123" s="288"/>
      <c r="E6123" s="288"/>
    </row>
    <row r="6124" spans="1:5" x14ac:dyDescent="0.25">
      <c r="A6124" s="274"/>
      <c r="B6124" s="498"/>
      <c r="C6124" s="287"/>
      <c r="D6124" s="288"/>
      <c r="E6124" s="288"/>
    </row>
    <row r="6125" spans="1:5" x14ac:dyDescent="0.25">
      <c r="A6125" s="274"/>
      <c r="B6125" s="498"/>
      <c r="C6125" s="287"/>
      <c r="D6125" s="288"/>
      <c r="E6125" s="288"/>
    </row>
    <row r="6126" spans="1:5" x14ac:dyDescent="0.25">
      <c r="A6126" s="274"/>
      <c r="B6126" s="498"/>
      <c r="C6126" s="287"/>
      <c r="D6126" s="288"/>
      <c r="E6126" s="288"/>
    </row>
    <row r="6127" spans="1:5" x14ac:dyDescent="0.25">
      <c r="A6127" s="274"/>
      <c r="B6127" s="498"/>
      <c r="C6127" s="287"/>
      <c r="D6127" s="288"/>
      <c r="E6127" s="288"/>
    </row>
    <row r="6128" spans="1:5" x14ac:dyDescent="0.25">
      <c r="A6128" s="274"/>
      <c r="B6128" s="498"/>
      <c r="C6128" s="287"/>
      <c r="D6128" s="288"/>
      <c r="E6128" s="288"/>
    </row>
    <row r="6129" spans="1:5" x14ac:dyDescent="0.25">
      <c r="A6129" s="274"/>
      <c r="B6129" s="498"/>
      <c r="C6129" s="287"/>
      <c r="D6129" s="288"/>
      <c r="E6129" s="288"/>
    </row>
    <row r="6130" spans="1:5" x14ac:dyDescent="0.25">
      <c r="A6130" s="274"/>
      <c r="B6130" s="498"/>
      <c r="C6130" s="287"/>
      <c r="D6130" s="288"/>
      <c r="E6130" s="288"/>
    </row>
    <row r="6131" spans="1:5" x14ac:dyDescent="0.25">
      <c r="A6131" s="274"/>
      <c r="B6131" s="498"/>
      <c r="C6131" s="287"/>
      <c r="D6131" s="288"/>
      <c r="E6131" s="288"/>
    </row>
    <row r="6132" spans="1:5" x14ac:dyDescent="0.25">
      <c r="A6132" s="274"/>
      <c r="B6132" s="498"/>
      <c r="C6132" s="287"/>
      <c r="D6132" s="288"/>
      <c r="E6132" s="288"/>
    </row>
    <row r="6133" spans="1:5" x14ac:dyDescent="0.25">
      <c r="A6133" s="274"/>
      <c r="B6133" s="498"/>
      <c r="C6133" s="287"/>
      <c r="D6133" s="288"/>
      <c r="E6133" s="288"/>
    </row>
    <row r="6134" spans="1:5" x14ac:dyDescent="0.25">
      <c r="A6134" s="274"/>
      <c r="B6134" s="498"/>
      <c r="C6134" s="287"/>
      <c r="D6134" s="288"/>
      <c r="E6134" s="288"/>
    </row>
    <row r="6135" spans="1:5" x14ac:dyDescent="0.25">
      <c r="A6135" s="274"/>
      <c r="B6135" s="498"/>
      <c r="C6135" s="287"/>
      <c r="D6135" s="288"/>
      <c r="E6135" s="288"/>
    </row>
    <row r="6136" spans="1:5" x14ac:dyDescent="0.25">
      <c r="A6136" s="274"/>
      <c r="B6136" s="498"/>
      <c r="C6136" s="287"/>
      <c r="D6136" s="288"/>
      <c r="E6136" s="288"/>
    </row>
    <row r="6137" spans="1:5" x14ac:dyDescent="0.25">
      <c r="A6137" s="274"/>
      <c r="B6137" s="498"/>
      <c r="C6137" s="287"/>
      <c r="D6137" s="288"/>
      <c r="E6137" s="288"/>
    </row>
    <row r="6138" spans="1:5" x14ac:dyDescent="0.25">
      <c r="A6138" s="274"/>
      <c r="B6138" s="498"/>
      <c r="C6138" s="287"/>
      <c r="D6138" s="288"/>
      <c r="E6138" s="288"/>
    </row>
    <row r="6139" spans="1:5" x14ac:dyDescent="0.25">
      <c r="A6139" s="274"/>
      <c r="B6139" s="498"/>
      <c r="C6139" s="287"/>
      <c r="D6139" s="288"/>
      <c r="E6139" s="288"/>
    </row>
    <row r="6140" spans="1:5" x14ac:dyDescent="0.25">
      <c r="A6140" s="274"/>
      <c r="B6140" s="498"/>
      <c r="C6140" s="287"/>
      <c r="D6140" s="288"/>
      <c r="E6140" s="288"/>
    </row>
    <row r="6141" spans="1:5" x14ac:dyDescent="0.25">
      <c r="A6141" s="274"/>
      <c r="B6141" s="498"/>
      <c r="C6141" s="287"/>
      <c r="D6141" s="288"/>
      <c r="E6141" s="288"/>
    </row>
    <row r="6142" spans="1:5" x14ac:dyDescent="0.25">
      <c r="A6142" s="274"/>
      <c r="B6142" s="498"/>
      <c r="C6142" s="287"/>
      <c r="D6142" s="288"/>
      <c r="E6142" s="288"/>
    </row>
    <row r="6143" spans="1:5" x14ac:dyDescent="0.25">
      <c r="A6143" s="274"/>
      <c r="B6143" s="498"/>
      <c r="C6143" s="287"/>
      <c r="D6143" s="288"/>
      <c r="E6143" s="288"/>
    </row>
    <row r="6144" spans="1:5" x14ac:dyDescent="0.25">
      <c r="A6144" s="274"/>
      <c r="B6144" s="498"/>
      <c r="C6144" s="287"/>
      <c r="D6144" s="288"/>
      <c r="E6144" s="288"/>
    </row>
    <row r="6145" spans="1:5" x14ac:dyDescent="0.25">
      <c r="A6145" s="274"/>
      <c r="B6145" s="498"/>
      <c r="C6145" s="287"/>
      <c r="D6145" s="288"/>
      <c r="E6145" s="288"/>
    </row>
    <row r="6146" spans="1:5" x14ac:dyDescent="0.25">
      <c r="A6146" s="274"/>
      <c r="B6146" s="498"/>
      <c r="C6146" s="287"/>
      <c r="D6146" s="288"/>
      <c r="E6146" s="288"/>
    </row>
    <row r="6147" spans="1:5" x14ac:dyDescent="0.25">
      <c r="A6147" s="274"/>
      <c r="B6147" s="498"/>
      <c r="C6147" s="287"/>
      <c r="D6147" s="288"/>
      <c r="E6147" s="288"/>
    </row>
    <row r="6148" spans="1:5" x14ac:dyDescent="0.25">
      <c r="A6148" s="274"/>
      <c r="B6148" s="498"/>
      <c r="C6148" s="287"/>
      <c r="D6148" s="288"/>
      <c r="E6148" s="288"/>
    </row>
    <row r="6149" spans="1:5" x14ac:dyDescent="0.25">
      <c r="A6149" s="274"/>
      <c r="B6149" s="498"/>
      <c r="C6149" s="287"/>
      <c r="D6149" s="288"/>
      <c r="E6149" s="288"/>
    </row>
    <row r="6150" spans="1:5" x14ac:dyDescent="0.25">
      <c r="A6150" s="274"/>
      <c r="B6150" s="498"/>
      <c r="C6150" s="287"/>
      <c r="D6150" s="288"/>
      <c r="E6150" s="288"/>
    </row>
    <row r="6151" spans="1:5" x14ac:dyDescent="0.25">
      <c r="A6151" s="274"/>
      <c r="B6151" s="498"/>
      <c r="C6151" s="287"/>
      <c r="D6151" s="288"/>
      <c r="E6151" s="288"/>
    </row>
    <row r="6152" spans="1:5" x14ac:dyDescent="0.25">
      <c r="A6152" s="274"/>
      <c r="B6152" s="498"/>
      <c r="C6152" s="287"/>
      <c r="D6152" s="288"/>
      <c r="E6152" s="288"/>
    </row>
    <row r="6153" spans="1:5" x14ac:dyDescent="0.25">
      <c r="A6153" s="274"/>
      <c r="B6153" s="498"/>
      <c r="C6153" s="287"/>
      <c r="D6153" s="288"/>
      <c r="E6153" s="288"/>
    </row>
    <row r="6154" spans="1:5" x14ac:dyDescent="0.25">
      <c r="A6154" s="274"/>
      <c r="B6154" s="498"/>
      <c r="C6154" s="287"/>
      <c r="D6154" s="288"/>
      <c r="E6154" s="288"/>
    </row>
    <row r="6155" spans="1:5" x14ac:dyDescent="0.25">
      <c r="A6155" s="274"/>
      <c r="B6155" s="498"/>
      <c r="C6155" s="287"/>
      <c r="D6155" s="288"/>
      <c r="E6155" s="288"/>
    </row>
    <row r="6156" spans="1:5" x14ac:dyDescent="0.25">
      <c r="A6156" s="274"/>
      <c r="B6156" s="498"/>
      <c r="C6156" s="287"/>
      <c r="D6156" s="288"/>
      <c r="E6156" s="288"/>
    </row>
    <row r="6157" spans="1:5" x14ac:dyDescent="0.25">
      <c r="A6157" s="274"/>
      <c r="B6157" s="498"/>
      <c r="C6157" s="287"/>
      <c r="D6157" s="288"/>
      <c r="E6157" s="288"/>
    </row>
    <row r="6158" spans="1:5" x14ac:dyDescent="0.25">
      <c r="A6158" s="274"/>
      <c r="B6158" s="498"/>
      <c r="C6158" s="287"/>
      <c r="D6158" s="288"/>
      <c r="E6158" s="288"/>
    </row>
    <row r="6159" spans="1:5" x14ac:dyDescent="0.25">
      <c r="A6159" s="274"/>
      <c r="B6159" s="498"/>
      <c r="C6159" s="287"/>
      <c r="D6159" s="288"/>
      <c r="E6159" s="288"/>
    </row>
    <row r="6160" spans="1:5" x14ac:dyDescent="0.25">
      <c r="A6160" s="274"/>
      <c r="B6160" s="498"/>
      <c r="C6160" s="287"/>
      <c r="D6160" s="288"/>
      <c r="E6160" s="288"/>
    </row>
    <row r="6161" spans="1:5" x14ac:dyDescent="0.25">
      <c r="A6161" s="274"/>
      <c r="B6161" s="498"/>
      <c r="C6161" s="287"/>
      <c r="D6161" s="288"/>
      <c r="E6161" s="288"/>
    </row>
    <row r="6162" spans="1:5" x14ac:dyDescent="0.25">
      <c r="A6162" s="274"/>
      <c r="B6162" s="498"/>
      <c r="C6162" s="287"/>
      <c r="D6162" s="288"/>
      <c r="E6162" s="288"/>
    </row>
    <row r="6163" spans="1:5" x14ac:dyDescent="0.25">
      <c r="A6163" s="274"/>
      <c r="B6163" s="498"/>
      <c r="C6163" s="287"/>
      <c r="D6163" s="288"/>
      <c r="E6163" s="288"/>
    </row>
    <row r="6164" spans="1:5" x14ac:dyDescent="0.25">
      <c r="A6164" s="274"/>
      <c r="B6164" s="498"/>
      <c r="C6164" s="287"/>
      <c r="D6164" s="288"/>
      <c r="E6164" s="288"/>
    </row>
    <row r="6165" spans="1:5" x14ac:dyDescent="0.25">
      <c r="A6165" s="274"/>
      <c r="B6165" s="498"/>
      <c r="C6165" s="287"/>
      <c r="D6165" s="288"/>
      <c r="E6165" s="288"/>
    </row>
    <row r="6166" spans="1:5" x14ac:dyDescent="0.25">
      <c r="A6166" s="274"/>
      <c r="B6166" s="498"/>
      <c r="C6166" s="287"/>
      <c r="D6166" s="288"/>
      <c r="E6166" s="288"/>
    </row>
    <row r="6167" spans="1:5" x14ac:dyDescent="0.25">
      <c r="A6167" s="274"/>
      <c r="B6167" s="498"/>
      <c r="C6167" s="287"/>
      <c r="D6167" s="288"/>
      <c r="E6167" s="288"/>
    </row>
    <row r="6168" spans="1:5" x14ac:dyDescent="0.25">
      <c r="A6168" s="274"/>
      <c r="B6168" s="498"/>
      <c r="C6168" s="287"/>
      <c r="D6168" s="288"/>
      <c r="E6168" s="288"/>
    </row>
    <row r="6169" spans="1:5" x14ac:dyDescent="0.25">
      <c r="A6169" s="274"/>
      <c r="B6169" s="498"/>
      <c r="C6169" s="287"/>
      <c r="D6169" s="288"/>
      <c r="E6169" s="288"/>
    </row>
    <row r="6170" spans="1:5" x14ac:dyDescent="0.25">
      <c r="A6170" s="274"/>
      <c r="B6170" s="498"/>
      <c r="C6170" s="287"/>
      <c r="D6170" s="288"/>
      <c r="E6170" s="288"/>
    </row>
    <row r="6171" spans="1:5" x14ac:dyDescent="0.25">
      <c r="A6171" s="274"/>
      <c r="B6171" s="498"/>
      <c r="C6171" s="287"/>
      <c r="D6171" s="288"/>
      <c r="E6171" s="288"/>
    </row>
    <row r="6172" spans="1:5" x14ac:dyDescent="0.25">
      <c r="A6172" s="274"/>
      <c r="B6172" s="498"/>
      <c r="C6172" s="287"/>
      <c r="D6172" s="288"/>
      <c r="E6172" s="288"/>
    </row>
    <row r="6173" spans="1:5" x14ac:dyDescent="0.25">
      <c r="A6173" s="274"/>
      <c r="B6173" s="498"/>
      <c r="C6173" s="287"/>
      <c r="D6173" s="288"/>
      <c r="E6173" s="288"/>
    </row>
    <row r="6174" spans="1:5" x14ac:dyDescent="0.25">
      <c r="A6174" s="274"/>
      <c r="B6174" s="498"/>
      <c r="C6174" s="287"/>
      <c r="D6174" s="288"/>
      <c r="E6174" s="288"/>
    </row>
    <row r="6175" spans="1:5" x14ac:dyDescent="0.25">
      <c r="A6175" s="274"/>
      <c r="B6175" s="498"/>
      <c r="C6175" s="287"/>
      <c r="D6175" s="288"/>
      <c r="E6175" s="288"/>
    </row>
    <row r="6176" spans="1:5" x14ac:dyDescent="0.25">
      <c r="A6176" s="274"/>
      <c r="B6176" s="498"/>
      <c r="C6176" s="287"/>
      <c r="D6176" s="288"/>
      <c r="E6176" s="288"/>
    </row>
    <row r="6177" spans="1:5" x14ac:dyDescent="0.25">
      <c r="A6177" s="274"/>
      <c r="B6177" s="498"/>
      <c r="C6177" s="287"/>
      <c r="D6177" s="288"/>
      <c r="E6177" s="288"/>
    </row>
    <row r="6178" spans="1:5" x14ac:dyDescent="0.25">
      <c r="A6178" s="274"/>
      <c r="B6178" s="498"/>
      <c r="C6178" s="287"/>
      <c r="D6178" s="288"/>
      <c r="E6178" s="288"/>
    </row>
    <row r="6179" spans="1:5" x14ac:dyDescent="0.25">
      <c r="A6179" s="274"/>
      <c r="B6179" s="498"/>
      <c r="C6179" s="287"/>
      <c r="D6179" s="288"/>
      <c r="E6179" s="288"/>
    </row>
    <row r="6180" spans="1:5" x14ac:dyDescent="0.25">
      <c r="A6180" s="274"/>
      <c r="B6180" s="498"/>
      <c r="C6180" s="287"/>
      <c r="D6180" s="288"/>
      <c r="E6180" s="288"/>
    </row>
    <row r="6181" spans="1:5" x14ac:dyDescent="0.25">
      <c r="A6181" s="274"/>
      <c r="B6181" s="498"/>
      <c r="C6181" s="287"/>
      <c r="D6181" s="288"/>
      <c r="E6181" s="288"/>
    </row>
    <row r="6182" spans="1:5" x14ac:dyDescent="0.25">
      <c r="A6182" s="274"/>
      <c r="B6182" s="498"/>
      <c r="C6182" s="287"/>
      <c r="D6182" s="288"/>
      <c r="E6182" s="288"/>
    </row>
    <row r="6183" spans="1:5" x14ac:dyDescent="0.25">
      <c r="A6183" s="274"/>
      <c r="B6183" s="498"/>
      <c r="C6183" s="287"/>
      <c r="D6183" s="288"/>
      <c r="E6183" s="288"/>
    </row>
    <row r="6184" spans="1:5" x14ac:dyDescent="0.25">
      <c r="A6184" s="274"/>
      <c r="B6184" s="498"/>
      <c r="C6184" s="287"/>
      <c r="D6184" s="288"/>
      <c r="E6184" s="288"/>
    </row>
    <row r="6185" spans="1:5" x14ac:dyDescent="0.25">
      <c r="A6185" s="274"/>
      <c r="B6185" s="498"/>
      <c r="C6185" s="287"/>
      <c r="D6185" s="288"/>
      <c r="E6185" s="288"/>
    </row>
    <row r="6186" spans="1:5" x14ac:dyDescent="0.25">
      <c r="A6186" s="274"/>
      <c r="B6186" s="498"/>
      <c r="C6186" s="287"/>
      <c r="D6186" s="288"/>
      <c r="E6186" s="288"/>
    </row>
    <row r="6187" spans="1:5" x14ac:dyDescent="0.25">
      <c r="A6187" s="274"/>
      <c r="B6187" s="498"/>
      <c r="C6187" s="287"/>
      <c r="D6187" s="288"/>
      <c r="E6187" s="288"/>
    </row>
    <row r="6188" spans="1:5" x14ac:dyDescent="0.25">
      <c r="A6188" s="274"/>
      <c r="B6188" s="498"/>
      <c r="C6188" s="287"/>
      <c r="D6188" s="288"/>
      <c r="E6188" s="288"/>
    </row>
    <row r="6189" spans="1:5" x14ac:dyDescent="0.25">
      <c r="A6189" s="274"/>
      <c r="B6189" s="498"/>
      <c r="C6189" s="287"/>
      <c r="D6189" s="288"/>
      <c r="E6189" s="288"/>
    </row>
    <row r="6190" spans="1:5" x14ac:dyDescent="0.25">
      <c r="A6190" s="274"/>
      <c r="B6190" s="498"/>
      <c r="C6190" s="287"/>
      <c r="D6190" s="288"/>
      <c r="E6190" s="288"/>
    </row>
    <row r="6191" spans="1:5" x14ac:dyDescent="0.25">
      <c r="A6191" s="274"/>
      <c r="B6191" s="498"/>
      <c r="C6191" s="287"/>
      <c r="D6191" s="288"/>
      <c r="E6191" s="288"/>
    </row>
    <row r="6192" spans="1:5" x14ac:dyDescent="0.25">
      <c r="A6192" s="274"/>
      <c r="B6192" s="498"/>
      <c r="C6192" s="287"/>
      <c r="D6192" s="288"/>
      <c r="E6192" s="288"/>
    </row>
    <row r="6193" spans="1:5" x14ac:dyDescent="0.25">
      <c r="A6193" s="274"/>
      <c r="B6193" s="498"/>
      <c r="C6193" s="287"/>
      <c r="D6193" s="288"/>
      <c r="E6193" s="288"/>
    </row>
    <row r="6194" spans="1:5" x14ac:dyDescent="0.25">
      <c r="A6194" s="274"/>
      <c r="B6194" s="498"/>
      <c r="C6194" s="287"/>
      <c r="D6194" s="288"/>
      <c r="E6194" s="288"/>
    </row>
    <row r="6195" spans="1:5" x14ac:dyDescent="0.25">
      <c r="A6195" s="274"/>
      <c r="B6195" s="498"/>
      <c r="C6195" s="287"/>
      <c r="D6195" s="288"/>
      <c r="E6195" s="288"/>
    </row>
    <row r="6196" spans="1:5" x14ac:dyDescent="0.25">
      <c r="A6196" s="274"/>
      <c r="B6196" s="498"/>
      <c r="C6196" s="287"/>
      <c r="D6196" s="288"/>
      <c r="E6196" s="288"/>
    </row>
    <row r="6197" spans="1:5" x14ac:dyDescent="0.25">
      <c r="A6197" s="274"/>
      <c r="B6197" s="498"/>
      <c r="C6197" s="287"/>
      <c r="D6197" s="288"/>
      <c r="E6197" s="288"/>
    </row>
    <row r="6198" spans="1:5" x14ac:dyDescent="0.25">
      <c r="A6198" s="274"/>
      <c r="B6198" s="498"/>
      <c r="C6198" s="287"/>
      <c r="D6198" s="288"/>
      <c r="E6198" s="288"/>
    </row>
    <row r="6199" spans="1:5" x14ac:dyDescent="0.25">
      <c r="A6199" s="274"/>
      <c r="B6199" s="498"/>
      <c r="C6199" s="287"/>
      <c r="D6199" s="288"/>
      <c r="E6199" s="288"/>
    </row>
    <row r="6200" spans="1:5" x14ac:dyDescent="0.25">
      <c r="A6200" s="274"/>
      <c r="B6200" s="498"/>
      <c r="C6200" s="287"/>
      <c r="D6200" s="288"/>
      <c r="E6200" s="288"/>
    </row>
    <row r="6201" spans="1:5" x14ac:dyDescent="0.25">
      <c r="A6201" s="274"/>
      <c r="B6201" s="498"/>
      <c r="C6201" s="287"/>
      <c r="D6201" s="288"/>
      <c r="E6201" s="288"/>
    </row>
    <row r="6202" spans="1:5" x14ac:dyDescent="0.25">
      <c r="A6202" s="274"/>
      <c r="B6202" s="498"/>
      <c r="C6202" s="287"/>
      <c r="D6202" s="288"/>
      <c r="E6202" s="288"/>
    </row>
    <row r="6203" spans="1:5" x14ac:dyDescent="0.25">
      <c r="A6203" s="274"/>
      <c r="B6203" s="498"/>
      <c r="C6203" s="287"/>
      <c r="D6203" s="288"/>
      <c r="E6203" s="288"/>
    </row>
    <row r="6204" spans="1:5" x14ac:dyDescent="0.25">
      <c r="A6204" s="274"/>
      <c r="B6204" s="498"/>
      <c r="C6204" s="287"/>
      <c r="D6204" s="288"/>
      <c r="E6204" s="288"/>
    </row>
    <row r="6205" spans="1:5" x14ac:dyDescent="0.25">
      <c r="A6205" s="274"/>
      <c r="B6205" s="498"/>
      <c r="C6205" s="287"/>
      <c r="D6205" s="288"/>
      <c r="E6205" s="288"/>
    </row>
    <row r="6206" spans="1:5" x14ac:dyDescent="0.25">
      <c r="A6206" s="274"/>
      <c r="B6206" s="498"/>
      <c r="C6206" s="287"/>
      <c r="D6206" s="288"/>
      <c r="E6206" s="288"/>
    </row>
    <row r="6207" spans="1:5" x14ac:dyDescent="0.25">
      <c r="A6207" s="274"/>
      <c r="B6207" s="498"/>
      <c r="C6207" s="287"/>
      <c r="D6207" s="288"/>
      <c r="E6207" s="288"/>
    </row>
    <row r="6208" spans="1:5" x14ac:dyDescent="0.25">
      <c r="A6208" s="274"/>
      <c r="B6208" s="498"/>
      <c r="C6208" s="287"/>
      <c r="D6208" s="288"/>
      <c r="E6208" s="288"/>
    </row>
    <row r="6209" spans="1:5" x14ac:dyDescent="0.25">
      <c r="A6209" s="274"/>
      <c r="B6209" s="498"/>
      <c r="C6209" s="287"/>
      <c r="D6209" s="288"/>
      <c r="E6209" s="288"/>
    </row>
    <row r="6210" spans="1:5" x14ac:dyDescent="0.25">
      <c r="A6210" s="274"/>
      <c r="B6210" s="498"/>
      <c r="C6210" s="287"/>
      <c r="D6210" s="288"/>
      <c r="E6210" s="288"/>
    </row>
    <row r="6211" spans="1:5" x14ac:dyDescent="0.25">
      <c r="A6211" s="274"/>
      <c r="B6211" s="498"/>
      <c r="C6211" s="287"/>
      <c r="D6211" s="288"/>
      <c r="E6211" s="288"/>
    </row>
    <row r="6212" spans="1:5" x14ac:dyDescent="0.25">
      <c r="A6212" s="274"/>
      <c r="B6212" s="498"/>
      <c r="C6212" s="287"/>
      <c r="D6212" s="288"/>
      <c r="E6212" s="288"/>
    </row>
    <row r="6213" spans="1:5" x14ac:dyDescent="0.25">
      <c r="A6213" s="274"/>
      <c r="B6213" s="498"/>
      <c r="C6213" s="287"/>
      <c r="D6213" s="288"/>
      <c r="E6213" s="288"/>
    </row>
    <row r="6214" spans="1:5" x14ac:dyDescent="0.25">
      <c r="A6214" s="274"/>
      <c r="B6214" s="498"/>
      <c r="C6214" s="287"/>
      <c r="D6214" s="288"/>
      <c r="E6214" s="288"/>
    </row>
    <row r="6215" spans="1:5" x14ac:dyDescent="0.25">
      <c r="A6215" s="274"/>
      <c r="B6215" s="498"/>
      <c r="C6215" s="287"/>
      <c r="D6215" s="288"/>
      <c r="E6215" s="288"/>
    </row>
    <row r="6216" spans="1:5" x14ac:dyDescent="0.25">
      <c r="A6216" s="274"/>
      <c r="B6216" s="498"/>
      <c r="C6216" s="287"/>
      <c r="D6216" s="288"/>
      <c r="E6216" s="288"/>
    </row>
    <row r="6217" spans="1:5" x14ac:dyDescent="0.25">
      <c r="A6217" s="274"/>
      <c r="B6217" s="498"/>
      <c r="C6217" s="287"/>
      <c r="D6217" s="288"/>
      <c r="E6217" s="288"/>
    </row>
    <row r="6218" spans="1:5" x14ac:dyDescent="0.25">
      <c r="A6218" s="274"/>
      <c r="B6218" s="498"/>
      <c r="C6218" s="287"/>
      <c r="D6218" s="288"/>
      <c r="E6218" s="288"/>
    </row>
    <row r="6219" spans="1:5" x14ac:dyDescent="0.25">
      <c r="A6219" s="274"/>
      <c r="B6219" s="498"/>
      <c r="C6219" s="287"/>
      <c r="D6219" s="288"/>
      <c r="E6219" s="288"/>
    </row>
    <row r="6220" spans="1:5" x14ac:dyDescent="0.25">
      <c r="A6220" s="274"/>
      <c r="B6220" s="498"/>
      <c r="C6220" s="287"/>
      <c r="D6220" s="288"/>
      <c r="E6220" s="288"/>
    </row>
    <row r="6221" spans="1:5" x14ac:dyDescent="0.25">
      <c r="A6221" s="274"/>
      <c r="B6221" s="498"/>
      <c r="C6221" s="287"/>
      <c r="D6221" s="288"/>
      <c r="E6221" s="288"/>
    </row>
    <row r="6222" spans="1:5" x14ac:dyDescent="0.25">
      <c r="A6222" s="274"/>
      <c r="B6222" s="498"/>
      <c r="C6222" s="287"/>
      <c r="D6222" s="288"/>
      <c r="E6222" s="288"/>
    </row>
    <row r="6223" spans="1:5" x14ac:dyDescent="0.25">
      <c r="A6223" s="274"/>
      <c r="B6223" s="498"/>
      <c r="C6223" s="287"/>
      <c r="D6223" s="288"/>
      <c r="E6223" s="288"/>
    </row>
    <row r="6224" spans="1:5" x14ac:dyDescent="0.25">
      <c r="A6224" s="274"/>
      <c r="B6224" s="498"/>
      <c r="C6224" s="287"/>
      <c r="D6224" s="288"/>
      <c r="E6224" s="288"/>
    </row>
    <row r="6225" spans="1:5" x14ac:dyDescent="0.25">
      <c r="A6225" s="274"/>
      <c r="B6225" s="498"/>
      <c r="C6225" s="287"/>
      <c r="D6225" s="288"/>
      <c r="E6225" s="288"/>
    </row>
    <row r="6226" spans="1:5" x14ac:dyDescent="0.25">
      <c r="A6226" s="274"/>
      <c r="B6226" s="498"/>
      <c r="C6226" s="287"/>
      <c r="D6226" s="288"/>
      <c r="E6226" s="288"/>
    </row>
    <row r="6227" spans="1:5" x14ac:dyDescent="0.25">
      <c r="A6227" s="274"/>
      <c r="B6227" s="498"/>
      <c r="C6227" s="287"/>
      <c r="D6227" s="288"/>
      <c r="E6227" s="288"/>
    </row>
    <row r="6228" spans="1:5" x14ac:dyDescent="0.25">
      <c r="A6228" s="274"/>
      <c r="B6228" s="498"/>
      <c r="C6228" s="287"/>
      <c r="D6228" s="288"/>
      <c r="E6228" s="288"/>
    </row>
    <row r="6229" spans="1:5" x14ac:dyDescent="0.25">
      <c r="A6229" s="274"/>
      <c r="B6229" s="498"/>
      <c r="C6229" s="287"/>
      <c r="D6229" s="288"/>
      <c r="E6229" s="288"/>
    </row>
    <row r="6230" spans="1:5" x14ac:dyDescent="0.25">
      <c r="A6230" s="274"/>
      <c r="B6230" s="498"/>
      <c r="C6230" s="287"/>
      <c r="D6230" s="288"/>
      <c r="E6230" s="288"/>
    </row>
    <row r="6231" spans="1:5" x14ac:dyDescent="0.25">
      <c r="A6231" s="274"/>
      <c r="B6231" s="498"/>
      <c r="C6231" s="287"/>
      <c r="D6231" s="288"/>
      <c r="E6231" s="288"/>
    </row>
    <row r="6232" spans="1:5" x14ac:dyDescent="0.25">
      <c r="A6232" s="274"/>
      <c r="B6232" s="498"/>
      <c r="C6232" s="287"/>
      <c r="D6232" s="288"/>
      <c r="E6232" s="288"/>
    </row>
    <row r="6233" spans="1:5" x14ac:dyDescent="0.25">
      <c r="A6233" s="274"/>
      <c r="B6233" s="498"/>
      <c r="C6233" s="287"/>
      <c r="D6233" s="288"/>
      <c r="E6233" s="288"/>
    </row>
    <row r="6234" spans="1:5" x14ac:dyDescent="0.25">
      <c r="A6234" s="274"/>
      <c r="B6234" s="498"/>
      <c r="C6234" s="287"/>
      <c r="D6234" s="288"/>
      <c r="E6234" s="288"/>
    </row>
    <row r="6235" spans="1:5" x14ac:dyDescent="0.25">
      <c r="A6235" s="274"/>
      <c r="B6235" s="498"/>
      <c r="C6235" s="287"/>
      <c r="D6235" s="288"/>
      <c r="E6235" s="288"/>
    </row>
    <row r="6236" spans="1:5" x14ac:dyDescent="0.25">
      <c r="A6236" s="274"/>
      <c r="B6236" s="498"/>
      <c r="C6236" s="287"/>
      <c r="D6236" s="288"/>
      <c r="E6236" s="288"/>
    </row>
    <row r="6237" spans="1:5" x14ac:dyDescent="0.25">
      <c r="A6237" s="274"/>
      <c r="B6237" s="498"/>
      <c r="C6237" s="287"/>
      <c r="D6237" s="288"/>
      <c r="E6237" s="288"/>
    </row>
    <row r="6238" spans="1:5" x14ac:dyDescent="0.25">
      <c r="A6238" s="274"/>
      <c r="B6238" s="498"/>
      <c r="C6238" s="287"/>
      <c r="D6238" s="288"/>
      <c r="E6238" s="288"/>
    </row>
    <row r="6239" spans="1:5" x14ac:dyDescent="0.25">
      <c r="A6239" s="274"/>
      <c r="B6239" s="498"/>
      <c r="C6239" s="287"/>
      <c r="D6239" s="288"/>
      <c r="E6239" s="288"/>
    </row>
    <row r="6240" spans="1:5" x14ac:dyDescent="0.25">
      <c r="A6240" s="274"/>
      <c r="B6240" s="498"/>
      <c r="C6240" s="287"/>
      <c r="D6240" s="288"/>
      <c r="E6240" s="288"/>
    </row>
    <row r="6241" spans="1:5" x14ac:dyDescent="0.25">
      <c r="A6241" s="274"/>
      <c r="B6241" s="498"/>
      <c r="C6241" s="287"/>
      <c r="D6241" s="288"/>
      <c r="E6241" s="288"/>
    </row>
    <row r="6242" spans="1:5" x14ac:dyDescent="0.25">
      <c r="A6242" s="274"/>
      <c r="B6242" s="498"/>
      <c r="C6242" s="287"/>
      <c r="D6242" s="288"/>
      <c r="E6242" s="288"/>
    </row>
    <row r="6243" spans="1:5" x14ac:dyDescent="0.25">
      <c r="A6243" s="274"/>
      <c r="B6243" s="498"/>
      <c r="C6243" s="287"/>
      <c r="D6243" s="288"/>
      <c r="E6243" s="288"/>
    </row>
    <row r="6244" spans="1:5" x14ac:dyDescent="0.25">
      <c r="A6244" s="274"/>
      <c r="B6244" s="498"/>
      <c r="C6244" s="287"/>
      <c r="D6244" s="288"/>
      <c r="E6244" s="288"/>
    </row>
    <row r="6245" spans="1:5" x14ac:dyDescent="0.25">
      <c r="A6245" s="274"/>
      <c r="B6245" s="498"/>
      <c r="C6245" s="287"/>
      <c r="D6245" s="288"/>
      <c r="E6245" s="288"/>
    </row>
    <row r="6246" spans="1:5" x14ac:dyDescent="0.25">
      <c r="A6246" s="274"/>
      <c r="B6246" s="498"/>
      <c r="C6246" s="287"/>
      <c r="D6246" s="288"/>
      <c r="E6246" s="288"/>
    </row>
    <row r="6247" spans="1:5" x14ac:dyDescent="0.25">
      <c r="A6247" s="274"/>
      <c r="B6247" s="498"/>
      <c r="C6247" s="287"/>
      <c r="D6247" s="288"/>
      <c r="E6247" s="288"/>
    </row>
    <row r="6248" spans="1:5" x14ac:dyDescent="0.25">
      <c r="A6248" s="274"/>
      <c r="B6248" s="498"/>
      <c r="C6248" s="287"/>
      <c r="D6248" s="288"/>
      <c r="E6248" s="288"/>
    </row>
    <row r="6249" spans="1:5" x14ac:dyDescent="0.25">
      <c r="A6249" s="274"/>
      <c r="B6249" s="498"/>
      <c r="C6249" s="287"/>
      <c r="D6249" s="288"/>
      <c r="E6249" s="288"/>
    </row>
    <row r="6250" spans="1:5" x14ac:dyDescent="0.25">
      <c r="A6250" s="274"/>
      <c r="B6250" s="498"/>
      <c r="C6250" s="287"/>
      <c r="D6250" s="288"/>
      <c r="E6250" s="288"/>
    </row>
    <row r="6251" spans="1:5" x14ac:dyDescent="0.25">
      <c r="A6251" s="274"/>
      <c r="B6251" s="498"/>
      <c r="C6251" s="287"/>
      <c r="D6251" s="288"/>
      <c r="E6251" s="288"/>
    </row>
    <row r="6252" spans="1:5" x14ac:dyDescent="0.25">
      <c r="A6252" s="274"/>
      <c r="B6252" s="498"/>
      <c r="C6252" s="287"/>
      <c r="D6252" s="288"/>
      <c r="E6252" s="288"/>
    </row>
    <row r="6253" spans="1:5" x14ac:dyDescent="0.25">
      <c r="A6253" s="274"/>
      <c r="B6253" s="498"/>
      <c r="C6253" s="287"/>
      <c r="D6253" s="288"/>
      <c r="E6253" s="288"/>
    </row>
    <row r="6254" spans="1:5" x14ac:dyDescent="0.25">
      <c r="A6254" s="274"/>
      <c r="B6254" s="498"/>
      <c r="C6254" s="287"/>
      <c r="D6254" s="288"/>
      <c r="E6254" s="288"/>
    </row>
    <row r="6255" spans="1:5" x14ac:dyDescent="0.25">
      <c r="A6255" s="274"/>
      <c r="B6255" s="498"/>
      <c r="C6255" s="287"/>
      <c r="D6255" s="288"/>
      <c r="E6255" s="288"/>
    </row>
    <row r="6256" spans="1:5" x14ac:dyDescent="0.25">
      <c r="A6256" s="274"/>
      <c r="B6256" s="498"/>
      <c r="C6256" s="287"/>
      <c r="D6256" s="288"/>
      <c r="E6256" s="288"/>
    </row>
    <row r="6257" spans="1:5" x14ac:dyDescent="0.25">
      <c r="A6257" s="274"/>
      <c r="B6257" s="498"/>
      <c r="C6257" s="287"/>
      <c r="D6257" s="288"/>
      <c r="E6257" s="288"/>
    </row>
    <row r="6258" spans="1:5" x14ac:dyDescent="0.25">
      <c r="A6258" s="274"/>
      <c r="B6258" s="498"/>
      <c r="C6258" s="287"/>
      <c r="D6258" s="288"/>
      <c r="E6258" s="288"/>
    </row>
    <row r="6259" spans="1:5" x14ac:dyDescent="0.25">
      <c r="A6259" s="274"/>
      <c r="B6259" s="498"/>
      <c r="C6259" s="287"/>
      <c r="D6259" s="288"/>
      <c r="E6259" s="288"/>
    </row>
    <row r="6260" spans="1:5" x14ac:dyDescent="0.25">
      <c r="A6260" s="274"/>
      <c r="B6260" s="498"/>
      <c r="C6260" s="287"/>
      <c r="D6260" s="288"/>
      <c r="E6260" s="288"/>
    </row>
    <row r="6261" spans="1:5" x14ac:dyDescent="0.25">
      <c r="A6261" s="274"/>
      <c r="B6261" s="498"/>
      <c r="C6261" s="287"/>
      <c r="D6261" s="288"/>
      <c r="E6261" s="288"/>
    </row>
    <row r="6262" spans="1:5" x14ac:dyDescent="0.25">
      <c r="A6262" s="274"/>
      <c r="B6262" s="498"/>
      <c r="C6262" s="287"/>
      <c r="D6262" s="288"/>
      <c r="E6262" s="288"/>
    </row>
    <row r="6263" spans="1:5" x14ac:dyDescent="0.25">
      <c r="A6263" s="274"/>
      <c r="B6263" s="498"/>
      <c r="C6263" s="287"/>
      <c r="D6263" s="288"/>
      <c r="E6263" s="288"/>
    </row>
    <row r="6264" spans="1:5" x14ac:dyDescent="0.25">
      <c r="A6264" s="274"/>
      <c r="B6264" s="498"/>
      <c r="C6264" s="287"/>
      <c r="D6264" s="288"/>
      <c r="E6264" s="288"/>
    </row>
    <row r="6265" spans="1:5" x14ac:dyDescent="0.25">
      <c r="A6265" s="274"/>
      <c r="B6265" s="498"/>
      <c r="C6265" s="287"/>
      <c r="D6265" s="288"/>
      <c r="E6265" s="288"/>
    </row>
    <row r="6266" spans="1:5" x14ac:dyDescent="0.25">
      <c r="A6266" s="274"/>
      <c r="B6266" s="498"/>
      <c r="C6266" s="287"/>
      <c r="D6266" s="288"/>
      <c r="E6266" s="288"/>
    </row>
    <row r="6267" spans="1:5" x14ac:dyDescent="0.25">
      <c r="A6267" s="274"/>
      <c r="B6267" s="498"/>
      <c r="C6267" s="287"/>
      <c r="D6267" s="288"/>
      <c r="E6267" s="288"/>
    </row>
    <row r="6268" spans="1:5" x14ac:dyDescent="0.25">
      <c r="A6268" s="274"/>
      <c r="B6268" s="498"/>
      <c r="C6268" s="287"/>
      <c r="D6268" s="288"/>
      <c r="E6268" s="288"/>
    </row>
    <row r="6269" spans="1:5" x14ac:dyDescent="0.25">
      <c r="A6269" s="274"/>
      <c r="B6269" s="498"/>
      <c r="C6269" s="287"/>
      <c r="D6269" s="288"/>
      <c r="E6269" s="288"/>
    </row>
    <row r="6270" spans="1:5" x14ac:dyDescent="0.25">
      <c r="A6270" s="274"/>
      <c r="B6270" s="498"/>
      <c r="C6270" s="287"/>
      <c r="D6270" s="288"/>
      <c r="E6270" s="288"/>
    </row>
    <row r="6271" spans="1:5" x14ac:dyDescent="0.25">
      <c r="A6271" s="274"/>
      <c r="B6271" s="498"/>
      <c r="C6271" s="287"/>
      <c r="D6271" s="288"/>
      <c r="E6271" s="288"/>
    </row>
    <row r="6272" spans="1:5" x14ac:dyDescent="0.25">
      <c r="A6272" s="274"/>
      <c r="B6272" s="498"/>
      <c r="C6272" s="287"/>
      <c r="D6272" s="288"/>
      <c r="E6272" s="288"/>
    </row>
    <row r="6273" spans="1:5" x14ac:dyDescent="0.25">
      <c r="A6273" s="274"/>
      <c r="B6273" s="498"/>
      <c r="C6273" s="287"/>
      <c r="D6273" s="288"/>
      <c r="E6273" s="288"/>
    </row>
    <row r="6274" spans="1:5" x14ac:dyDescent="0.25">
      <c r="A6274" s="274"/>
      <c r="B6274" s="498"/>
      <c r="C6274" s="287"/>
      <c r="D6274" s="288"/>
      <c r="E6274" s="288"/>
    </row>
    <row r="6275" spans="1:5" x14ac:dyDescent="0.25">
      <c r="A6275" s="274"/>
      <c r="B6275" s="498"/>
      <c r="C6275" s="287"/>
      <c r="D6275" s="288"/>
      <c r="E6275" s="288"/>
    </row>
    <row r="6276" spans="1:5" x14ac:dyDescent="0.25">
      <c r="A6276" s="274"/>
      <c r="B6276" s="498"/>
      <c r="C6276" s="287"/>
      <c r="D6276" s="288"/>
      <c r="E6276" s="288"/>
    </row>
    <row r="6277" spans="1:5" x14ac:dyDescent="0.25">
      <c r="A6277" s="274"/>
      <c r="B6277" s="498"/>
      <c r="C6277" s="287"/>
      <c r="D6277" s="288"/>
      <c r="E6277" s="288"/>
    </row>
    <row r="6278" spans="1:5" x14ac:dyDescent="0.25">
      <c r="A6278" s="274"/>
      <c r="B6278" s="498"/>
      <c r="C6278" s="287"/>
      <c r="D6278" s="288"/>
      <c r="E6278" s="288"/>
    </row>
    <row r="6279" spans="1:5" x14ac:dyDescent="0.25">
      <c r="A6279" s="274"/>
      <c r="B6279" s="498"/>
      <c r="C6279" s="287"/>
      <c r="D6279" s="288"/>
      <c r="E6279" s="288"/>
    </row>
    <row r="6280" spans="1:5" x14ac:dyDescent="0.25">
      <c r="A6280" s="274"/>
      <c r="B6280" s="498"/>
      <c r="C6280" s="287"/>
      <c r="D6280" s="288"/>
      <c r="E6280" s="288"/>
    </row>
    <row r="6281" spans="1:5" x14ac:dyDescent="0.25">
      <c r="A6281" s="274"/>
      <c r="B6281" s="498"/>
      <c r="C6281" s="287"/>
      <c r="D6281" s="288"/>
      <c r="E6281" s="288"/>
    </row>
    <row r="6282" spans="1:5" x14ac:dyDescent="0.25">
      <c r="A6282" s="274"/>
      <c r="B6282" s="498"/>
      <c r="C6282" s="287"/>
      <c r="D6282" s="288"/>
      <c r="E6282" s="288"/>
    </row>
    <row r="6283" spans="1:5" x14ac:dyDescent="0.25">
      <c r="A6283" s="274"/>
      <c r="B6283" s="498"/>
      <c r="C6283" s="287"/>
      <c r="D6283" s="288"/>
      <c r="E6283" s="288"/>
    </row>
    <row r="6284" spans="1:5" x14ac:dyDescent="0.25">
      <c r="A6284" s="274"/>
      <c r="B6284" s="498"/>
      <c r="C6284" s="287"/>
      <c r="D6284" s="288"/>
      <c r="E6284" s="288"/>
    </row>
    <row r="6285" spans="1:5" x14ac:dyDescent="0.25">
      <c r="A6285" s="274"/>
      <c r="B6285" s="498"/>
      <c r="C6285" s="287"/>
      <c r="D6285" s="288"/>
      <c r="E6285" s="288"/>
    </row>
    <row r="6286" spans="1:5" x14ac:dyDescent="0.25">
      <c r="A6286" s="274"/>
      <c r="B6286" s="498"/>
      <c r="C6286" s="287"/>
      <c r="D6286" s="288"/>
      <c r="E6286" s="288"/>
    </row>
    <row r="6287" spans="1:5" x14ac:dyDescent="0.25">
      <c r="A6287" s="274"/>
      <c r="B6287" s="498"/>
      <c r="C6287" s="287"/>
      <c r="D6287" s="288"/>
      <c r="E6287" s="288"/>
    </row>
    <row r="6288" spans="1:5" x14ac:dyDescent="0.25">
      <c r="A6288" s="274"/>
      <c r="B6288" s="498"/>
      <c r="C6288" s="287"/>
      <c r="D6288" s="288"/>
      <c r="E6288" s="288"/>
    </row>
    <row r="6289" spans="1:5" x14ac:dyDescent="0.25">
      <c r="A6289" s="274"/>
      <c r="B6289" s="498"/>
      <c r="C6289" s="287"/>
      <c r="D6289" s="288"/>
      <c r="E6289" s="288"/>
    </row>
    <row r="6290" spans="1:5" x14ac:dyDescent="0.25">
      <c r="A6290" s="274"/>
      <c r="B6290" s="498"/>
      <c r="C6290" s="287"/>
      <c r="D6290" s="288"/>
      <c r="E6290" s="288"/>
    </row>
    <row r="6291" spans="1:5" x14ac:dyDescent="0.25">
      <c r="A6291" s="274"/>
      <c r="B6291" s="498"/>
      <c r="C6291" s="287"/>
      <c r="D6291" s="288"/>
      <c r="E6291" s="288"/>
    </row>
    <row r="6292" spans="1:5" x14ac:dyDescent="0.25">
      <c r="A6292" s="274"/>
      <c r="B6292" s="498"/>
      <c r="C6292" s="287"/>
      <c r="D6292" s="288"/>
      <c r="E6292" s="288"/>
    </row>
    <row r="6293" spans="1:5" x14ac:dyDescent="0.25">
      <c r="A6293" s="274"/>
      <c r="B6293" s="498"/>
      <c r="C6293" s="287"/>
      <c r="D6293" s="288"/>
      <c r="E6293" s="288"/>
    </row>
    <row r="6294" spans="1:5" x14ac:dyDescent="0.25">
      <c r="A6294" s="274"/>
      <c r="B6294" s="498"/>
      <c r="C6294" s="287"/>
      <c r="D6294" s="288"/>
      <c r="E6294" s="288"/>
    </row>
    <row r="6295" spans="1:5" x14ac:dyDescent="0.25">
      <c r="A6295" s="274"/>
      <c r="B6295" s="498"/>
      <c r="C6295" s="287"/>
      <c r="D6295" s="288"/>
      <c r="E6295" s="288"/>
    </row>
    <row r="6296" spans="1:5" x14ac:dyDescent="0.25">
      <c r="A6296" s="274"/>
      <c r="B6296" s="498"/>
      <c r="C6296" s="287"/>
      <c r="D6296" s="288"/>
      <c r="E6296" s="288"/>
    </row>
    <row r="6297" spans="1:5" x14ac:dyDescent="0.25">
      <c r="A6297" s="274"/>
      <c r="B6297" s="498"/>
      <c r="C6297" s="287"/>
      <c r="D6297" s="288"/>
      <c r="E6297" s="288"/>
    </row>
    <row r="6298" spans="1:5" x14ac:dyDescent="0.25">
      <c r="A6298" s="274"/>
      <c r="B6298" s="498"/>
      <c r="C6298" s="287"/>
      <c r="D6298" s="288"/>
      <c r="E6298" s="288"/>
    </row>
    <row r="6299" spans="1:5" x14ac:dyDescent="0.25">
      <c r="A6299" s="274"/>
      <c r="B6299" s="498"/>
      <c r="C6299" s="287"/>
      <c r="D6299" s="288"/>
      <c r="E6299" s="288"/>
    </row>
    <row r="6300" spans="1:5" x14ac:dyDescent="0.25">
      <c r="A6300" s="274"/>
      <c r="B6300" s="498"/>
      <c r="C6300" s="287"/>
      <c r="D6300" s="288"/>
      <c r="E6300" s="288"/>
    </row>
    <row r="6301" spans="1:5" x14ac:dyDescent="0.25">
      <c r="A6301" s="274"/>
      <c r="B6301" s="498"/>
      <c r="C6301" s="287"/>
      <c r="D6301" s="288"/>
      <c r="E6301" s="288"/>
    </row>
    <row r="6302" spans="1:5" x14ac:dyDescent="0.25">
      <c r="A6302" s="274"/>
      <c r="B6302" s="498"/>
      <c r="C6302" s="287"/>
      <c r="D6302" s="288"/>
      <c r="E6302" s="288"/>
    </row>
    <row r="6303" spans="1:5" x14ac:dyDescent="0.25">
      <c r="A6303" s="274"/>
      <c r="B6303" s="498"/>
      <c r="C6303" s="287"/>
      <c r="D6303" s="288"/>
      <c r="E6303" s="288"/>
    </row>
    <row r="6304" spans="1:5" x14ac:dyDescent="0.25">
      <c r="A6304" s="274"/>
      <c r="B6304" s="498"/>
      <c r="C6304" s="287"/>
      <c r="D6304" s="288"/>
      <c r="E6304" s="288"/>
    </row>
    <row r="6305" spans="1:5" x14ac:dyDescent="0.25">
      <c r="A6305" s="274"/>
      <c r="B6305" s="498"/>
      <c r="C6305" s="287"/>
      <c r="D6305" s="288"/>
      <c r="E6305" s="288"/>
    </row>
    <row r="6306" spans="1:5" x14ac:dyDescent="0.25">
      <c r="A6306" s="274"/>
      <c r="B6306" s="498"/>
      <c r="C6306" s="287"/>
      <c r="D6306" s="288"/>
      <c r="E6306" s="288"/>
    </row>
    <row r="6307" spans="1:5" x14ac:dyDescent="0.25">
      <c r="A6307" s="274"/>
      <c r="B6307" s="498"/>
      <c r="C6307" s="287"/>
      <c r="D6307" s="288"/>
      <c r="E6307" s="288"/>
    </row>
    <row r="6308" spans="1:5" x14ac:dyDescent="0.25">
      <c r="A6308" s="274"/>
      <c r="B6308" s="498"/>
      <c r="C6308" s="287"/>
      <c r="D6308" s="288"/>
      <c r="E6308" s="288"/>
    </row>
    <row r="6309" spans="1:5" x14ac:dyDescent="0.25">
      <c r="A6309" s="274"/>
      <c r="B6309" s="498"/>
      <c r="C6309" s="287"/>
      <c r="D6309" s="288"/>
      <c r="E6309" s="288"/>
    </row>
    <row r="6310" spans="1:5" x14ac:dyDescent="0.25">
      <c r="A6310" s="274"/>
      <c r="B6310" s="498"/>
      <c r="C6310" s="287"/>
      <c r="D6310" s="288"/>
      <c r="E6310" s="288"/>
    </row>
    <row r="6311" spans="1:5" x14ac:dyDescent="0.25">
      <c r="A6311" s="274"/>
      <c r="B6311" s="498"/>
      <c r="C6311" s="287"/>
      <c r="D6311" s="288"/>
      <c r="E6311" s="288"/>
    </row>
    <row r="6312" spans="1:5" x14ac:dyDescent="0.25">
      <c r="A6312" s="274"/>
      <c r="B6312" s="498"/>
      <c r="C6312" s="287"/>
      <c r="D6312" s="288"/>
      <c r="E6312" s="288"/>
    </row>
    <row r="6313" spans="1:5" x14ac:dyDescent="0.25">
      <c r="A6313" s="274"/>
      <c r="B6313" s="498"/>
      <c r="C6313" s="287"/>
      <c r="D6313" s="288"/>
      <c r="E6313" s="288"/>
    </row>
    <row r="6314" spans="1:5" x14ac:dyDescent="0.25">
      <c r="A6314" s="274"/>
      <c r="B6314" s="498"/>
      <c r="C6314" s="287"/>
      <c r="D6314" s="288"/>
      <c r="E6314" s="288"/>
    </row>
    <row r="6315" spans="1:5" x14ac:dyDescent="0.25">
      <c r="A6315" s="274"/>
      <c r="B6315" s="498"/>
      <c r="C6315" s="287"/>
      <c r="D6315" s="288"/>
      <c r="E6315" s="288"/>
    </row>
    <row r="6316" spans="1:5" x14ac:dyDescent="0.25">
      <c r="A6316" s="274"/>
      <c r="B6316" s="498"/>
      <c r="C6316" s="287"/>
      <c r="D6316" s="288"/>
      <c r="E6316" s="288"/>
    </row>
    <row r="6317" spans="1:5" x14ac:dyDescent="0.25">
      <c r="A6317" s="274"/>
      <c r="B6317" s="498"/>
      <c r="C6317" s="287"/>
      <c r="D6317" s="288"/>
      <c r="E6317" s="288"/>
    </row>
    <row r="6318" spans="1:5" x14ac:dyDescent="0.25">
      <c r="A6318" s="274"/>
      <c r="B6318" s="498"/>
      <c r="C6318" s="287"/>
      <c r="D6318" s="288"/>
      <c r="E6318" s="288"/>
    </row>
    <row r="6319" spans="1:5" x14ac:dyDescent="0.25">
      <c r="A6319" s="274"/>
      <c r="B6319" s="498"/>
      <c r="C6319" s="287"/>
      <c r="D6319" s="288"/>
      <c r="E6319" s="288"/>
    </row>
    <row r="6320" spans="1:5" x14ac:dyDescent="0.25">
      <c r="A6320" s="274"/>
      <c r="B6320" s="498"/>
      <c r="C6320" s="287"/>
      <c r="D6320" s="288"/>
      <c r="E6320" s="288"/>
    </row>
    <row r="6321" spans="1:5" x14ac:dyDescent="0.25">
      <c r="A6321" s="274"/>
      <c r="B6321" s="498"/>
      <c r="C6321" s="287"/>
      <c r="D6321" s="288"/>
      <c r="E6321" s="288"/>
    </row>
    <row r="6322" spans="1:5" x14ac:dyDescent="0.25">
      <c r="A6322" s="274"/>
      <c r="B6322" s="498"/>
      <c r="C6322" s="287"/>
      <c r="D6322" s="288"/>
      <c r="E6322" s="288"/>
    </row>
    <row r="6323" spans="1:5" x14ac:dyDescent="0.25">
      <c r="A6323" s="274"/>
      <c r="B6323" s="498"/>
      <c r="C6323" s="287"/>
      <c r="D6323" s="288"/>
      <c r="E6323" s="288"/>
    </row>
    <row r="6324" spans="1:5" x14ac:dyDescent="0.25">
      <c r="A6324" s="274"/>
      <c r="B6324" s="498"/>
      <c r="C6324" s="287"/>
      <c r="D6324" s="288"/>
      <c r="E6324" s="288"/>
    </row>
    <row r="6325" spans="1:5" x14ac:dyDescent="0.25">
      <c r="A6325" s="274"/>
      <c r="B6325" s="498"/>
      <c r="C6325" s="287"/>
      <c r="D6325" s="288"/>
      <c r="E6325" s="288"/>
    </row>
    <row r="6326" spans="1:5" x14ac:dyDescent="0.25">
      <c r="A6326" s="274"/>
      <c r="B6326" s="498"/>
      <c r="C6326" s="287"/>
      <c r="D6326" s="288"/>
      <c r="E6326" s="288"/>
    </row>
    <row r="6327" spans="1:5" x14ac:dyDescent="0.25">
      <c r="A6327" s="274"/>
      <c r="B6327" s="498"/>
      <c r="C6327" s="287"/>
      <c r="D6327" s="288"/>
      <c r="E6327" s="288"/>
    </row>
    <row r="6328" spans="1:5" x14ac:dyDescent="0.25">
      <c r="A6328" s="274"/>
      <c r="B6328" s="498"/>
      <c r="C6328" s="287"/>
      <c r="D6328" s="288"/>
      <c r="E6328" s="288"/>
    </row>
    <row r="6329" spans="1:5" x14ac:dyDescent="0.25">
      <c r="A6329" s="274"/>
      <c r="B6329" s="498"/>
      <c r="C6329" s="287"/>
      <c r="D6329" s="288"/>
      <c r="E6329" s="288"/>
    </row>
    <row r="6330" spans="1:5" x14ac:dyDescent="0.25">
      <c r="A6330" s="274"/>
      <c r="B6330" s="498"/>
      <c r="C6330" s="287"/>
      <c r="D6330" s="288"/>
      <c r="E6330" s="288"/>
    </row>
    <row r="6331" spans="1:5" x14ac:dyDescent="0.25">
      <c r="A6331" s="274"/>
      <c r="B6331" s="498"/>
      <c r="C6331" s="287"/>
      <c r="D6331" s="288"/>
      <c r="E6331" s="288"/>
    </row>
    <row r="6332" spans="1:5" x14ac:dyDescent="0.25">
      <c r="A6332" s="274"/>
      <c r="B6332" s="498"/>
      <c r="C6332" s="287"/>
      <c r="D6332" s="288"/>
      <c r="E6332" s="288"/>
    </row>
    <row r="6333" spans="1:5" x14ac:dyDescent="0.25">
      <c r="A6333" s="274"/>
      <c r="B6333" s="498"/>
      <c r="C6333" s="287"/>
      <c r="D6333" s="288"/>
      <c r="E6333" s="288"/>
    </row>
    <row r="6334" spans="1:5" x14ac:dyDescent="0.25">
      <c r="A6334" s="274"/>
      <c r="B6334" s="498"/>
      <c r="C6334" s="287"/>
      <c r="D6334" s="288"/>
      <c r="E6334" s="288"/>
    </row>
    <row r="6335" spans="1:5" x14ac:dyDescent="0.25">
      <c r="A6335" s="274"/>
      <c r="B6335" s="498"/>
      <c r="C6335" s="287"/>
      <c r="D6335" s="288"/>
      <c r="E6335" s="288"/>
    </row>
    <row r="6336" spans="1:5" x14ac:dyDescent="0.25">
      <c r="A6336" s="274"/>
      <c r="B6336" s="498"/>
      <c r="C6336" s="287"/>
      <c r="D6336" s="288"/>
      <c r="E6336" s="288"/>
    </row>
    <row r="6337" spans="1:5" x14ac:dyDescent="0.25">
      <c r="A6337" s="274"/>
      <c r="B6337" s="498"/>
      <c r="C6337" s="287"/>
      <c r="D6337" s="288"/>
      <c r="E6337" s="288"/>
    </row>
    <row r="6338" spans="1:5" x14ac:dyDescent="0.25">
      <c r="A6338" s="274"/>
      <c r="B6338" s="498"/>
      <c r="C6338" s="287"/>
      <c r="D6338" s="288"/>
      <c r="E6338" s="288"/>
    </row>
    <row r="6339" spans="1:5" x14ac:dyDescent="0.25">
      <c r="A6339" s="274"/>
      <c r="B6339" s="498"/>
      <c r="C6339" s="287"/>
      <c r="D6339" s="288"/>
      <c r="E6339" s="288"/>
    </row>
    <row r="6340" spans="1:5" x14ac:dyDescent="0.25">
      <c r="A6340" s="274"/>
      <c r="B6340" s="498"/>
      <c r="C6340" s="287"/>
      <c r="D6340" s="288"/>
      <c r="E6340" s="288"/>
    </row>
    <row r="6341" spans="1:5" x14ac:dyDescent="0.25">
      <c r="A6341" s="274"/>
      <c r="B6341" s="498"/>
      <c r="C6341" s="287"/>
      <c r="D6341" s="288"/>
      <c r="E6341" s="288"/>
    </row>
    <row r="6342" spans="1:5" x14ac:dyDescent="0.25">
      <c r="A6342" s="274"/>
      <c r="B6342" s="498"/>
      <c r="C6342" s="287"/>
      <c r="D6342" s="288"/>
      <c r="E6342" s="288"/>
    </row>
    <row r="6343" spans="1:5" x14ac:dyDescent="0.25">
      <c r="A6343" s="274"/>
      <c r="B6343" s="498"/>
      <c r="C6343" s="287"/>
      <c r="D6343" s="288"/>
      <c r="E6343" s="288"/>
    </row>
    <row r="6344" spans="1:5" x14ac:dyDescent="0.25">
      <c r="A6344" s="274"/>
      <c r="B6344" s="498"/>
      <c r="C6344" s="287"/>
      <c r="D6344" s="288"/>
      <c r="E6344" s="288"/>
    </row>
    <row r="6345" spans="1:5" x14ac:dyDescent="0.25">
      <c r="A6345" s="274"/>
      <c r="B6345" s="498"/>
      <c r="C6345" s="287"/>
      <c r="D6345" s="288"/>
      <c r="E6345" s="288"/>
    </row>
    <row r="6346" spans="1:5" x14ac:dyDescent="0.25">
      <c r="A6346" s="274"/>
      <c r="B6346" s="498"/>
      <c r="C6346" s="287"/>
      <c r="D6346" s="288"/>
      <c r="E6346" s="288"/>
    </row>
    <row r="6347" spans="1:5" x14ac:dyDescent="0.25">
      <c r="A6347" s="274"/>
      <c r="B6347" s="498"/>
      <c r="C6347" s="287"/>
      <c r="D6347" s="288"/>
      <c r="E6347" s="288"/>
    </row>
    <row r="6348" spans="1:5" x14ac:dyDescent="0.25">
      <c r="A6348" s="274"/>
      <c r="B6348" s="498"/>
      <c r="C6348" s="287"/>
      <c r="D6348" s="288"/>
      <c r="E6348" s="288"/>
    </row>
    <row r="6349" spans="1:5" x14ac:dyDescent="0.25">
      <c r="A6349" s="274"/>
      <c r="B6349" s="498"/>
      <c r="C6349" s="287"/>
      <c r="D6349" s="288"/>
      <c r="E6349" s="288"/>
    </row>
    <row r="6350" spans="1:5" x14ac:dyDescent="0.25">
      <c r="A6350" s="274"/>
      <c r="B6350" s="498"/>
      <c r="C6350" s="287"/>
      <c r="D6350" s="288"/>
      <c r="E6350" s="288"/>
    </row>
    <row r="6351" spans="1:5" x14ac:dyDescent="0.25">
      <c r="A6351" s="274"/>
      <c r="B6351" s="498"/>
      <c r="C6351" s="287"/>
      <c r="D6351" s="288"/>
      <c r="E6351" s="288"/>
    </row>
    <row r="6352" spans="1:5" x14ac:dyDescent="0.25">
      <c r="A6352" s="274"/>
      <c r="B6352" s="498"/>
      <c r="C6352" s="287"/>
      <c r="D6352" s="288"/>
      <c r="E6352" s="288"/>
    </row>
    <row r="6353" spans="1:5" x14ac:dyDescent="0.25">
      <c r="A6353" s="274"/>
      <c r="B6353" s="498"/>
      <c r="C6353" s="287"/>
      <c r="D6353" s="288"/>
      <c r="E6353" s="288"/>
    </row>
    <row r="6354" spans="1:5" x14ac:dyDescent="0.25">
      <c r="A6354" s="274"/>
      <c r="B6354" s="498"/>
      <c r="C6354" s="287"/>
      <c r="D6354" s="288"/>
      <c r="E6354" s="288"/>
    </row>
    <row r="6355" spans="1:5" x14ac:dyDescent="0.25">
      <c r="A6355" s="274"/>
      <c r="B6355" s="498"/>
      <c r="C6355" s="287"/>
      <c r="D6355" s="288"/>
      <c r="E6355" s="288"/>
    </row>
    <row r="6356" spans="1:5" x14ac:dyDescent="0.25">
      <c r="A6356" s="274"/>
      <c r="B6356" s="498"/>
      <c r="C6356" s="287"/>
      <c r="D6356" s="288"/>
      <c r="E6356" s="288"/>
    </row>
    <row r="6357" spans="1:5" x14ac:dyDescent="0.25">
      <c r="A6357" s="274"/>
      <c r="B6357" s="498"/>
      <c r="C6357" s="287"/>
      <c r="D6357" s="288"/>
      <c r="E6357" s="288"/>
    </row>
    <row r="6358" spans="1:5" x14ac:dyDescent="0.25">
      <c r="A6358" s="274"/>
      <c r="B6358" s="498"/>
      <c r="C6358" s="287"/>
      <c r="D6358" s="288"/>
      <c r="E6358" s="288"/>
    </row>
    <row r="6359" spans="1:5" x14ac:dyDescent="0.25">
      <c r="A6359" s="274"/>
      <c r="B6359" s="498"/>
      <c r="C6359" s="287"/>
      <c r="D6359" s="288"/>
      <c r="E6359" s="288"/>
    </row>
    <row r="6360" spans="1:5" x14ac:dyDescent="0.25">
      <c r="A6360" s="274"/>
      <c r="B6360" s="498"/>
      <c r="C6360" s="287"/>
      <c r="D6360" s="288"/>
      <c r="E6360" s="288"/>
    </row>
    <row r="6361" spans="1:5" x14ac:dyDescent="0.25">
      <c r="A6361" s="274"/>
      <c r="B6361" s="498"/>
      <c r="C6361" s="287"/>
      <c r="D6361" s="288"/>
      <c r="E6361" s="288"/>
    </row>
    <row r="6362" spans="1:5" x14ac:dyDescent="0.25">
      <c r="A6362" s="274"/>
      <c r="B6362" s="498"/>
      <c r="C6362" s="287"/>
      <c r="D6362" s="288"/>
      <c r="E6362" s="288"/>
    </row>
    <row r="6363" spans="1:5" x14ac:dyDescent="0.25">
      <c r="A6363" s="274"/>
      <c r="B6363" s="498"/>
      <c r="C6363" s="287"/>
      <c r="D6363" s="288"/>
      <c r="E6363" s="288"/>
    </row>
    <row r="6364" spans="1:5" x14ac:dyDescent="0.25">
      <c r="A6364" s="274"/>
      <c r="B6364" s="498"/>
      <c r="C6364" s="287"/>
      <c r="D6364" s="288"/>
      <c r="E6364" s="288"/>
    </row>
    <row r="6365" spans="1:5" x14ac:dyDescent="0.25">
      <c r="A6365" s="274"/>
      <c r="B6365" s="498"/>
      <c r="C6365" s="287"/>
      <c r="D6365" s="288"/>
      <c r="E6365" s="288"/>
    </row>
    <row r="6366" spans="1:5" x14ac:dyDescent="0.25">
      <c r="A6366" s="274"/>
      <c r="B6366" s="498"/>
      <c r="C6366" s="287"/>
      <c r="D6366" s="288"/>
      <c r="E6366" s="288"/>
    </row>
    <row r="6367" spans="1:5" x14ac:dyDescent="0.25">
      <c r="A6367" s="274"/>
      <c r="B6367" s="498"/>
      <c r="C6367" s="287"/>
      <c r="D6367" s="288"/>
      <c r="E6367" s="288"/>
    </row>
    <row r="6368" spans="1:5" x14ac:dyDescent="0.25">
      <c r="A6368" s="274"/>
      <c r="B6368" s="498"/>
      <c r="C6368" s="287"/>
      <c r="D6368" s="288"/>
      <c r="E6368" s="288"/>
    </row>
    <row r="6369" spans="1:5" x14ac:dyDescent="0.25">
      <c r="A6369" s="274"/>
      <c r="B6369" s="498"/>
      <c r="C6369" s="287"/>
      <c r="D6369" s="288"/>
      <c r="E6369" s="288"/>
    </row>
    <row r="6370" spans="1:5" x14ac:dyDescent="0.25">
      <c r="A6370" s="274"/>
      <c r="B6370" s="498"/>
      <c r="C6370" s="287"/>
      <c r="D6370" s="288"/>
      <c r="E6370" s="288"/>
    </row>
    <row r="6371" spans="1:5" x14ac:dyDescent="0.25">
      <c r="A6371" s="274"/>
      <c r="B6371" s="498"/>
      <c r="C6371" s="287"/>
      <c r="D6371" s="288"/>
      <c r="E6371" s="288"/>
    </row>
    <row r="6372" spans="1:5" x14ac:dyDescent="0.25">
      <c r="A6372" s="274"/>
      <c r="B6372" s="498"/>
      <c r="C6372" s="287"/>
      <c r="D6372" s="288"/>
      <c r="E6372" s="288"/>
    </row>
    <row r="6373" spans="1:5" x14ac:dyDescent="0.25">
      <c r="A6373" s="274"/>
      <c r="B6373" s="498"/>
      <c r="C6373" s="287"/>
      <c r="D6373" s="288"/>
      <c r="E6373" s="288"/>
    </row>
    <row r="6374" spans="1:5" x14ac:dyDescent="0.25">
      <c r="A6374" s="274"/>
      <c r="B6374" s="498"/>
      <c r="C6374" s="287"/>
      <c r="D6374" s="288"/>
      <c r="E6374" s="288"/>
    </row>
    <row r="6375" spans="1:5" x14ac:dyDescent="0.25">
      <c r="A6375" s="274"/>
      <c r="B6375" s="498"/>
      <c r="C6375" s="287"/>
      <c r="D6375" s="288"/>
      <c r="E6375" s="288"/>
    </row>
    <row r="6376" spans="1:5" x14ac:dyDescent="0.25">
      <c r="A6376" s="274"/>
      <c r="B6376" s="498"/>
      <c r="C6376" s="287"/>
      <c r="D6376" s="288"/>
      <c r="E6376" s="288"/>
    </row>
    <row r="6377" spans="1:5" x14ac:dyDescent="0.25">
      <c r="A6377" s="274"/>
      <c r="B6377" s="498"/>
      <c r="C6377" s="287"/>
      <c r="D6377" s="288"/>
      <c r="E6377" s="288"/>
    </row>
    <row r="6378" spans="1:5" x14ac:dyDescent="0.25">
      <c r="A6378" s="274"/>
      <c r="B6378" s="498"/>
      <c r="C6378" s="287"/>
      <c r="D6378" s="288"/>
      <c r="E6378" s="288"/>
    </row>
    <row r="6379" spans="1:5" x14ac:dyDescent="0.25">
      <c r="A6379" s="274"/>
      <c r="B6379" s="498"/>
      <c r="C6379" s="287"/>
      <c r="D6379" s="288"/>
      <c r="E6379" s="288"/>
    </row>
    <row r="6380" spans="1:5" x14ac:dyDescent="0.25">
      <c r="A6380" s="274"/>
      <c r="B6380" s="498"/>
      <c r="C6380" s="287"/>
      <c r="D6380" s="288"/>
      <c r="E6380" s="288"/>
    </row>
    <row r="6381" spans="1:5" x14ac:dyDescent="0.25">
      <c r="A6381" s="274"/>
      <c r="B6381" s="498"/>
      <c r="C6381" s="287"/>
      <c r="D6381" s="288"/>
      <c r="E6381" s="288"/>
    </row>
    <row r="6382" spans="1:5" x14ac:dyDescent="0.25">
      <c r="A6382" s="274"/>
      <c r="B6382" s="498"/>
      <c r="C6382" s="287"/>
      <c r="D6382" s="288"/>
      <c r="E6382" s="288"/>
    </row>
    <row r="6383" spans="1:5" x14ac:dyDescent="0.25">
      <c r="A6383" s="274"/>
      <c r="B6383" s="498"/>
      <c r="C6383" s="287"/>
      <c r="D6383" s="288"/>
      <c r="E6383" s="288"/>
    </row>
    <row r="6384" spans="1:5" x14ac:dyDescent="0.25">
      <c r="A6384" s="274"/>
      <c r="B6384" s="498"/>
      <c r="C6384" s="287"/>
      <c r="D6384" s="288"/>
      <c r="E6384" s="288"/>
    </row>
    <row r="6385" spans="1:5" x14ac:dyDescent="0.25">
      <c r="A6385" s="274"/>
      <c r="B6385" s="498"/>
      <c r="C6385" s="287"/>
      <c r="D6385" s="288"/>
      <c r="E6385" s="288"/>
    </row>
    <row r="6386" spans="1:5" x14ac:dyDescent="0.25">
      <c r="A6386" s="274"/>
      <c r="B6386" s="498"/>
      <c r="C6386" s="287"/>
      <c r="D6386" s="288"/>
      <c r="E6386" s="288"/>
    </row>
    <row r="6387" spans="1:5" x14ac:dyDescent="0.25">
      <c r="A6387" s="274"/>
      <c r="B6387" s="498"/>
      <c r="C6387" s="287"/>
      <c r="D6387" s="288"/>
      <c r="E6387" s="288"/>
    </row>
    <row r="6388" spans="1:5" x14ac:dyDescent="0.25">
      <c r="A6388" s="274"/>
      <c r="B6388" s="498"/>
      <c r="C6388" s="287"/>
      <c r="D6388" s="288"/>
      <c r="E6388" s="288"/>
    </row>
    <row r="6389" spans="1:5" x14ac:dyDescent="0.25">
      <c r="A6389" s="274"/>
      <c r="B6389" s="498"/>
      <c r="C6389" s="287"/>
      <c r="D6389" s="288"/>
      <c r="E6389" s="288"/>
    </row>
    <row r="6390" spans="1:5" x14ac:dyDescent="0.25">
      <c r="A6390" s="274"/>
      <c r="B6390" s="498"/>
      <c r="C6390" s="287"/>
      <c r="D6390" s="288"/>
      <c r="E6390" s="288"/>
    </row>
    <row r="6391" spans="1:5" x14ac:dyDescent="0.25">
      <c r="A6391" s="274"/>
      <c r="B6391" s="498"/>
      <c r="C6391" s="287"/>
      <c r="D6391" s="288"/>
      <c r="E6391" s="288"/>
    </row>
    <row r="6392" spans="1:5" x14ac:dyDescent="0.25">
      <c r="A6392" s="274"/>
      <c r="B6392" s="498"/>
      <c r="C6392" s="287"/>
      <c r="D6392" s="288"/>
      <c r="E6392" s="288"/>
    </row>
    <row r="6393" spans="1:5" x14ac:dyDescent="0.25">
      <c r="A6393" s="274"/>
      <c r="B6393" s="498"/>
      <c r="C6393" s="287"/>
      <c r="D6393" s="288"/>
      <c r="E6393" s="288"/>
    </row>
    <row r="6394" spans="1:5" x14ac:dyDescent="0.25">
      <c r="A6394" s="274"/>
      <c r="B6394" s="498"/>
      <c r="C6394" s="287"/>
      <c r="D6394" s="288"/>
      <c r="E6394" s="288"/>
    </row>
    <row r="6395" spans="1:5" x14ac:dyDescent="0.25">
      <c r="A6395" s="274"/>
      <c r="B6395" s="498"/>
      <c r="C6395" s="287"/>
      <c r="D6395" s="288"/>
      <c r="E6395" s="288"/>
    </row>
    <row r="6396" spans="1:5" x14ac:dyDescent="0.25">
      <c r="A6396" s="274"/>
      <c r="B6396" s="498"/>
      <c r="C6396" s="287"/>
      <c r="D6396" s="288"/>
      <c r="E6396" s="288"/>
    </row>
    <row r="6397" spans="1:5" x14ac:dyDescent="0.25">
      <c r="A6397" s="274"/>
      <c r="B6397" s="498"/>
      <c r="C6397" s="287"/>
      <c r="D6397" s="288"/>
      <c r="E6397" s="288"/>
    </row>
    <row r="6398" spans="1:5" x14ac:dyDescent="0.25">
      <c r="A6398" s="274"/>
      <c r="B6398" s="498"/>
      <c r="C6398" s="287"/>
      <c r="D6398" s="288"/>
      <c r="E6398" s="288"/>
    </row>
    <row r="6399" spans="1:5" x14ac:dyDescent="0.25">
      <c r="A6399" s="274"/>
      <c r="B6399" s="498"/>
      <c r="C6399" s="287"/>
      <c r="D6399" s="288"/>
      <c r="E6399" s="288"/>
    </row>
    <row r="6400" spans="1:5" x14ac:dyDescent="0.25">
      <c r="A6400" s="274"/>
      <c r="B6400" s="498"/>
      <c r="C6400" s="287"/>
      <c r="D6400" s="288"/>
      <c r="E6400" s="288"/>
    </row>
    <row r="6401" spans="1:5" x14ac:dyDescent="0.25">
      <c r="A6401" s="274"/>
      <c r="B6401" s="498"/>
      <c r="C6401" s="287"/>
      <c r="D6401" s="288"/>
      <c r="E6401" s="288"/>
    </row>
    <row r="6402" spans="1:5" x14ac:dyDescent="0.25">
      <c r="A6402" s="274"/>
      <c r="B6402" s="498"/>
      <c r="C6402" s="287"/>
      <c r="D6402" s="288"/>
      <c r="E6402" s="288"/>
    </row>
    <row r="6403" spans="1:5" x14ac:dyDescent="0.25">
      <c r="A6403" s="274"/>
      <c r="B6403" s="498"/>
      <c r="C6403" s="287"/>
      <c r="D6403" s="288"/>
      <c r="E6403" s="288"/>
    </row>
    <row r="6404" spans="1:5" x14ac:dyDescent="0.25">
      <c r="A6404" s="274"/>
      <c r="B6404" s="498"/>
      <c r="C6404" s="287"/>
      <c r="D6404" s="288"/>
      <c r="E6404" s="288"/>
    </row>
    <row r="6405" spans="1:5" x14ac:dyDescent="0.25">
      <c r="A6405" s="274"/>
      <c r="B6405" s="498"/>
      <c r="C6405" s="287"/>
      <c r="D6405" s="288"/>
      <c r="E6405" s="288"/>
    </row>
    <row r="6406" spans="1:5" x14ac:dyDescent="0.25">
      <c r="A6406" s="274"/>
      <c r="B6406" s="498"/>
      <c r="C6406" s="287"/>
      <c r="D6406" s="288"/>
      <c r="E6406" s="288"/>
    </row>
    <row r="6407" spans="1:5" x14ac:dyDescent="0.25">
      <c r="A6407" s="274"/>
      <c r="B6407" s="498"/>
      <c r="C6407" s="287"/>
      <c r="D6407" s="288"/>
      <c r="E6407" s="288"/>
    </row>
    <row r="6408" spans="1:5" x14ac:dyDescent="0.25">
      <c r="A6408" s="274"/>
      <c r="B6408" s="498"/>
      <c r="C6408" s="287"/>
      <c r="D6408" s="288"/>
      <c r="E6408" s="288"/>
    </row>
    <row r="6409" spans="1:5" x14ac:dyDescent="0.25">
      <c r="A6409" s="274"/>
      <c r="B6409" s="498"/>
      <c r="C6409" s="287"/>
      <c r="D6409" s="288"/>
      <c r="E6409" s="288"/>
    </row>
    <row r="6410" spans="1:5" x14ac:dyDescent="0.25">
      <c r="A6410" s="274"/>
      <c r="B6410" s="498"/>
      <c r="C6410" s="287"/>
      <c r="D6410" s="288"/>
      <c r="E6410" s="288"/>
    </row>
    <row r="6411" spans="1:5" x14ac:dyDescent="0.25">
      <c r="A6411" s="274"/>
      <c r="B6411" s="498"/>
      <c r="C6411" s="287"/>
      <c r="D6411" s="288"/>
      <c r="E6411" s="288"/>
    </row>
    <row r="6412" spans="1:5" x14ac:dyDescent="0.25">
      <c r="A6412" s="274"/>
      <c r="B6412" s="498"/>
      <c r="C6412" s="287"/>
      <c r="D6412" s="288"/>
      <c r="E6412" s="288"/>
    </row>
    <row r="6413" spans="1:5" x14ac:dyDescent="0.25">
      <c r="A6413" s="274"/>
      <c r="B6413" s="498"/>
      <c r="C6413" s="287"/>
      <c r="D6413" s="288"/>
      <c r="E6413" s="288"/>
    </row>
    <row r="6414" spans="1:5" x14ac:dyDescent="0.25">
      <c r="A6414" s="274"/>
      <c r="B6414" s="498"/>
      <c r="C6414" s="287"/>
      <c r="D6414" s="288"/>
      <c r="E6414" s="288"/>
    </row>
    <row r="6415" spans="1:5" x14ac:dyDescent="0.25">
      <c r="A6415" s="274"/>
      <c r="B6415" s="498"/>
      <c r="C6415" s="287"/>
      <c r="D6415" s="288"/>
      <c r="E6415" s="288"/>
    </row>
    <row r="6416" spans="1:5" x14ac:dyDescent="0.25">
      <c r="A6416" s="274"/>
      <c r="B6416" s="498"/>
      <c r="C6416" s="287"/>
      <c r="D6416" s="288"/>
      <c r="E6416" s="288"/>
    </row>
    <row r="6417" spans="1:5" x14ac:dyDescent="0.25">
      <c r="A6417" s="274"/>
      <c r="B6417" s="498"/>
      <c r="C6417" s="287"/>
      <c r="D6417" s="288"/>
      <c r="E6417" s="288"/>
    </row>
    <row r="6418" spans="1:5" x14ac:dyDescent="0.25">
      <c r="A6418" s="274"/>
      <c r="B6418" s="498"/>
      <c r="C6418" s="287"/>
      <c r="D6418" s="288"/>
      <c r="E6418" s="288"/>
    </row>
    <row r="6419" spans="1:5" x14ac:dyDescent="0.25">
      <c r="A6419" s="274"/>
      <c r="B6419" s="498"/>
      <c r="C6419" s="287"/>
      <c r="D6419" s="288"/>
      <c r="E6419" s="288"/>
    </row>
    <row r="6420" spans="1:5" x14ac:dyDescent="0.25">
      <c r="A6420" s="274"/>
      <c r="B6420" s="498"/>
      <c r="C6420" s="287"/>
      <c r="D6420" s="288"/>
      <c r="E6420" s="288"/>
    </row>
    <row r="6421" spans="1:5" x14ac:dyDescent="0.25">
      <c r="A6421" s="274"/>
      <c r="B6421" s="498"/>
      <c r="C6421" s="287"/>
      <c r="D6421" s="288"/>
      <c r="E6421" s="288"/>
    </row>
    <row r="6422" spans="1:5" x14ac:dyDescent="0.25">
      <c r="A6422" s="274"/>
      <c r="B6422" s="498"/>
      <c r="C6422" s="287"/>
      <c r="D6422" s="288"/>
      <c r="E6422" s="288"/>
    </row>
    <row r="6423" spans="1:5" x14ac:dyDescent="0.25">
      <c r="A6423" s="274"/>
      <c r="B6423" s="498"/>
      <c r="C6423" s="287"/>
      <c r="D6423" s="288"/>
      <c r="E6423" s="288"/>
    </row>
    <row r="6424" spans="1:5" x14ac:dyDescent="0.25">
      <c r="A6424" s="274"/>
      <c r="B6424" s="498"/>
      <c r="C6424" s="287"/>
      <c r="D6424" s="288"/>
      <c r="E6424" s="288"/>
    </row>
    <row r="6425" spans="1:5" x14ac:dyDescent="0.25">
      <c r="A6425" s="274"/>
      <c r="B6425" s="498"/>
      <c r="C6425" s="287"/>
      <c r="D6425" s="288"/>
      <c r="E6425" s="288"/>
    </row>
    <row r="6426" spans="1:5" x14ac:dyDescent="0.25">
      <c r="A6426" s="274"/>
      <c r="B6426" s="498"/>
      <c r="C6426" s="287"/>
      <c r="D6426" s="288"/>
      <c r="E6426" s="288"/>
    </row>
    <row r="6427" spans="1:5" x14ac:dyDescent="0.25">
      <c r="A6427" s="274"/>
      <c r="B6427" s="498"/>
      <c r="C6427" s="287"/>
      <c r="D6427" s="288"/>
      <c r="E6427" s="288"/>
    </row>
    <row r="6428" spans="1:5" x14ac:dyDescent="0.25">
      <c r="A6428" s="274"/>
      <c r="B6428" s="498"/>
      <c r="C6428" s="287"/>
      <c r="D6428" s="288"/>
      <c r="E6428" s="288"/>
    </row>
    <row r="6429" spans="1:5" x14ac:dyDescent="0.25">
      <c r="A6429" s="274"/>
      <c r="B6429" s="498"/>
      <c r="C6429" s="287"/>
      <c r="D6429" s="288"/>
      <c r="E6429" s="288"/>
    </row>
    <row r="6430" spans="1:5" x14ac:dyDescent="0.25">
      <c r="A6430" s="274"/>
      <c r="B6430" s="498"/>
      <c r="C6430" s="287"/>
      <c r="D6430" s="288"/>
      <c r="E6430" s="288"/>
    </row>
    <row r="6431" spans="1:5" x14ac:dyDescent="0.25">
      <c r="A6431" s="274"/>
      <c r="B6431" s="498"/>
      <c r="C6431" s="287"/>
      <c r="D6431" s="288"/>
      <c r="E6431" s="288"/>
    </row>
    <row r="6432" spans="1:5" x14ac:dyDescent="0.25">
      <c r="A6432" s="274"/>
      <c r="B6432" s="498"/>
      <c r="C6432" s="287"/>
      <c r="D6432" s="288"/>
      <c r="E6432" s="288"/>
    </row>
    <row r="6433" spans="1:5" x14ac:dyDescent="0.25">
      <c r="A6433" s="274"/>
      <c r="B6433" s="498"/>
      <c r="C6433" s="287"/>
      <c r="D6433" s="288"/>
      <c r="E6433" s="288"/>
    </row>
    <row r="6434" spans="1:5" x14ac:dyDescent="0.25">
      <c r="A6434" s="274"/>
      <c r="B6434" s="498"/>
      <c r="C6434" s="287"/>
      <c r="D6434" s="288"/>
      <c r="E6434" s="288"/>
    </row>
    <row r="6435" spans="1:5" x14ac:dyDescent="0.25">
      <c r="A6435" s="274"/>
      <c r="B6435" s="498"/>
      <c r="C6435" s="287"/>
      <c r="D6435" s="288"/>
      <c r="E6435" s="288"/>
    </row>
    <row r="6436" spans="1:5" x14ac:dyDescent="0.25">
      <c r="A6436" s="274"/>
      <c r="B6436" s="498"/>
      <c r="C6436" s="287"/>
      <c r="D6436" s="288"/>
      <c r="E6436" s="288"/>
    </row>
    <row r="6437" spans="1:5" x14ac:dyDescent="0.25">
      <c r="A6437" s="274"/>
      <c r="B6437" s="498"/>
      <c r="C6437" s="287"/>
      <c r="D6437" s="288"/>
      <c r="E6437" s="288"/>
    </row>
    <row r="6438" spans="1:5" x14ac:dyDescent="0.25">
      <c r="A6438" s="274"/>
      <c r="B6438" s="498"/>
      <c r="C6438" s="287"/>
      <c r="D6438" s="288"/>
      <c r="E6438" s="288"/>
    </row>
    <row r="6439" spans="1:5" x14ac:dyDescent="0.25">
      <c r="A6439" s="274"/>
      <c r="B6439" s="498"/>
      <c r="C6439" s="287"/>
      <c r="D6439" s="288"/>
      <c r="E6439" s="288"/>
    </row>
    <row r="6440" spans="1:5" x14ac:dyDescent="0.25">
      <c r="A6440" s="274"/>
      <c r="B6440" s="498"/>
      <c r="C6440" s="287"/>
      <c r="D6440" s="288"/>
      <c r="E6440" s="288"/>
    </row>
    <row r="6441" spans="1:5" x14ac:dyDescent="0.25">
      <c r="A6441" s="274"/>
      <c r="B6441" s="498"/>
      <c r="C6441" s="287"/>
      <c r="D6441" s="288"/>
      <c r="E6441" s="288"/>
    </row>
    <row r="6442" spans="1:5" x14ac:dyDescent="0.25">
      <c r="A6442" s="274"/>
      <c r="B6442" s="498"/>
      <c r="C6442" s="287"/>
      <c r="D6442" s="288"/>
      <c r="E6442" s="288"/>
    </row>
    <row r="6443" spans="1:5" x14ac:dyDescent="0.25">
      <c r="A6443" s="274"/>
      <c r="B6443" s="498"/>
      <c r="C6443" s="287"/>
      <c r="D6443" s="288"/>
      <c r="E6443" s="288"/>
    </row>
    <row r="6444" spans="1:5" x14ac:dyDescent="0.25">
      <c r="A6444" s="274"/>
      <c r="B6444" s="498"/>
      <c r="C6444" s="287"/>
      <c r="D6444" s="288"/>
      <c r="E6444" s="288"/>
    </row>
    <row r="6445" spans="1:5" x14ac:dyDescent="0.25">
      <c r="A6445" s="274"/>
      <c r="B6445" s="498"/>
      <c r="C6445" s="287"/>
      <c r="D6445" s="288"/>
      <c r="E6445" s="288"/>
    </row>
    <row r="6446" spans="1:5" x14ac:dyDescent="0.25">
      <c r="A6446" s="274"/>
      <c r="B6446" s="498"/>
      <c r="C6446" s="287"/>
      <c r="D6446" s="288"/>
      <c r="E6446" s="288"/>
    </row>
    <row r="6447" spans="1:5" x14ac:dyDescent="0.25">
      <c r="A6447" s="274"/>
      <c r="B6447" s="498"/>
      <c r="C6447" s="287"/>
      <c r="D6447" s="288"/>
      <c r="E6447" s="288"/>
    </row>
    <row r="6448" spans="1:5" x14ac:dyDescent="0.25">
      <c r="A6448" s="274"/>
      <c r="B6448" s="498"/>
      <c r="C6448" s="287"/>
      <c r="D6448" s="288"/>
      <c r="E6448" s="288"/>
    </row>
    <row r="6449" spans="1:5" x14ac:dyDescent="0.25">
      <c r="A6449" s="274"/>
      <c r="B6449" s="498"/>
      <c r="C6449" s="287"/>
      <c r="D6449" s="288"/>
      <c r="E6449" s="288"/>
    </row>
    <row r="6450" spans="1:5" x14ac:dyDescent="0.25">
      <c r="A6450" s="274"/>
      <c r="B6450" s="498"/>
      <c r="C6450" s="287"/>
      <c r="D6450" s="288"/>
      <c r="E6450" s="288"/>
    </row>
    <row r="6451" spans="1:5" x14ac:dyDescent="0.25">
      <c r="A6451" s="274"/>
      <c r="B6451" s="498"/>
      <c r="C6451" s="287"/>
      <c r="D6451" s="288"/>
      <c r="E6451" s="288"/>
    </row>
    <row r="6452" spans="1:5" x14ac:dyDescent="0.25">
      <c r="A6452" s="274"/>
      <c r="B6452" s="498"/>
      <c r="C6452" s="287"/>
      <c r="D6452" s="288"/>
      <c r="E6452" s="288"/>
    </row>
    <row r="6453" spans="1:5" x14ac:dyDescent="0.25">
      <c r="A6453" s="274"/>
      <c r="B6453" s="498"/>
      <c r="C6453" s="287"/>
      <c r="D6453" s="288"/>
      <c r="E6453" s="288"/>
    </row>
    <row r="6454" spans="1:5" x14ac:dyDescent="0.25">
      <c r="A6454" s="274"/>
      <c r="B6454" s="498"/>
      <c r="C6454" s="287"/>
      <c r="D6454" s="288"/>
      <c r="E6454" s="288"/>
    </row>
    <row r="6455" spans="1:5" x14ac:dyDescent="0.25">
      <c r="A6455" s="274"/>
      <c r="B6455" s="498"/>
      <c r="C6455" s="287"/>
      <c r="D6455" s="288"/>
      <c r="E6455" s="288"/>
    </row>
    <row r="6456" spans="1:5" x14ac:dyDescent="0.25">
      <c r="A6456" s="274"/>
      <c r="B6456" s="498"/>
      <c r="C6456" s="287"/>
      <c r="D6456" s="288"/>
      <c r="E6456" s="288"/>
    </row>
    <row r="6457" spans="1:5" x14ac:dyDescent="0.25">
      <c r="A6457" s="274"/>
      <c r="B6457" s="498"/>
      <c r="C6457" s="287"/>
      <c r="D6457" s="288"/>
      <c r="E6457" s="288"/>
    </row>
    <row r="6458" spans="1:5" x14ac:dyDescent="0.25">
      <c r="A6458" s="274"/>
      <c r="B6458" s="498"/>
      <c r="C6458" s="287"/>
      <c r="D6458" s="288"/>
      <c r="E6458" s="288"/>
    </row>
    <row r="6459" spans="1:5" x14ac:dyDescent="0.25">
      <c r="A6459" s="274"/>
      <c r="B6459" s="498"/>
      <c r="C6459" s="287"/>
      <c r="D6459" s="288"/>
      <c r="E6459" s="288"/>
    </row>
    <row r="6460" spans="1:5" x14ac:dyDescent="0.25">
      <c r="A6460" s="274"/>
      <c r="B6460" s="498"/>
      <c r="C6460" s="287"/>
      <c r="D6460" s="288"/>
      <c r="E6460" s="288"/>
    </row>
    <row r="6461" spans="1:5" x14ac:dyDescent="0.25">
      <c r="A6461" s="274"/>
      <c r="B6461" s="498"/>
      <c r="C6461" s="287"/>
      <c r="D6461" s="288"/>
      <c r="E6461" s="288"/>
    </row>
    <row r="6462" spans="1:5" x14ac:dyDescent="0.25">
      <c r="A6462" s="274"/>
      <c r="B6462" s="498"/>
      <c r="C6462" s="287"/>
      <c r="D6462" s="288"/>
      <c r="E6462" s="288"/>
    </row>
    <row r="6463" spans="1:5" x14ac:dyDescent="0.25">
      <c r="A6463" s="274"/>
      <c r="B6463" s="498"/>
      <c r="C6463" s="287"/>
      <c r="D6463" s="288"/>
      <c r="E6463" s="288"/>
    </row>
    <row r="6464" spans="1:5" x14ac:dyDescent="0.25">
      <c r="A6464" s="274"/>
      <c r="B6464" s="498"/>
      <c r="C6464" s="287"/>
      <c r="D6464" s="288"/>
      <c r="E6464" s="288"/>
    </row>
    <row r="6465" spans="1:5" x14ac:dyDescent="0.25">
      <c r="A6465" s="274"/>
      <c r="B6465" s="498"/>
      <c r="C6465" s="287"/>
      <c r="D6465" s="288"/>
      <c r="E6465" s="288"/>
    </row>
    <row r="6466" spans="1:5" x14ac:dyDescent="0.25">
      <c r="A6466" s="274"/>
      <c r="B6466" s="498"/>
      <c r="C6466" s="287"/>
      <c r="D6466" s="288"/>
      <c r="E6466" s="288"/>
    </row>
    <row r="6467" spans="1:5" x14ac:dyDescent="0.25">
      <c r="A6467" s="274"/>
      <c r="B6467" s="498"/>
      <c r="C6467" s="287"/>
      <c r="D6467" s="288"/>
      <c r="E6467" s="288"/>
    </row>
    <row r="6468" spans="1:5" x14ac:dyDescent="0.25">
      <c r="A6468" s="274"/>
      <c r="B6468" s="498"/>
      <c r="C6468" s="287"/>
      <c r="D6468" s="288"/>
      <c r="E6468" s="288"/>
    </row>
    <row r="6469" spans="1:5" x14ac:dyDescent="0.25">
      <c r="A6469" s="274"/>
      <c r="B6469" s="498"/>
      <c r="C6469" s="287"/>
      <c r="D6469" s="288"/>
      <c r="E6469" s="288"/>
    </row>
    <row r="6470" spans="1:5" x14ac:dyDescent="0.25">
      <c r="A6470" s="274"/>
      <c r="B6470" s="498"/>
      <c r="C6470" s="287"/>
      <c r="D6470" s="288"/>
      <c r="E6470" s="288"/>
    </row>
    <row r="6471" spans="1:5" x14ac:dyDescent="0.25">
      <c r="A6471" s="274"/>
      <c r="B6471" s="498"/>
      <c r="C6471" s="287"/>
      <c r="D6471" s="288"/>
      <c r="E6471" s="288"/>
    </row>
    <row r="6472" spans="1:5" x14ac:dyDescent="0.25">
      <c r="A6472" s="274"/>
      <c r="B6472" s="498"/>
      <c r="C6472" s="287"/>
      <c r="D6472" s="288"/>
      <c r="E6472" s="288"/>
    </row>
    <row r="6473" spans="1:5" x14ac:dyDescent="0.25">
      <c r="A6473" s="274"/>
      <c r="B6473" s="498"/>
      <c r="C6473" s="287"/>
      <c r="D6473" s="288"/>
      <c r="E6473" s="288"/>
    </row>
    <row r="6474" spans="1:5" x14ac:dyDescent="0.25">
      <c r="A6474" s="274"/>
      <c r="B6474" s="498"/>
      <c r="C6474" s="287"/>
      <c r="D6474" s="288"/>
      <c r="E6474" s="288"/>
    </row>
    <row r="6475" spans="1:5" x14ac:dyDescent="0.25">
      <c r="A6475" s="274"/>
      <c r="B6475" s="498"/>
      <c r="C6475" s="287"/>
      <c r="D6475" s="288"/>
      <c r="E6475" s="288"/>
    </row>
    <row r="6476" spans="1:5" x14ac:dyDescent="0.25">
      <c r="A6476" s="274"/>
      <c r="B6476" s="498"/>
      <c r="C6476" s="287"/>
      <c r="D6476" s="288"/>
      <c r="E6476" s="288"/>
    </row>
    <row r="6477" spans="1:5" x14ac:dyDescent="0.25">
      <c r="A6477" s="274"/>
      <c r="B6477" s="498"/>
      <c r="C6477" s="287"/>
      <c r="D6477" s="288"/>
      <c r="E6477" s="288"/>
    </row>
    <row r="6478" spans="1:5" x14ac:dyDescent="0.25">
      <c r="A6478" s="274"/>
      <c r="B6478" s="498"/>
      <c r="C6478" s="287"/>
      <c r="D6478" s="288"/>
      <c r="E6478" s="288"/>
    </row>
    <row r="6479" spans="1:5" x14ac:dyDescent="0.25">
      <c r="A6479" s="274"/>
      <c r="B6479" s="498"/>
      <c r="C6479" s="287"/>
      <c r="D6479" s="288"/>
      <c r="E6479" s="288"/>
    </row>
    <row r="6480" spans="1:5" x14ac:dyDescent="0.25">
      <c r="A6480" s="274"/>
      <c r="B6480" s="498"/>
      <c r="C6480" s="287"/>
      <c r="D6480" s="288"/>
      <c r="E6480" s="288"/>
    </row>
    <row r="6481" spans="1:5" x14ac:dyDescent="0.25">
      <c r="A6481" s="274"/>
      <c r="B6481" s="498"/>
      <c r="C6481" s="287"/>
      <c r="D6481" s="288"/>
      <c r="E6481" s="288"/>
    </row>
    <row r="6482" spans="1:5" x14ac:dyDescent="0.25">
      <c r="A6482" s="274"/>
      <c r="B6482" s="498"/>
      <c r="C6482" s="287"/>
      <c r="D6482" s="288"/>
      <c r="E6482" s="288"/>
    </row>
    <row r="6483" spans="1:5" x14ac:dyDescent="0.25">
      <c r="A6483" s="274"/>
      <c r="B6483" s="498"/>
      <c r="C6483" s="287"/>
      <c r="D6483" s="288"/>
      <c r="E6483" s="288"/>
    </row>
    <row r="6484" spans="1:5" x14ac:dyDescent="0.25">
      <c r="A6484" s="274"/>
      <c r="B6484" s="498"/>
      <c r="C6484" s="287"/>
      <c r="D6484" s="288"/>
      <c r="E6484" s="288"/>
    </row>
    <row r="6485" spans="1:5" x14ac:dyDescent="0.25">
      <c r="A6485" s="274"/>
      <c r="B6485" s="498"/>
      <c r="C6485" s="287"/>
      <c r="D6485" s="288"/>
      <c r="E6485" s="288"/>
    </row>
    <row r="6486" spans="1:5" x14ac:dyDescent="0.25">
      <c r="A6486" s="274"/>
      <c r="B6486" s="498"/>
      <c r="C6486" s="287"/>
      <c r="D6486" s="288"/>
      <c r="E6486" s="288"/>
    </row>
    <row r="6487" spans="1:5" x14ac:dyDescent="0.25">
      <c r="A6487" s="274"/>
      <c r="B6487" s="498"/>
      <c r="C6487" s="287"/>
      <c r="D6487" s="288"/>
      <c r="E6487" s="288"/>
    </row>
    <row r="6488" spans="1:5" x14ac:dyDescent="0.25">
      <c r="A6488" s="274"/>
      <c r="B6488" s="498"/>
      <c r="C6488" s="287"/>
      <c r="D6488" s="288"/>
      <c r="E6488" s="288"/>
    </row>
    <row r="6489" spans="1:5" x14ac:dyDescent="0.25">
      <c r="A6489" s="274"/>
      <c r="B6489" s="498"/>
      <c r="C6489" s="287"/>
      <c r="D6489" s="288"/>
      <c r="E6489" s="288"/>
    </row>
    <row r="6490" spans="1:5" x14ac:dyDescent="0.25">
      <c r="A6490" s="274"/>
      <c r="B6490" s="498"/>
      <c r="C6490" s="287"/>
      <c r="D6490" s="288"/>
      <c r="E6490" s="288"/>
    </row>
    <row r="6491" spans="1:5" x14ac:dyDescent="0.25">
      <c r="A6491" s="274"/>
      <c r="B6491" s="498"/>
      <c r="C6491" s="287"/>
      <c r="D6491" s="288"/>
      <c r="E6491" s="288"/>
    </row>
    <row r="6492" spans="1:5" x14ac:dyDescent="0.25">
      <c r="A6492" s="274"/>
      <c r="B6492" s="498"/>
      <c r="C6492" s="287"/>
      <c r="D6492" s="288"/>
      <c r="E6492" s="288"/>
    </row>
    <row r="6493" spans="1:5" x14ac:dyDescent="0.25">
      <c r="A6493" s="274"/>
      <c r="B6493" s="498"/>
      <c r="C6493" s="287"/>
      <c r="D6493" s="288"/>
      <c r="E6493" s="288"/>
    </row>
    <row r="6494" spans="1:5" x14ac:dyDescent="0.25">
      <c r="A6494" s="274"/>
      <c r="B6494" s="498"/>
      <c r="C6494" s="287"/>
      <c r="D6494" s="288"/>
      <c r="E6494" s="288"/>
    </row>
    <row r="6495" spans="1:5" x14ac:dyDescent="0.25">
      <c r="A6495" s="274"/>
      <c r="B6495" s="498"/>
      <c r="C6495" s="287"/>
      <c r="D6495" s="288"/>
      <c r="E6495" s="288"/>
    </row>
    <row r="6496" spans="1:5" x14ac:dyDescent="0.25">
      <c r="A6496" s="274"/>
      <c r="B6496" s="498"/>
      <c r="C6496" s="287"/>
      <c r="D6496" s="288"/>
      <c r="E6496" s="288"/>
    </row>
    <row r="6497" spans="1:5" x14ac:dyDescent="0.25">
      <c r="A6497" s="274"/>
      <c r="B6497" s="498"/>
      <c r="C6497" s="287"/>
      <c r="D6497" s="288"/>
      <c r="E6497" s="288"/>
    </row>
    <row r="6498" spans="1:5" x14ac:dyDescent="0.25">
      <c r="A6498" s="274"/>
      <c r="B6498" s="498"/>
      <c r="C6498" s="287"/>
      <c r="D6498" s="288"/>
      <c r="E6498" s="288"/>
    </row>
    <row r="6499" spans="1:5" x14ac:dyDescent="0.25">
      <c r="A6499" s="274"/>
      <c r="B6499" s="498"/>
      <c r="C6499" s="287"/>
      <c r="D6499" s="288"/>
      <c r="E6499" s="288"/>
    </row>
    <row r="6500" spans="1:5" x14ac:dyDescent="0.25">
      <c r="A6500" s="274"/>
      <c r="B6500" s="498"/>
      <c r="C6500" s="287"/>
      <c r="D6500" s="288"/>
      <c r="E6500" s="288"/>
    </row>
    <row r="6501" spans="1:5" x14ac:dyDescent="0.25">
      <c r="A6501" s="274"/>
      <c r="B6501" s="498"/>
      <c r="C6501" s="287"/>
      <c r="D6501" s="288"/>
      <c r="E6501" s="288"/>
    </row>
    <row r="6502" spans="1:5" x14ac:dyDescent="0.25">
      <c r="A6502" s="274"/>
      <c r="B6502" s="498"/>
      <c r="C6502" s="287"/>
      <c r="D6502" s="288"/>
      <c r="E6502" s="288"/>
    </row>
    <row r="6503" spans="1:5" x14ac:dyDescent="0.25">
      <c r="A6503" s="274"/>
      <c r="B6503" s="498"/>
      <c r="C6503" s="287"/>
      <c r="D6503" s="288"/>
      <c r="E6503" s="288"/>
    </row>
    <row r="6504" spans="1:5" x14ac:dyDescent="0.25">
      <c r="A6504" s="274"/>
      <c r="B6504" s="498"/>
      <c r="C6504" s="287"/>
      <c r="D6504" s="288"/>
      <c r="E6504" s="288"/>
    </row>
    <row r="6505" spans="1:5" x14ac:dyDescent="0.25">
      <c r="A6505" s="274"/>
      <c r="B6505" s="498"/>
      <c r="C6505" s="287"/>
      <c r="D6505" s="288"/>
      <c r="E6505" s="288"/>
    </row>
    <row r="6506" spans="1:5" x14ac:dyDescent="0.25">
      <c r="A6506" s="274"/>
      <c r="B6506" s="498"/>
      <c r="C6506" s="287"/>
      <c r="D6506" s="288"/>
      <c r="E6506" s="288"/>
    </row>
    <row r="6507" spans="1:5" x14ac:dyDescent="0.25">
      <c r="A6507" s="274"/>
      <c r="B6507" s="498"/>
      <c r="C6507" s="287"/>
      <c r="D6507" s="288"/>
      <c r="E6507" s="288"/>
    </row>
    <row r="6508" spans="1:5" x14ac:dyDescent="0.25">
      <c r="A6508" s="274"/>
      <c r="B6508" s="498"/>
      <c r="C6508" s="287"/>
      <c r="D6508" s="288"/>
      <c r="E6508" s="288"/>
    </row>
    <row r="6509" spans="1:5" x14ac:dyDescent="0.25">
      <c r="A6509" s="274"/>
      <c r="B6509" s="498"/>
      <c r="C6509" s="287"/>
      <c r="D6509" s="288"/>
      <c r="E6509" s="288"/>
    </row>
    <row r="6510" spans="1:5" x14ac:dyDescent="0.25">
      <c r="A6510" s="274"/>
      <c r="B6510" s="498"/>
      <c r="C6510" s="287"/>
      <c r="D6510" s="288"/>
      <c r="E6510" s="288"/>
    </row>
    <row r="6511" spans="1:5" x14ac:dyDescent="0.25">
      <c r="A6511" s="274"/>
      <c r="B6511" s="498"/>
      <c r="C6511" s="287"/>
      <c r="D6511" s="288"/>
      <c r="E6511" s="288"/>
    </row>
    <row r="6512" spans="1:5" x14ac:dyDescent="0.25">
      <c r="A6512" s="274"/>
      <c r="B6512" s="498"/>
      <c r="C6512" s="287"/>
      <c r="D6512" s="288"/>
      <c r="E6512" s="288"/>
    </row>
    <row r="6513" spans="1:5" x14ac:dyDescent="0.25">
      <c r="A6513" s="274"/>
      <c r="B6513" s="498"/>
      <c r="C6513" s="287"/>
      <c r="D6513" s="288"/>
      <c r="E6513" s="288"/>
    </row>
    <row r="6514" spans="1:5" x14ac:dyDescent="0.25">
      <c r="A6514" s="274"/>
      <c r="B6514" s="498"/>
      <c r="C6514" s="287"/>
      <c r="D6514" s="288"/>
      <c r="E6514" s="288"/>
    </row>
    <row r="6515" spans="1:5" x14ac:dyDescent="0.25">
      <c r="A6515" s="274"/>
      <c r="B6515" s="498"/>
      <c r="C6515" s="287"/>
      <c r="D6515" s="288"/>
      <c r="E6515" s="288"/>
    </row>
    <row r="6516" spans="1:5" x14ac:dyDescent="0.25">
      <c r="A6516" s="274"/>
      <c r="B6516" s="498"/>
      <c r="C6516" s="287"/>
      <c r="D6516" s="288"/>
      <c r="E6516" s="288"/>
    </row>
    <row r="6517" spans="1:5" x14ac:dyDescent="0.25">
      <c r="A6517" s="274"/>
      <c r="B6517" s="498"/>
      <c r="C6517" s="287"/>
      <c r="D6517" s="288"/>
      <c r="E6517" s="288"/>
    </row>
    <row r="6518" spans="1:5" x14ac:dyDescent="0.25">
      <c r="A6518" s="274"/>
      <c r="B6518" s="498"/>
      <c r="C6518" s="287"/>
      <c r="D6518" s="288"/>
      <c r="E6518" s="288"/>
    </row>
    <row r="6519" spans="1:5" x14ac:dyDescent="0.25">
      <c r="A6519" s="274"/>
      <c r="B6519" s="498"/>
      <c r="C6519" s="287"/>
      <c r="D6519" s="288"/>
      <c r="E6519" s="288"/>
    </row>
    <row r="6520" spans="1:5" x14ac:dyDescent="0.25">
      <c r="A6520" s="274"/>
      <c r="B6520" s="498"/>
      <c r="C6520" s="287"/>
      <c r="D6520" s="288"/>
      <c r="E6520" s="288"/>
    </row>
    <row r="6521" spans="1:5" x14ac:dyDescent="0.25">
      <c r="A6521" s="274"/>
      <c r="B6521" s="498"/>
      <c r="C6521" s="287"/>
      <c r="D6521" s="288"/>
      <c r="E6521" s="288"/>
    </row>
    <row r="6522" spans="1:5" x14ac:dyDescent="0.25">
      <c r="A6522" s="274"/>
      <c r="B6522" s="498"/>
      <c r="C6522" s="287"/>
      <c r="D6522" s="288"/>
      <c r="E6522" s="288"/>
    </row>
    <row r="6523" spans="1:5" x14ac:dyDescent="0.25">
      <c r="A6523" s="274"/>
      <c r="B6523" s="498"/>
      <c r="C6523" s="287"/>
      <c r="D6523" s="288"/>
      <c r="E6523" s="288"/>
    </row>
    <row r="6524" spans="1:5" x14ac:dyDescent="0.25">
      <c r="A6524" s="274"/>
      <c r="B6524" s="498"/>
      <c r="C6524" s="287"/>
      <c r="D6524" s="288"/>
      <c r="E6524" s="288"/>
    </row>
    <row r="6525" spans="1:5" x14ac:dyDescent="0.25">
      <c r="A6525" s="274"/>
      <c r="B6525" s="498"/>
      <c r="C6525" s="287"/>
      <c r="D6525" s="288"/>
      <c r="E6525" s="288"/>
    </row>
    <row r="6526" spans="1:5" x14ac:dyDescent="0.25">
      <c r="A6526" s="274"/>
      <c r="B6526" s="498"/>
      <c r="C6526" s="287"/>
      <c r="D6526" s="288"/>
      <c r="E6526" s="288"/>
    </row>
    <row r="6527" spans="1:5" x14ac:dyDescent="0.25">
      <c r="A6527" s="274"/>
      <c r="B6527" s="498"/>
      <c r="C6527" s="287"/>
      <c r="D6527" s="288"/>
      <c r="E6527" s="288"/>
    </row>
    <row r="6528" spans="1:5" x14ac:dyDescent="0.25">
      <c r="A6528" s="274"/>
      <c r="B6528" s="498"/>
      <c r="C6528" s="287"/>
      <c r="D6528" s="288"/>
      <c r="E6528" s="288"/>
    </row>
    <row r="6529" spans="1:5" x14ac:dyDescent="0.25">
      <c r="A6529" s="274"/>
      <c r="B6529" s="498"/>
      <c r="C6529" s="287"/>
      <c r="D6529" s="288"/>
      <c r="E6529" s="288"/>
    </row>
    <row r="6530" spans="1:5" x14ac:dyDescent="0.25">
      <c r="A6530" s="274"/>
      <c r="B6530" s="498"/>
      <c r="C6530" s="287"/>
      <c r="D6530" s="288"/>
      <c r="E6530" s="288"/>
    </row>
    <row r="6531" spans="1:5" x14ac:dyDescent="0.25">
      <c r="A6531" s="274"/>
      <c r="B6531" s="498"/>
      <c r="C6531" s="287"/>
      <c r="D6531" s="288"/>
      <c r="E6531" s="288"/>
    </row>
    <row r="6532" spans="1:5" x14ac:dyDescent="0.25">
      <c r="A6532" s="274"/>
      <c r="B6532" s="498"/>
      <c r="C6532" s="287"/>
      <c r="D6532" s="288"/>
      <c r="E6532" s="288"/>
    </row>
    <row r="6533" spans="1:5" x14ac:dyDescent="0.25">
      <c r="A6533" s="274"/>
      <c r="B6533" s="498"/>
      <c r="C6533" s="287"/>
      <c r="D6533" s="288"/>
      <c r="E6533" s="288"/>
    </row>
    <row r="6534" spans="1:5" x14ac:dyDescent="0.25">
      <c r="A6534" s="274"/>
      <c r="B6534" s="498"/>
      <c r="C6534" s="287"/>
      <c r="D6534" s="288"/>
      <c r="E6534" s="288"/>
    </row>
    <row r="6535" spans="1:5" x14ac:dyDescent="0.25">
      <c r="A6535" s="274"/>
      <c r="B6535" s="498"/>
      <c r="C6535" s="287"/>
      <c r="D6535" s="288"/>
      <c r="E6535" s="288"/>
    </row>
    <row r="6536" spans="1:5" x14ac:dyDescent="0.25">
      <c r="A6536" s="274"/>
      <c r="B6536" s="498"/>
      <c r="C6536" s="287"/>
      <c r="D6536" s="288"/>
      <c r="E6536" s="288"/>
    </row>
    <row r="6537" spans="1:5" x14ac:dyDescent="0.25">
      <c r="A6537" s="274"/>
      <c r="B6537" s="498"/>
      <c r="C6537" s="287"/>
      <c r="D6537" s="288"/>
      <c r="E6537" s="288"/>
    </row>
    <row r="6538" spans="1:5" x14ac:dyDescent="0.25">
      <c r="A6538" s="274"/>
      <c r="B6538" s="498"/>
      <c r="C6538" s="287"/>
      <c r="D6538" s="288"/>
      <c r="E6538" s="288"/>
    </row>
    <row r="6539" spans="1:5" x14ac:dyDescent="0.25">
      <c r="A6539" s="274"/>
      <c r="B6539" s="498"/>
      <c r="C6539" s="287"/>
      <c r="D6539" s="288"/>
      <c r="E6539" s="288"/>
    </row>
    <row r="6540" spans="1:5" x14ac:dyDescent="0.25">
      <c r="A6540" s="274"/>
      <c r="B6540" s="498"/>
      <c r="C6540" s="287"/>
      <c r="D6540" s="288"/>
      <c r="E6540" s="288"/>
    </row>
    <row r="6541" spans="1:5" x14ac:dyDescent="0.25">
      <c r="A6541" s="274"/>
      <c r="B6541" s="498"/>
      <c r="C6541" s="287"/>
      <c r="D6541" s="288"/>
      <c r="E6541" s="288"/>
    </row>
    <row r="6542" spans="1:5" x14ac:dyDescent="0.25">
      <c r="A6542" s="274"/>
      <c r="B6542" s="498"/>
      <c r="C6542" s="287"/>
      <c r="D6542" s="288"/>
      <c r="E6542" s="288"/>
    </row>
    <row r="6543" spans="1:5" x14ac:dyDescent="0.25">
      <c r="A6543" s="274"/>
      <c r="B6543" s="498"/>
      <c r="C6543" s="287"/>
      <c r="D6543" s="288"/>
      <c r="E6543" s="288"/>
    </row>
    <row r="6544" spans="1:5" x14ac:dyDescent="0.25">
      <c r="A6544" s="274"/>
      <c r="B6544" s="498"/>
      <c r="C6544" s="287"/>
      <c r="D6544" s="288"/>
      <c r="E6544" s="288"/>
    </row>
    <row r="6545" spans="1:5" x14ac:dyDescent="0.25">
      <c r="A6545" s="274"/>
      <c r="B6545" s="498"/>
      <c r="C6545" s="287"/>
      <c r="D6545" s="288"/>
      <c r="E6545" s="288"/>
    </row>
    <row r="6546" spans="1:5" x14ac:dyDescent="0.25">
      <c r="A6546" s="274"/>
      <c r="B6546" s="498"/>
      <c r="C6546" s="287"/>
      <c r="D6546" s="288"/>
      <c r="E6546" s="288"/>
    </row>
    <row r="6547" spans="1:5" x14ac:dyDescent="0.25">
      <c r="A6547" s="274"/>
      <c r="B6547" s="498"/>
      <c r="C6547" s="287"/>
      <c r="D6547" s="288"/>
      <c r="E6547" s="288"/>
    </row>
    <row r="6548" spans="1:5" x14ac:dyDescent="0.25">
      <c r="A6548" s="274"/>
      <c r="B6548" s="498"/>
      <c r="C6548" s="287"/>
      <c r="D6548" s="288"/>
      <c r="E6548" s="288"/>
    </row>
    <row r="6549" spans="1:5" x14ac:dyDescent="0.25">
      <c r="A6549" s="274"/>
      <c r="B6549" s="498"/>
      <c r="C6549" s="287"/>
      <c r="D6549" s="288"/>
      <c r="E6549" s="288"/>
    </row>
    <row r="6550" spans="1:5" x14ac:dyDescent="0.25">
      <c r="A6550" s="274"/>
      <c r="B6550" s="498"/>
      <c r="C6550" s="287"/>
      <c r="D6550" s="288"/>
      <c r="E6550" s="288"/>
    </row>
    <row r="6551" spans="1:5" x14ac:dyDescent="0.25">
      <c r="A6551" s="274"/>
      <c r="B6551" s="498"/>
      <c r="C6551" s="287"/>
      <c r="D6551" s="288"/>
      <c r="E6551" s="288"/>
    </row>
    <row r="6552" spans="1:5" x14ac:dyDescent="0.25">
      <c r="A6552" s="274"/>
      <c r="B6552" s="498"/>
      <c r="C6552" s="287"/>
      <c r="D6552" s="288"/>
      <c r="E6552" s="288"/>
    </row>
    <row r="6553" spans="1:5" x14ac:dyDescent="0.25">
      <c r="A6553" s="274"/>
      <c r="B6553" s="498"/>
      <c r="C6553" s="287"/>
      <c r="D6553" s="288"/>
      <c r="E6553" s="288"/>
    </row>
    <row r="6554" spans="1:5" x14ac:dyDescent="0.25">
      <c r="A6554" s="274"/>
      <c r="B6554" s="498"/>
      <c r="C6554" s="287"/>
      <c r="D6554" s="288"/>
      <c r="E6554" s="288"/>
    </row>
    <row r="6555" spans="1:5" x14ac:dyDescent="0.25">
      <c r="A6555" s="274"/>
      <c r="B6555" s="498"/>
      <c r="C6555" s="287"/>
      <c r="D6555" s="288"/>
      <c r="E6555" s="288"/>
    </row>
    <row r="6556" spans="1:5" x14ac:dyDescent="0.25">
      <c r="A6556" s="274"/>
      <c r="B6556" s="498"/>
      <c r="C6556" s="287"/>
      <c r="D6556" s="288"/>
      <c r="E6556" s="288"/>
    </row>
    <row r="6557" spans="1:5" x14ac:dyDescent="0.25">
      <c r="A6557" s="274"/>
      <c r="B6557" s="498"/>
      <c r="C6557" s="287"/>
      <c r="D6557" s="288"/>
      <c r="E6557" s="288"/>
    </row>
    <row r="6558" spans="1:5" x14ac:dyDescent="0.25">
      <c r="A6558" s="274"/>
      <c r="B6558" s="498"/>
      <c r="C6558" s="287"/>
      <c r="D6558" s="288"/>
      <c r="E6558" s="288"/>
    </row>
    <row r="6559" spans="1:5" x14ac:dyDescent="0.25">
      <c r="A6559" s="274"/>
      <c r="B6559" s="498"/>
      <c r="C6559" s="287"/>
      <c r="D6559" s="288"/>
      <c r="E6559" s="288"/>
    </row>
    <row r="6560" spans="1:5" x14ac:dyDescent="0.25">
      <c r="A6560" s="274"/>
      <c r="B6560" s="498"/>
      <c r="C6560" s="287"/>
      <c r="D6560" s="288"/>
      <c r="E6560" s="288"/>
    </row>
    <row r="6561" spans="1:5" x14ac:dyDescent="0.25">
      <c r="A6561" s="274"/>
      <c r="B6561" s="498"/>
      <c r="C6561" s="287"/>
      <c r="D6561" s="288"/>
      <c r="E6561" s="288"/>
    </row>
    <row r="6562" spans="1:5" x14ac:dyDescent="0.25">
      <c r="A6562" s="274"/>
      <c r="B6562" s="498"/>
      <c r="C6562" s="287"/>
      <c r="D6562" s="288"/>
      <c r="E6562" s="288"/>
    </row>
    <row r="6563" spans="1:5" x14ac:dyDescent="0.25">
      <c r="A6563" s="274"/>
      <c r="B6563" s="498"/>
      <c r="C6563" s="287"/>
      <c r="D6563" s="288"/>
      <c r="E6563" s="288"/>
    </row>
    <row r="6564" spans="1:5" x14ac:dyDescent="0.25">
      <c r="A6564" s="274"/>
      <c r="B6564" s="498"/>
      <c r="C6564" s="287"/>
      <c r="D6564" s="288"/>
      <c r="E6564" s="288"/>
    </row>
    <row r="6565" spans="1:5" x14ac:dyDescent="0.25">
      <c r="A6565" s="274"/>
      <c r="B6565" s="498"/>
      <c r="C6565" s="287"/>
      <c r="D6565" s="288"/>
      <c r="E6565" s="288"/>
    </row>
    <row r="6566" spans="1:5" x14ac:dyDescent="0.25">
      <c r="A6566" s="274"/>
      <c r="B6566" s="498"/>
      <c r="C6566" s="287"/>
      <c r="D6566" s="288"/>
      <c r="E6566" s="288"/>
    </row>
    <row r="6567" spans="1:5" x14ac:dyDescent="0.25">
      <c r="A6567" s="274"/>
      <c r="B6567" s="498"/>
      <c r="C6567" s="287"/>
      <c r="D6567" s="288"/>
      <c r="E6567" s="288"/>
    </row>
    <row r="6568" spans="1:5" x14ac:dyDescent="0.25">
      <c r="A6568" s="274"/>
      <c r="B6568" s="498"/>
      <c r="C6568" s="287"/>
      <c r="D6568" s="288"/>
      <c r="E6568" s="288"/>
    </row>
    <row r="6569" spans="1:5" x14ac:dyDescent="0.25">
      <c r="A6569" s="274"/>
      <c r="B6569" s="498"/>
      <c r="C6569" s="287"/>
      <c r="D6569" s="288"/>
      <c r="E6569" s="288"/>
    </row>
    <row r="6570" spans="1:5" x14ac:dyDescent="0.25">
      <c r="A6570" s="274"/>
      <c r="B6570" s="498"/>
      <c r="C6570" s="287"/>
      <c r="D6570" s="288"/>
      <c r="E6570" s="288"/>
    </row>
    <row r="6571" spans="1:5" x14ac:dyDescent="0.25">
      <c r="A6571" s="274"/>
      <c r="B6571" s="498"/>
      <c r="C6571" s="287"/>
      <c r="D6571" s="288"/>
      <c r="E6571" s="288"/>
    </row>
    <row r="6572" spans="1:5" x14ac:dyDescent="0.25">
      <c r="A6572" s="274"/>
      <c r="B6572" s="498"/>
      <c r="C6572" s="287"/>
      <c r="D6572" s="288"/>
      <c r="E6572" s="288"/>
    </row>
    <row r="6573" spans="1:5" x14ac:dyDescent="0.25">
      <c r="A6573" s="274"/>
      <c r="B6573" s="498"/>
      <c r="C6573" s="287"/>
      <c r="D6573" s="288"/>
      <c r="E6573" s="288"/>
    </row>
    <row r="6574" spans="1:5" x14ac:dyDescent="0.25">
      <c r="A6574" s="274"/>
      <c r="B6574" s="498"/>
      <c r="C6574" s="287"/>
      <c r="D6574" s="288"/>
      <c r="E6574" s="288"/>
    </row>
    <row r="6575" spans="1:5" x14ac:dyDescent="0.25">
      <c r="A6575" s="274"/>
      <c r="B6575" s="498"/>
      <c r="C6575" s="287"/>
      <c r="D6575" s="288"/>
      <c r="E6575" s="288"/>
    </row>
    <row r="6576" spans="1:5" x14ac:dyDescent="0.25">
      <c r="A6576" s="274"/>
      <c r="B6576" s="498"/>
      <c r="C6576" s="287"/>
      <c r="D6576" s="288"/>
      <c r="E6576" s="288"/>
    </row>
    <row r="6577" spans="1:5" x14ac:dyDescent="0.25">
      <c r="A6577" s="274"/>
      <c r="B6577" s="498"/>
      <c r="C6577" s="287"/>
      <c r="D6577" s="288"/>
      <c r="E6577" s="288"/>
    </row>
    <row r="6578" spans="1:5" x14ac:dyDescent="0.25">
      <c r="A6578" s="274"/>
      <c r="B6578" s="498"/>
      <c r="C6578" s="287"/>
      <c r="D6578" s="288"/>
      <c r="E6578" s="288"/>
    </row>
    <row r="6579" spans="1:5" x14ac:dyDescent="0.25">
      <c r="A6579" s="274"/>
      <c r="B6579" s="498"/>
      <c r="C6579" s="287"/>
      <c r="D6579" s="288"/>
      <c r="E6579" s="288"/>
    </row>
    <row r="6580" spans="1:5" x14ac:dyDescent="0.25">
      <c r="A6580" s="274"/>
      <c r="B6580" s="498"/>
      <c r="C6580" s="287"/>
      <c r="D6580" s="288"/>
      <c r="E6580" s="288"/>
    </row>
    <row r="6581" spans="1:5" x14ac:dyDescent="0.25">
      <c r="A6581" s="274"/>
      <c r="B6581" s="498"/>
      <c r="C6581" s="287"/>
      <c r="D6581" s="288"/>
      <c r="E6581" s="288"/>
    </row>
    <row r="6582" spans="1:5" x14ac:dyDescent="0.25">
      <c r="A6582" s="274"/>
      <c r="B6582" s="498"/>
      <c r="C6582" s="287"/>
      <c r="D6582" s="288"/>
      <c r="E6582" s="288"/>
    </row>
    <row r="6583" spans="1:5" x14ac:dyDescent="0.25">
      <c r="A6583" s="274"/>
      <c r="B6583" s="498"/>
      <c r="C6583" s="287"/>
      <c r="D6583" s="288"/>
      <c r="E6583" s="288"/>
    </row>
    <row r="6584" spans="1:5" x14ac:dyDescent="0.25">
      <c r="A6584" s="274"/>
      <c r="B6584" s="498"/>
      <c r="C6584" s="287"/>
      <c r="D6584" s="288"/>
      <c r="E6584" s="288"/>
    </row>
    <row r="6585" spans="1:5" x14ac:dyDescent="0.25">
      <c r="A6585" s="274"/>
      <c r="B6585" s="498"/>
      <c r="C6585" s="287"/>
      <c r="D6585" s="288"/>
      <c r="E6585" s="288"/>
    </row>
    <row r="6586" spans="1:5" x14ac:dyDescent="0.25">
      <c r="A6586" s="274"/>
      <c r="B6586" s="498"/>
      <c r="C6586" s="287"/>
      <c r="D6586" s="288"/>
      <c r="E6586" s="288"/>
    </row>
    <row r="6587" spans="1:5" x14ac:dyDescent="0.25">
      <c r="A6587" s="274"/>
      <c r="B6587" s="498"/>
      <c r="C6587" s="287"/>
      <c r="D6587" s="288"/>
      <c r="E6587" s="288"/>
    </row>
    <row r="6588" spans="1:5" x14ac:dyDescent="0.25">
      <c r="A6588" s="274"/>
      <c r="B6588" s="498"/>
      <c r="C6588" s="287"/>
      <c r="D6588" s="288"/>
      <c r="E6588" s="288"/>
    </row>
    <row r="6589" spans="1:5" x14ac:dyDescent="0.25">
      <c r="A6589" s="274"/>
      <c r="B6589" s="498"/>
      <c r="C6589" s="287"/>
      <c r="D6589" s="288"/>
      <c r="E6589" s="288"/>
    </row>
    <row r="6590" spans="1:5" x14ac:dyDescent="0.25">
      <c r="A6590" s="274"/>
      <c r="B6590" s="498"/>
      <c r="C6590" s="287"/>
      <c r="D6590" s="288"/>
      <c r="E6590" s="288"/>
    </row>
    <row r="6591" spans="1:5" x14ac:dyDescent="0.25">
      <c r="A6591" s="274"/>
      <c r="B6591" s="498"/>
      <c r="C6591" s="287"/>
      <c r="D6591" s="288"/>
      <c r="E6591" s="288"/>
    </row>
    <row r="6592" spans="1:5" x14ac:dyDescent="0.25">
      <c r="A6592" s="274"/>
    </row>
  </sheetData>
  <mergeCells count="11">
    <mergeCell ref="B1:F1"/>
    <mergeCell ref="B10:F10"/>
    <mergeCell ref="B12:F12"/>
    <mergeCell ref="B11:F11"/>
    <mergeCell ref="A15:F15"/>
    <mergeCell ref="E2:F2"/>
    <mergeCell ref="B4:F4"/>
    <mergeCell ref="B6:F6"/>
    <mergeCell ref="B8:F8"/>
    <mergeCell ref="B3:F3"/>
    <mergeCell ref="B7:F7"/>
  </mergeCells>
  <phoneticPr fontId="82" type="noConversion"/>
  <pageMargins left="0.78740157480314965" right="0.78740157480314965" top="0.98425196850393704" bottom="0.98425196850393704" header="0.51181102362204722" footer="0.51181102362204722"/>
  <pageSetup paperSize="9" scale="80" fitToHeight="0" orientation="landscape"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8" zoomScale="90" zoomScaleNormal="75" zoomScaleSheetLayoutView="90" workbookViewId="0">
      <selection activeCell="E66" sqref="E66"/>
    </sheetView>
  </sheetViews>
  <sheetFormatPr defaultColWidth="9.28515625" defaultRowHeight="18.75" x14ac:dyDescent="0.2"/>
  <cols>
    <col min="1" max="1" width="80.42578125" style="239" customWidth="1"/>
    <col min="2" max="2" width="9.7109375" style="239" customWidth="1"/>
    <col min="3" max="3" width="9.42578125" style="239" customWidth="1"/>
    <col min="4" max="4" width="15.7109375" style="239" customWidth="1"/>
    <col min="5" max="5" width="16.5703125" style="470" customWidth="1"/>
    <col min="6" max="6" width="15.5703125" style="239" customWidth="1"/>
    <col min="7" max="16384" width="9.28515625" style="239"/>
  </cols>
  <sheetData>
    <row r="1" spans="1:8" s="276" customFormat="1" ht="15" x14ac:dyDescent="0.2">
      <c r="B1" s="850" t="s">
        <v>2332</v>
      </c>
      <c r="C1" s="851"/>
      <c r="D1" s="851"/>
      <c r="E1" s="851"/>
      <c r="F1" s="851"/>
      <c r="G1" s="459"/>
      <c r="H1" s="459"/>
    </row>
    <row r="2" spans="1:8" s="276" customFormat="1" ht="17.45" customHeight="1" x14ac:dyDescent="0.25">
      <c r="B2" s="719"/>
      <c r="C2" s="720"/>
      <c r="D2" s="720"/>
      <c r="E2" s="844" t="s">
        <v>2384</v>
      </c>
      <c r="F2" s="843"/>
      <c r="G2" s="459"/>
      <c r="H2" s="459"/>
    </row>
    <row r="3" spans="1:8" s="459" customFormat="1" ht="17.45" customHeight="1" x14ac:dyDescent="0.25">
      <c r="B3" s="842" t="s">
        <v>2318</v>
      </c>
      <c r="C3" s="856"/>
      <c r="D3" s="856"/>
      <c r="E3" s="856"/>
      <c r="F3" s="851"/>
    </row>
    <row r="4" spans="1:8" s="459" customFormat="1" ht="17.45" customHeight="1" x14ac:dyDescent="0.25">
      <c r="B4" s="853" t="s">
        <v>2319</v>
      </c>
      <c r="C4" s="855"/>
      <c r="D4" s="855"/>
      <c r="E4" s="855"/>
      <c r="F4" s="851"/>
    </row>
    <row r="5" spans="1:8" s="724" customFormat="1" ht="17.45" customHeight="1" x14ac:dyDescent="0.2">
      <c r="E5" s="470"/>
    </row>
    <row r="6" spans="1:8" s="724" customFormat="1" ht="17.45" customHeight="1" x14ac:dyDescent="0.2">
      <c r="B6" s="850" t="s">
        <v>2390</v>
      </c>
      <c r="C6" s="851"/>
      <c r="D6" s="851"/>
      <c r="E6" s="851"/>
      <c r="F6" s="851"/>
    </row>
    <row r="7" spans="1:8" s="459" customFormat="1" ht="17.45" customHeight="1" x14ac:dyDescent="0.25">
      <c r="B7" s="842" t="s">
        <v>2318</v>
      </c>
      <c r="C7" s="856"/>
      <c r="D7" s="856"/>
      <c r="E7" s="856"/>
      <c r="F7" s="851"/>
    </row>
    <row r="8" spans="1:8" s="459" customFormat="1" ht="17.45" customHeight="1" x14ac:dyDescent="0.25">
      <c r="B8" s="853" t="s">
        <v>2388</v>
      </c>
      <c r="C8" s="855"/>
      <c r="D8" s="855"/>
      <c r="E8" s="855"/>
      <c r="F8" s="851"/>
    </row>
    <row r="9" spans="1:8" s="276" customFormat="1" ht="12.75" x14ac:dyDescent="0.2">
      <c r="D9" s="862"/>
      <c r="E9" s="862"/>
    </row>
    <row r="10" spans="1:8" s="724" customFormat="1" ht="12.75" x14ac:dyDescent="0.2">
      <c r="D10" s="725"/>
      <c r="E10" s="725"/>
    </row>
    <row r="11" spans="1:8" ht="88.9" customHeight="1" x14ac:dyDescent="0.2">
      <c r="A11" s="863" t="s">
        <v>2330</v>
      </c>
      <c r="B11" s="863"/>
      <c r="C11" s="863"/>
      <c r="D11" s="848"/>
      <c r="E11" s="848"/>
      <c r="F11" s="848"/>
      <c r="G11" s="462"/>
      <c r="H11" s="462"/>
    </row>
    <row r="12" spans="1:8" ht="4.1500000000000004" hidden="1" customHeight="1" thickBot="1" x14ac:dyDescent="0.25">
      <c r="A12" s="240"/>
      <c r="B12" s="241"/>
      <c r="C12" s="241"/>
      <c r="E12" s="849"/>
      <c r="F12" s="849"/>
      <c r="G12" s="849"/>
      <c r="H12" s="849"/>
    </row>
    <row r="13" spans="1:8" s="280" customFormat="1" ht="27" customHeight="1" thickBot="1" x14ac:dyDescent="0.25">
      <c r="A13" s="240"/>
      <c r="B13" s="241"/>
      <c r="C13" s="241"/>
      <c r="F13" s="244" t="s">
        <v>1832</v>
      </c>
      <c r="G13" s="458"/>
      <c r="H13" s="458"/>
    </row>
    <row r="14" spans="1:8" ht="35.1" customHeight="1" x14ac:dyDescent="0.2">
      <c r="A14" s="864" t="s">
        <v>1600</v>
      </c>
      <c r="B14" s="866" t="s">
        <v>37</v>
      </c>
      <c r="C14" s="868" t="s">
        <v>391</v>
      </c>
      <c r="D14" s="870" t="s">
        <v>2226</v>
      </c>
      <c r="E14" s="860" t="s">
        <v>2227</v>
      </c>
      <c r="F14" s="860" t="s">
        <v>2303</v>
      </c>
    </row>
    <row r="15" spans="1:8" ht="13.9" customHeight="1" thickBot="1" x14ac:dyDescent="0.25">
      <c r="A15" s="865"/>
      <c r="B15" s="867"/>
      <c r="C15" s="869"/>
      <c r="D15" s="871"/>
      <c r="E15" s="861"/>
      <c r="F15" s="861"/>
    </row>
    <row r="16" spans="1:8" ht="16.5" thickBot="1" x14ac:dyDescent="0.25">
      <c r="A16" s="695">
        <v>1</v>
      </c>
      <c r="B16" s="696">
        <v>2</v>
      </c>
      <c r="C16" s="697">
        <v>3</v>
      </c>
      <c r="D16" s="692">
        <v>4</v>
      </c>
      <c r="E16" s="698">
        <v>5</v>
      </c>
      <c r="F16" s="692">
        <v>6</v>
      </c>
    </row>
    <row r="17" spans="1:6" ht="33" customHeight="1" x14ac:dyDescent="0.2">
      <c r="A17" s="687" t="s">
        <v>482</v>
      </c>
      <c r="B17" s="693" t="s">
        <v>566</v>
      </c>
      <c r="C17" s="694"/>
      <c r="D17" s="688">
        <f>D18+D19+D20+D21+D22+D23+D24</f>
        <v>282356.5</v>
      </c>
      <c r="E17" s="688">
        <f>E18+E19+E20+E21+E22+E23+E24</f>
        <v>214550</v>
      </c>
      <c r="F17" s="688">
        <f>F18+F19+F20+F21+F22+F23+F24</f>
        <v>213096.7</v>
      </c>
    </row>
    <row r="18" spans="1:6" ht="45" customHeight="1" x14ac:dyDescent="0.2">
      <c r="A18" s="662" t="s">
        <v>1298</v>
      </c>
      <c r="B18" s="668" t="s">
        <v>566</v>
      </c>
      <c r="C18" s="669" t="s">
        <v>567</v>
      </c>
      <c r="D18" s="682">
        <f>'Функц. 2021-2023'!F16</f>
        <v>2587.8000000000002</v>
      </c>
      <c r="E18" s="682">
        <f>'Функц. 2021-2023'!H16</f>
        <v>2587.8000000000002</v>
      </c>
      <c r="F18" s="682">
        <f>'Функц. 2021-2023'!J16</f>
        <v>2587.8000000000002</v>
      </c>
    </row>
    <row r="19" spans="1:6" ht="63.75" customHeight="1" x14ac:dyDescent="0.2">
      <c r="A19" s="662" t="s">
        <v>1299</v>
      </c>
      <c r="B19" s="668" t="s">
        <v>566</v>
      </c>
      <c r="C19" s="669" t="s">
        <v>193</v>
      </c>
      <c r="D19" s="682">
        <f>'Функц. 2021-2023'!F23</f>
        <v>12037.1</v>
      </c>
      <c r="E19" s="682">
        <f>'Функц. 2021-2023'!H23</f>
        <v>10588.1</v>
      </c>
      <c r="F19" s="682">
        <f>'Функц. 2021-2023'!J23</f>
        <v>10588.1</v>
      </c>
    </row>
    <row r="20" spans="1:6" ht="62.25" customHeight="1" x14ac:dyDescent="0.2">
      <c r="A20" s="662" t="s">
        <v>1300</v>
      </c>
      <c r="B20" s="668" t="s">
        <v>566</v>
      </c>
      <c r="C20" s="669" t="s">
        <v>1181</v>
      </c>
      <c r="D20" s="682">
        <f>'Функц. 2021-2023'!F56</f>
        <v>64313.9</v>
      </c>
      <c r="E20" s="706">
        <f>'Функц. 2021-2023'!H56</f>
        <v>59121.3</v>
      </c>
      <c r="F20" s="706">
        <f>'Функц. 2021-2023'!J56</f>
        <v>59643.3</v>
      </c>
    </row>
    <row r="21" spans="1:6" ht="46.5" customHeight="1" x14ac:dyDescent="0.2">
      <c r="A21" s="662" t="s">
        <v>1617</v>
      </c>
      <c r="B21" s="668" t="s">
        <v>566</v>
      </c>
      <c r="C21" s="669" t="s">
        <v>1746</v>
      </c>
      <c r="D21" s="682">
        <f>'Функц. 2021-2023'!F100</f>
        <v>24506.400000000001</v>
      </c>
      <c r="E21" s="706">
        <f>'Функц. 2021-2023'!H100</f>
        <v>24349.300000000003</v>
      </c>
      <c r="F21" s="706">
        <f>'Функц. 2021-2023'!J100</f>
        <v>24349.300000000003</v>
      </c>
    </row>
    <row r="22" spans="1:6" ht="26.25" customHeight="1" x14ac:dyDescent="0.2">
      <c r="A22" s="663" t="s">
        <v>1618</v>
      </c>
      <c r="B22" s="668" t="s">
        <v>566</v>
      </c>
      <c r="C22" s="669" t="s">
        <v>205</v>
      </c>
      <c r="D22" s="682">
        <f>'Функц. 2021-2023'!F144</f>
        <v>4405</v>
      </c>
      <c r="E22" s="706">
        <f>'Функц. 2021-2023'!H144</f>
        <v>4405</v>
      </c>
      <c r="F22" s="706">
        <f>'Функц. 2021-2023'!J144</f>
        <v>4405</v>
      </c>
    </row>
    <row r="23" spans="1:6" ht="25.5" customHeight="1" x14ac:dyDescent="0.2">
      <c r="A23" s="662" t="s">
        <v>1619</v>
      </c>
      <c r="B23" s="668" t="s">
        <v>566</v>
      </c>
      <c r="C23" s="669">
        <v>11</v>
      </c>
      <c r="D23" s="682">
        <f>'Функц. 2021-2023'!F162</f>
        <v>3058.7999999999993</v>
      </c>
      <c r="E23" s="706">
        <f>'Функц. 2021-2023'!H162</f>
        <v>1050.9000000000001</v>
      </c>
      <c r="F23" s="706">
        <f>'Функц. 2021-2023'!J162</f>
        <v>6929</v>
      </c>
    </row>
    <row r="24" spans="1:6" ht="28.5" customHeight="1" x14ac:dyDescent="0.2">
      <c r="A24" s="662" t="s">
        <v>1835</v>
      </c>
      <c r="B24" s="668" t="s">
        <v>566</v>
      </c>
      <c r="C24" s="669">
        <v>13</v>
      </c>
      <c r="D24" s="682">
        <f>'Функц. 2021-2023'!F170</f>
        <v>171447.5</v>
      </c>
      <c r="E24" s="706">
        <f>'Функц. 2021-2023'!H170</f>
        <v>112447.6</v>
      </c>
      <c r="F24" s="706">
        <f>'Функц. 2021-2023'!J170</f>
        <v>104594.20000000001</v>
      </c>
    </row>
    <row r="25" spans="1:6" ht="32.450000000000003" customHeight="1" x14ac:dyDescent="0.2">
      <c r="A25" s="661" t="s">
        <v>271</v>
      </c>
      <c r="B25" s="670" t="s">
        <v>567</v>
      </c>
      <c r="C25" s="667"/>
      <c r="D25" s="681">
        <f>D26+D27</f>
        <v>4078.7</v>
      </c>
      <c r="E25" s="681">
        <f>E26+E27</f>
        <v>3973</v>
      </c>
      <c r="F25" s="681">
        <f>F26+F27</f>
        <v>3973</v>
      </c>
    </row>
    <row r="26" spans="1:6" ht="23.25" customHeight="1" x14ac:dyDescent="0.2">
      <c r="A26" s="663" t="s">
        <v>1620</v>
      </c>
      <c r="B26" s="668" t="s">
        <v>567</v>
      </c>
      <c r="C26" s="669" t="s">
        <v>193</v>
      </c>
      <c r="D26" s="682">
        <f>'Функц. 2021-2023'!F273</f>
        <v>3773</v>
      </c>
      <c r="E26" s="706">
        <f>'Функц. 2021-2023'!H273</f>
        <v>3773</v>
      </c>
      <c r="F26" s="706">
        <f>'Функц. 2021-2023'!J273</f>
        <v>3773</v>
      </c>
    </row>
    <row r="27" spans="1:6" ht="26.25" customHeight="1" x14ac:dyDescent="0.2">
      <c r="A27" s="662" t="s">
        <v>1621</v>
      </c>
      <c r="B27" s="668" t="s">
        <v>567</v>
      </c>
      <c r="C27" s="669" t="s">
        <v>1181</v>
      </c>
      <c r="D27" s="682">
        <f>'Функц. 2021-2023'!F280</f>
        <v>305.7</v>
      </c>
      <c r="E27" s="706">
        <f>'Функц. 2021-2023'!H280</f>
        <v>200</v>
      </c>
      <c r="F27" s="706">
        <f>'Функц. 2021-2023'!J280</f>
        <v>200</v>
      </c>
    </row>
    <row r="28" spans="1:6" ht="30" customHeight="1" x14ac:dyDescent="0.2">
      <c r="A28" s="661" t="s">
        <v>1049</v>
      </c>
      <c r="B28" s="670" t="s">
        <v>193</v>
      </c>
      <c r="C28" s="667"/>
      <c r="D28" s="681">
        <f>D29+D31+D30</f>
        <v>38552.1</v>
      </c>
      <c r="E28" s="681">
        <f>E29+E31+E30</f>
        <v>27440.400000000001</v>
      </c>
      <c r="F28" s="681">
        <f>F29+F31+F30</f>
        <v>27440.400000000001</v>
      </c>
    </row>
    <row r="29" spans="1:6" ht="42.75" customHeight="1" x14ac:dyDescent="0.2">
      <c r="A29" s="662" t="s">
        <v>2326</v>
      </c>
      <c r="B29" s="668" t="s">
        <v>193</v>
      </c>
      <c r="C29" s="669" t="s">
        <v>406</v>
      </c>
      <c r="D29" s="682">
        <f>'Функц. 2021-2023'!F288</f>
        <v>1208.5</v>
      </c>
      <c r="E29" s="706">
        <f>'Функц. 2021-2023'!H288</f>
        <v>1290</v>
      </c>
      <c r="F29" s="706">
        <f>'Функц. 2021-2023'!J288</f>
        <v>1290</v>
      </c>
    </row>
    <row r="30" spans="1:6" s="459" customFormat="1" ht="42.75" customHeight="1" x14ac:dyDescent="0.2">
      <c r="A30" s="664" t="s">
        <v>2325</v>
      </c>
      <c r="B30" s="668" t="s">
        <v>193</v>
      </c>
      <c r="C30" s="669" t="s">
        <v>768</v>
      </c>
      <c r="D30" s="682">
        <f>'Функц. 2021-2023'!F300</f>
        <v>21402.099999999995</v>
      </c>
      <c r="E30" s="706">
        <f>'Функц. 2021-2023'!H300</f>
        <v>18952.400000000001</v>
      </c>
      <c r="F30" s="706">
        <f>'Функц. 2021-2023'!J300</f>
        <v>18952.400000000001</v>
      </c>
    </row>
    <row r="31" spans="1:6" ht="42.75" customHeight="1" x14ac:dyDescent="0.2">
      <c r="A31" s="662" t="s">
        <v>1622</v>
      </c>
      <c r="B31" s="668" t="s">
        <v>193</v>
      </c>
      <c r="C31" s="669">
        <v>14</v>
      </c>
      <c r="D31" s="682">
        <f>'Функц. 2021-2023'!F335</f>
        <v>15941.500000000004</v>
      </c>
      <c r="E31" s="706">
        <f>'Функц. 2021-2023'!H335</f>
        <v>7198</v>
      </c>
      <c r="F31" s="706">
        <f>'Функц. 2021-2023'!J335</f>
        <v>7198</v>
      </c>
    </row>
    <row r="32" spans="1:6" ht="26.25" customHeight="1" x14ac:dyDescent="0.2">
      <c r="A32" s="661" t="s">
        <v>993</v>
      </c>
      <c r="B32" s="670" t="s">
        <v>1181</v>
      </c>
      <c r="C32" s="667"/>
      <c r="D32" s="681">
        <f>D34+D37+D35+D36+D33</f>
        <v>141473.4</v>
      </c>
      <c r="E32" s="681">
        <f>E34+E37+E35+E36+E33</f>
        <v>50685.7</v>
      </c>
      <c r="F32" s="681">
        <f>F34+F37+F35+F36+F33</f>
        <v>52753.7</v>
      </c>
    </row>
    <row r="33" spans="1:6" s="276" customFormat="1" ht="26.25" customHeight="1" x14ac:dyDescent="0.3">
      <c r="A33" s="665" t="s">
        <v>1830</v>
      </c>
      <c r="B33" s="671" t="s">
        <v>1181</v>
      </c>
      <c r="C33" s="672" t="s">
        <v>175</v>
      </c>
      <c r="D33" s="682">
        <f>'Функц. 2021-2023'!F364</f>
        <v>1070</v>
      </c>
      <c r="E33" s="706">
        <f>'Функц. 2021-2023'!H358</f>
        <v>655</v>
      </c>
      <c r="F33" s="706">
        <f>'Функц. 2021-2023'!J358</f>
        <v>655</v>
      </c>
    </row>
    <row r="34" spans="1:6" ht="23.45" customHeight="1" x14ac:dyDescent="0.2">
      <c r="A34" s="662" t="s">
        <v>1623</v>
      </c>
      <c r="B34" s="668" t="s">
        <v>1181</v>
      </c>
      <c r="C34" s="669" t="s">
        <v>290</v>
      </c>
      <c r="D34" s="682">
        <f>'Функц. 2021-2023'!F365</f>
        <v>22576.9</v>
      </c>
      <c r="E34" s="706">
        <f>'Функц. 2021-2023'!H365</f>
        <v>20965.7</v>
      </c>
      <c r="F34" s="706">
        <f>'Функц. 2021-2023'!J365</f>
        <v>20965.7</v>
      </c>
    </row>
    <row r="35" spans="1:6" ht="24" customHeight="1" x14ac:dyDescent="0.2">
      <c r="A35" s="663" t="s">
        <v>1624</v>
      </c>
      <c r="B35" s="668" t="s">
        <v>1181</v>
      </c>
      <c r="C35" s="669" t="s">
        <v>406</v>
      </c>
      <c r="D35" s="682">
        <f>'Функц. 2021-2023'!F383</f>
        <v>114849.5</v>
      </c>
      <c r="E35" s="706">
        <f>'Функц. 2021-2023'!H383</f>
        <v>28046</v>
      </c>
      <c r="F35" s="706">
        <f>'Функц. 2021-2023'!J383</f>
        <v>30113</v>
      </c>
    </row>
    <row r="36" spans="1:6" ht="24" customHeight="1" x14ac:dyDescent="0.2">
      <c r="A36" s="663" t="s">
        <v>1755</v>
      </c>
      <c r="B36" s="668" t="s">
        <v>1181</v>
      </c>
      <c r="C36" s="669">
        <v>10</v>
      </c>
      <c r="D36" s="682">
        <f>'Функц. 2021-2023'!F417</f>
        <v>2651</v>
      </c>
      <c r="E36" s="706">
        <f>'Функц. 2021-2023'!H417</f>
        <v>693</v>
      </c>
      <c r="F36" s="706">
        <f>'Функц. 2021-2023'!J417</f>
        <v>694</v>
      </c>
    </row>
    <row r="37" spans="1:6" ht="22.15" customHeight="1" x14ac:dyDescent="0.2">
      <c r="A37" s="662" t="s">
        <v>1625</v>
      </c>
      <c r="B37" s="668" t="s">
        <v>1181</v>
      </c>
      <c r="C37" s="669">
        <v>12</v>
      </c>
      <c r="D37" s="682">
        <f>'Функц. 2021-2023'!F436</f>
        <v>326</v>
      </c>
      <c r="E37" s="706">
        <f>'Функц. 2021-2023'!H436</f>
        <v>326</v>
      </c>
      <c r="F37" s="706">
        <f>'Функц. 2021-2023'!J436</f>
        <v>326</v>
      </c>
    </row>
    <row r="38" spans="1:6" ht="26.25" customHeight="1" x14ac:dyDescent="0.2">
      <c r="A38" s="661" t="s">
        <v>173</v>
      </c>
      <c r="B38" s="670" t="s">
        <v>175</v>
      </c>
      <c r="C38" s="667"/>
      <c r="D38" s="681">
        <f>D39+D41+D42+D40</f>
        <v>183632.39999999997</v>
      </c>
      <c r="E38" s="681">
        <f>E39+E41+E42+E40</f>
        <v>78031.799999999988</v>
      </c>
      <c r="F38" s="681">
        <f>F39+F41+F42+F40</f>
        <v>65152.100000000006</v>
      </c>
    </row>
    <row r="39" spans="1:6" ht="24.75" customHeight="1" x14ac:dyDescent="0.2">
      <c r="A39" s="662" t="s">
        <v>1626</v>
      </c>
      <c r="B39" s="668" t="s">
        <v>175</v>
      </c>
      <c r="C39" s="669" t="s">
        <v>566</v>
      </c>
      <c r="D39" s="682">
        <f>'Функц. 2021-2023'!F447</f>
        <v>13928.1</v>
      </c>
      <c r="E39" s="706">
        <f>'Функц. 2021-2023'!H447</f>
        <v>10102.1</v>
      </c>
      <c r="F39" s="706">
        <f>'Функц. 2021-2023'!J447</f>
        <v>10102.1</v>
      </c>
    </row>
    <row r="40" spans="1:6" s="448" customFormat="1" ht="24.75" customHeight="1" x14ac:dyDescent="0.2">
      <c r="A40" s="664" t="s">
        <v>2156</v>
      </c>
      <c r="B40" s="673" t="s">
        <v>175</v>
      </c>
      <c r="C40" s="674" t="s">
        <v>567</v>
      </c>
      <c r="D40" s="682">
        <f>'Функц. 2021-2023'!F467</f>
        <v>17650</v>
      </c>
      <c r="E40" s="706">
        <f>'Функц. 2021-2023'!H467</f>
        <v>9348.4000000000015</v>
      </c>
      <c r="F40" s="706">
        <f>'Функц. 2021-2023'!J467</f>
        <v>0</v>
      </c>
    </row>
    <row r="41" spans="1:6" ht="27.75" customHeight="1" x14ac:dyDescent="0.2">
      <c r="A41" s="662" t="s">
        <v>1627</v>
      </c>
      <c r="B41" s="668" t="s">
        <v>175</v>
      </c>
      <c r="C41" s="669" t="s">
        <v>193</v>
      </c>
      <c r="D41" s="682">
        <f>'Функц. 2021-2023'!F481</f>
        <v>128424.99999999999</v>
      </c>
      <c r="E41" s="706">
        <f>'Функц. 2021-2023'!H481</f>
        <v>34883.5</v>
      </c>
      <c r="F41" s="706">
        <f>'Функц. 2021-2023'!J481</f>
        <v>31499.200000000001</v>
      </c>
    </row>
    <row r="42" spans="1:6" ht="24.75" customHeight="1" thickBot="1" x14ac:dyDescent="0.25">
      <c r="A42" s="662" t="s">
        <v>1628</v>
      </c>
      <c r="B42" s="668" t="s">
        <v>175</v>
      </c>
      <c r="C42" s="669" t="s">
        <v>175</v>
      </c>
      <c r="D42" s="682">
        <f>'Функц. 2021-2023'!F583</f>
        <v>23629.300000000003</v>
      </c>
      <c r="E42" s="706">
        <f>'Функц. 2021-2023'!H583</f>
        <v>23697.800000000003</v>
      </c>
      <c r="F42" s="706">
        <f>'Функц. 2021-2023'!J583</f>
        <v>23550.800000000003</v>
      </c>
    </row>
    <row r="43" spans="1:6" s="724" customFormat="1" ht="20.45" customHeight="1" thickBot="1" x14ac:dyDescent="0.25">
      <c r="A43" s="689">
        <v>1</v>
      </c>
      <c r="B43" s="690">
        <v>2</v>
      </c>
      <c r="C43" s="691">
        <v>3</v>
      </c>
      <c r="D43" s="711">
        <v>4</v>
      </c>
      <c r="E43" s="711">
        <v>5</v>
      </c>
      <c r="F43" s="711">
        <v>6</v>
      </c>
    </row>
    <row r="44" spans="1:6" s="459" customFormat="1" ht="24.75" customHeight="1" x14ac:dyDescent="0.3">
      <c r="A44" s="652" t="s">
        <v>866</v>
      </c>
      <c r="B44" s="675" t="s">
        <v>1746</v>
      </c>
      <c r="C44" s="676"/>
      <c r="D44" s="681">
        <f>D45</f>
        <v>1712885.9000000001</v>
      </c>
      <c r="E44" s="681">
        <f>E45</f>
        <v>651397.6</v>
      </c>
      <c r="F44" s="681">
        <f>F45</f>
        <v>10</v>
      </c>
    </row>
    <row r="45" spans="1:6" s="459" customFormat="1" ht="24.75" customHeight="1" x14ac:dyDescent="0.3">
      <c r="A45" s="819" t="s">
        <v>1701</v>
      </c>
      <c r="B45" s="812" t="s">
        <v>1746</v>
      </c>
      <c r="C45" s="813" t="s">
        <v>567</v>
      </c>
      <c r="D45" s="814">
        <f>'Функц. 2021-2023'!F648</f>
        <v>1712885.9000000001</v>
      </c>
      <c r="E45" s="815">
        <f>'Функц. 2021-2023'!H659</f>
        <v>651397.6</v>
      </c>
      <c r="F45" s="815">
        <f>'Функц. 2021-2023'!J648</f>
        <v>10</v>
      </c>
    </row>
    <row r="46" spans="1:6" ht="26.25" customHeight="1" x14ac:dyDescent="0.2">
      <c r="A46" s="820" t="s">
        <v>174</v>
      </c>
      <c r="B46" s="816" t="s">
        <v>205</v>
      </c>
      <c r="C46" s="817"/>
      <c r="D46" s="818">
        <f>D47+D48+D50+D51+D49</f>
        <v>1115622.3999999999</v>
      </c>
      <c r="E46" s="818">
        <f>E47+E48+E50+E51+E49</f>
        <v>1092826.3999999999</v>
      </c>
      <c r="F46" s="818">
        <f>F47+F48+F50+F51+F49</f>
        <v>1081146.3999999999</v>
      </c>
    </row>
    <row r="47" spans="1:6" ht="30" customHeight="1" x14ac:dyDescent="0.2">
      <c r="A47" s="662" t="s">
        <v>1629</v>
      </c>
      <c r="B47" s="678" t="s">
        <v>205</v>
      </c>
      <c r="C47" s="669" t="s">
        <v>566</v>
      </c>
      <c r="D47" s="682">
        <f>'Функц. 2021-2023'!F661</f>
        <v>438320.8</v>
      </c>
      <c r="E47" s="682">
        <f>'Функц. 2021-2023'!H661</f>
        <v>425351.9</v>
      </c>
      <c r="F47" s="682">
        <f>'Функц. 2021-2023'!J661</f>
        <v>425351.9</v>
      </c>
    </row>
    <row r="48" spans="1:6" ht="24.75" customHeight="1" x14ac:dyDescent="0.2">
      <c r="A48" s="662" t="s">
        <v>1630</v>
      </c>
      <c r="B48" s="678" t="s">
        <v>205</v>
      </c>
      <c r="C48" s="669" t="s">
        <v>567</v>
      </c>
      <c r="D48" s="683">
        <f>'Функц. 2021-2023'!F675</f>
        <v>511231.3</v>
      </c>
      <c r="E48" s="683">
        <f>'Функц. 2021-2023'!H675</f>
        <v>508739.39999999997</v>
      </c>
      <c r="F48" s="683">
        <f>'Функц. 2021-2023'!J675</f>
        <v>516850.69999999995</v>
      </c>
    </row>
    <row r="49" spans="1:6" ht="27.75" customHeight="1" x14ac:dyDescent="0.2">
      <c r="A49" s="662" t="s">
        <v>1829</v>
      </c>
      <c r="B49" s="678" t="s">
        <v>205</v>
      </c>
      <c r="C49" s="669" t="s">
        <v>193</v>
      </c>
      <c r="D49" s="682">
        <f>'Функц. 2021-2023'!F731</f>
        <v>139150.39999999999</v>
      </c>
      <c r="E49" s="706">
        <f>'Функц. 2021-2023'!H731</f>
        <v>115630.39999999999</v>
      </c>
      <c r="F49" s="706">
        <f>'Функц. 2021-2023'!J731</f>
        <v>115630.39999999999</v>
      </c>
    </row>
    <row r="50" spans="1:6" ht="25.5" customHeight="1" x14ac:dyDescent="0.2">
      <c r="A50" s="662" t="s">
        <v>1811</v>
      </c>
      <c r="B50" s="668" t="s">
        <v>205</v>
      </c>
      <c r="C50" s="669" t="s">
        <v>205</v>
      </c>
      <c r="D50" s="682">
        <f>'Функц. 2021-2023'!F766</f>
        <v>1734.8999999999999</v>
      </c>
      <c r="E50" s="706">
        <f>'Функц. 2021-2023'!H766</f>
        <v>1620.5</v>
      </c>
      <c r="F50" s="706">
        <f>'Функц. 2021-2023'!J766</f>
        <v>1620.5</v>
      </c>
    </row>
    <row r="51" spans="1:6" ht="28.5" customHeight="1" x14ac:dyDescent="0.2">
      <c r="A51" s="662" t="s">
        <v>1631</v>
      </c>
      <c r="B51" s="668" t="s">
        <v>205</v>
      </c>
      <c r="C51" s="669" t="s">
        <v>406</v>
      </c>
      <c r="D51" s="682">
        <f>'Функц. 2021-2023'!F785</f>
        <v>25185</v>
      </c>
      <c r="E51" s="706">
        <f>'Функц. 2021-2023'!H785</f>
        <v>41484.200000000004</v>
      </c>
      <c r="F51" s="706">
        <f>'Функц. 2021-2023'!J785</f>
        <v>21692.9</v>
      </c>
    </row>
    <row r="52" spans="1:6" ht="37.35" customHeight="1" x14ac:dyDescent="0.2">
      <c r="A52" s="661" t="s">
        <v>403</v>
      </c>
      <c r="B52" s="670" t="s">
        <v>290</v>
      </c>
      <c r="C52" s="677"/>
      <c r="D52" s="681">
        <f>D53</f>
        <v>113797.1</v>
      </c>
      <c r="E52" s="681">
        <f>E53</f>
        <v>89536</v>
      </c>
      <c r="F52" s="681">
        <f>F53</f>
        <v>89536</v>
      </c>
    </row>
    <row r="53" spans="1:6" ht="27.75" customHeight="1" x14ac:dyDescent="0.2">
      <c r="A53" s="662" t="s">
        <v>1632</v>
      </c>
      <c r="B53" s="668" t="s">
        <v>290</v>
      </c>
      <c r="C53" s="669" t="s">
        <v>566</v>
      </c>
      <c r="D53" s="682">
        <f>'Функц. 2021-2023'!F848</f>
        <v>113797.1</v>
      </c>
      <c r="E53" s="706">
        <f>'Функц. 2021-2023'!H848</f>
        <v>89536</v>
      </c>
      <c r="F53" s="706">
        <f>'Функц. 2021-2023'!J848</f>
        <v>89536</v>
      </c>
    </row>
    <row r="54" spans="1:6" ht="36" customHeight="1" x14ac:dyDescent="0.2">
      <c r="A54" s="661" t="s">
        <v>759</v>
      </c>
      <c r="B54" s="679" t="s">
        <v>406</v>
      </c>
      <c r="C54" s="669"/>
      <c r="D54" s="681">
        <f>D55</f>
        <v>4880</v>
      </c>
      <c r="E54" s="681">
        <f>E55</f>
        <v>3780</v>
      </c>
      <c r="F54" s="681">
        <f>F55</f>
        <v>3780</v>
      </c>
    </row>
    <row r="55" spans="1:6" ht="27.75" customHeight="1" x14ac:dyDescent="0.2">
      <c r="A55" s="666" t="s">
        <v>1633</v>
      </c>
      <c r="B55" s="680" t="s">
        <v>406</v>
      </c>
      <c r="C55" s="669" t="s">
        <v>406</v>
      </c>
      <c r="D55" s="682">
        <f>'Функц. 2021-2023'!F904</f>
        <v>4880</v>
      </c>
      <c r="E55" s="706">
        <f>'Функц. 2021-2023'!H904</f>
        <v>3780</v>
      </c>
      <c r="F55" s="706">
        <f>'Функц. 2021-2023'!J904</f>
        <v>3780</v>
      </c>
    </row>
    <row r="56" spans="1:6" ht="28.5" customHeight="1" x14ac:dyDescent="0.2">
      <c r="A56" s="661" t="s">
        <v>1745</v>
      </c>
      <c r="B56" s="670" t="s">
        <v>768</v>
      </c>
      <c r="C56" s="677"/>
      <c r="D56" s="681">
        <f>D57+D58+D60+D59</f>
        <v>104814.1</v>
      </c>
      <c r="E56" s="681">
        <f>E57+E58+E60+E59</f>
        <v>74725.600000000006</v>
      </c>
      <c r="F56" s="681">
        <f>F57+F58+F60+F59</f>
        <v>65553.600000000006</v>
      </c>
    </row>
    <row r="57" spans="1:6" ht="20.25" customHeight="1" x14ac:dyDescent="0.2">
      <c r="A57" s="662" t="s">
        <v>1634</v>
      </c>
      <c r="B57" s="668">
        <v>10</v>
      </c>
      <c r="C57" s="669" t="s">
        <v>566</v>
      </c>
      <c r="D57" s="682">
        <f>'Функц. 2021-2023'!F912</f>
        <v>7652.8000000000011</v>
      </c>
      <c r="E57" s="706">
        <f>'Функц. 2021-2023'!H912</f>
        <v>7648.6000000000013</v>
      </c>
      <c r="F57" s="706">
        <f>'Функц. 2021-2023'!J912</f>
        <v>7648.6000000000013</v>
      </c>
    </row>
    <row r="58" spans="1:6" ht="27.75" customHeight="1" x14ac:dyDescent="0.2">
      <c r="A58" s="662" t="s">
        <v>1635</v>
      </c>
      <c r="B58" s="668">
        <v>10</v>
      </c>
      <c r="C58" s="669" t="s">
        <v>193</v>
      </c>
      <c r="D58" s="682">
        <f>'Функц. 2021-2023'!F919</f>
        <v>19062</v>
      </c>
      <c r="E58" s="706">
        <f>'Функц. 2021-2023'!H919</f>
        <v>19747</v>
      </c>
      <c r="F58" s="706">
        <f>'Функц. 2021-2023'!J919</f>
        <v>20478</v>
      </c>
    </row>
    <row r="59" spans="1:6" ht="27.75" customHeight="1" x14ac:dyDescent="0.2">
      <c r="A59" s="662" t="s">
        <v>1636</v>
      </c>
      <c r="B59" s="668">
        <v>10</v>
      </c>
      <c r="C59" s="669" t="s">
        <v>1181</v>
      </c>
      <c r="D59" s="682">
        <f>'Функц. 2021-2023'!F928</f>
        <v>77959.3</v>
      </c>
      <c r="E59" s="706">
        <f>'Функц. 2021-2023'!H928</f>
        <v>47190</v>
      </c>
      <c r="F59" s="706">
        <f>'Функц. 2021-2023'!J928</f>
        <v>37287</v>
      </c>
    </row>
    <row r="60" spans="1:6" ht="28.5" customHeight="1" x14ac:dyDescent="0.2">
      <c r="A60" s="662" t="s">
        <v>1637</v>
      </c>
      <c r="B60" s="668">
        <v>10</v>
      </c>
      <c r="C60" s="669" t="s">
        <v>1746</v>
      </c>
      <c r="D60" s="682">
        <f>'Функц. 2021-2023'!F951</f>
        <v>140</v>
      </c>
      <c r="E60" s="706">
        <f>'Функц. 2021-2023'!H951</f>
        <v>140</v>
      </c>
      <c r="F60" s="706">
        <f>'Функц. 2021-2023'!J951</f>
        <v>140</v>
      </c>
    </row>
    <row r="61" spans="1:6" ht="34.35" customHeight="1" x14ac:dyDescent="0.2">
      <c r="A61" s="661" t="s">
        <v>282</v>
      </c>
      <c r="B61" s="679">
        <v>11</v>
      </c>
      <c r="C61" s="667"/>
      <c r="D61" s="681">
        <f>D63+D62</f>
        <v>94186.700000000012</v>
      </c>
      <c r="E61" s="681">
        <f>E63+E62</f>
        <v>83781.8</v>
      </c>
      <c r="F61" s="681">
        <f>F63+F62</f>
        <v>83781.8</v>
      </c>
    </row>
    <row r="62" spans="1:6" ht="24.75" customHeight="1" x14ac:dyDescent="0.2">
      <c r="A62" s="663" t="s">
        <v>1638</v>
      </c>
      <c r="B62" s="668">
        <v>11</v>
      </c>
      <c r="C62" s="669" t="s">
        <v>566</v>
      </c>
      <c r="D62" s="682">
        <f>'Функц. 2021-2023'!F959</f>
        <v>34576.1</v>
      </c>
      <c r="E62" s="706">
        <f>'Функц. 2021-2023'!H959</f>
        <v>29271.200000000001</v>
      </c>
      <c r="F62" s="706">
        <f>'Функц. 2021-2023'!J959</f>
        <v>29271.200000000001</v>
      </c>
    </row>
    <row r="63" spans="1:6" ht="28.5" customHeight="1" x14ac:dyDescent="0.2">
      <c r="A63" s="663" t="s">
        <v>1639</v>
      </c>
      <c r="B63" s="668">
        <v>11</v>
      </c>
      <c r="C63" s="669" t="s">
        <v>567</v>
      </c>
      <c r="D63" s="682">
        <f>'Функц. 2021-2023'!F966</f>
        <v>59610.600000000006</v>
      </c>
      <c r="E63" s="706">
        <f>'Функц. 2021-2023'!H966</f>
        <v>54510.600000000006</v>
      </c>
      <c r="F63" s="706">
        <f>'Функц. 2021-2023'!J966</f>
        <v>54510.600000000006</v>
      </c>
    </row>
    <row r="64" spans="1:6" ht="36.6" customHeight="1" x14ac:dyDescent="0.2">
      <c r="A64" s="661" t="s">
        <v>1640</v>
      </c>
      <c r="B64" s="679">
        <v>13</v>
      </c>
      <c r="C64" s="667"/>
      <c r="D64" s="681">
        <f>D65</f>
        <v>15321.500000000002</v>
      </c>
      <c r="E64" s="681">
        <f>E65</f>
        <v>25000</v>
      </c>
      <c r="F64" s="681">
        <f>F65</f>
        <v>25000</v>
      </c>
    </row>
    <row r="65" spans="1:6" ht="39.6" customHeight="1" thickBot="1" x14ac:dyDescent="0.25">
      <c r="A65" s="699" t="s">
        <v>1641</v>
      </c>
      <c r="B65" s="700">
        <v>13</v>
      </c>
      <c r="C65" s="701" t="s">
        <v>566</v>
      </c>
      <c r="D65" s="686">
        <f>'Функц. 2021-2023'!F990</f>
        <v>15321.500000000002</v>
      </c>
      <c r="E65" s="707">
        <f>'Функц. 2021-2023'!H995</f>
        <v>25000</v>
      </c>
      <c r="F65" s="707">
        <f>'Функц. 2021-2023'!J995</f>
        <v>25000</v>
      </c>
    </row>
    <row r="66" spans="1:6" ht="35.1" customHeight="1" thickBot="1" x14ac:dyDescent="0.25">
      <c r="A66" s="702" t="s">
        <v>1313</v>
      </c>
      <c r="B66" s="703"/>
      <c r="C66" s="704"/>
      <c r="D66" s="705">
        <f>D64+D61+D56+D54+D52+D46+D38+D32+D28+D25+D17+D44</f>
        <v>3811600.8</v>
      </c>
      <c r="E66" s="705">
        <f>E64+E61+E56+E54+E52+E46+E38+E32+E28+E25+E17+E44</f>
        <v>2395728.2999999998</v>
      </c>
      <c r="F66" s="705">
        <f>F64+F61+F56+F54+F52+F46+F38+F32+F28+F25+F17+F44</f>
        <v>1711223.6999999997</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AL1393"/>
  <sheetViews>
    <sheetView view="pageBreakPreview" topLeftCell="X1209" zoomScale="87" zoomScaleNormal="100" zoomScaleSheetLayoutView="87" workbookViewId="0">
      <selection activeCell="X313" sqref="X313"/>
    </sheetView>
  </sheetViews>
  <sheetFormatPr defaultColWidth="9.28515625" defaultRowHeight="16.5" x14ac:dyDescent="0.25"/>
  <cols>
    <col min="1" max="1" width="77.28515625" style="257" hidden="1" customWidth="1"/>
    <col min="2" max="2" width="12.42578125" style="293" hidden="1" customWidth="1"/>
    <col min="3" max="3" width="7" style="258" hidden="1" customWidth="1"/>
    <col min="4" max="4" width="6.5703125" style="258" hidden="1" customWidth="1"/>
    <col min="5" max="5" width="12.28515625" style="258" hidden="1" customWidth="1"/>
    <col min="6" max="6" width="6.42578125" style="258" hidden="1" customWidth="1"/>
    <col min="7" max="7" width="12.42578125" style="258" hidden="1" customWidth="1"/>
    <col min="8" max="8" width="2.28515625" style="294" hidden="1" customWidth="1"/>
    <col min="9" max="9" width="12.28515625" style="295" hidden="1" customWidth="1"/>
    <col min="10" max="10" width="11.7109375" style="295" hidden="1" customWidth="1"/>
    <col min="11" max="11" width="14.42578125" style="295" hidden="1" customWidth="1"/>
    <col min="12" max="12" width="12.28515625" style="295" hidden="1" customWidth="1"/>
    <col min="13" max="13" width="13.5703125" style="295" hidden="1" customWidth="1"/>
    <col min="14" max="14" width="9" style="295" hidden="1" customWidth="1"/>
    <col min="15" max="15" width="11.42578125" style="296" hidden="1" customWidth="1"/>
    <col min="16" max="16" width="13.5703125" style="297" hidden="1" customWidth="1"/>
    <col min="17" max="17" width="11.28515625" style="237" hidden="1" customWidth="1"/>
    <col min="18" max="18" width="14.42578125" style="298" hidden="1" customWidth="1"/>
    <col min="19" max="19" width="9.28515625" style="299" hidden="1" customWidth="1"/>
    <col min="20" max="20" width="11.7109375" style="237" hidden="1" customWidth="1"/>
    <col min="21" max="21" width="14.42578125" style="237" hidden="1" customWidth="1"/>
    <col min="22" max="22" width="3.42578125" style="237" hidden="1" customWidth="1"/>
    <col min="23" max="23" width="4.42578125" style="300" hidden="1" customWidth="1"/>
    <col min="24" max="24" width="93.28515625" style="250" customWidth="1"/>
    <col min="25" max="25" width="10.5703125" style="257" customWidth="1"/>
    <col min="26" max="26" width="7" style="260" customWidth="1"/>
    <col min="27" max="27" width="6.5703125" style="260" customWidth="1"/>
    <col min="28" max="28" width="15.5703125" style="269" customWidth="1"/>
    <col min="29" max="29" width="6.42578125" style="260" customWidth="1"/>
    <col min="30" max="34" width="15.85546875" style="259" customWidth="1"/>
    <col min="35" max="35" width="10.85546875" style="237" bestFit="1" customWidth="1"/>
    <col min="36" max="16384" width="9.28515625" style="237"/>
  </cols>
  <sheetData>
    <row r="1" spans="1:38" x14ac:dyDescent="0.25">
      <c r="Y1" s="506"/>
      <c r="Z1" s="534"/>
      <c r="AA1" s="534"/>
      <c r="AB1" s="840"/>
      <c r="AC1" s="841"/>
      <c r="AD1" s="841"/>
      <c r="AE1" s="727"/>
      <c r="AF1" s="727" t="s">
        <v>2317</v>
      </c>
      <c r="AG1" s="451"/>
      <c r="AH1" s="451"/>
    </row>
    <row r="2" spans="1:38" ht="15.75" x14ac:dyDescent="0.25">
      <c r="Y2" s="506"/>
      <c r="Z2" s="534"/>
      <c r="AA2" s="534"/>
      <c r="AB2" s="726"/>
      <c r="AC2" s="727"/>
      <c r="AD2" s="727"/>
      <c r="AE2" s="842" t="s">
        <v>2384</v>
      </c>
      <c r="AF2" s="843"/>
      <c r="AG2" s="637"/>
      <c r="AH2" s="637"/>
    </row>
    <row r="3" spans="1:38" ht="15.75" x14ac:dyDescent="0.25">
      <c r="AB3" s="654"/>
      <c r="AC3" s="726"/>
      <c r="AD3" s="842" t="s">
        <v>2315</v>
      </c>
      <c r="AE3" s="844"/>
      <c r="AF3" s="844"/>
      <c r="AG3" s="637"/>
      <c r="AH3" s="637"/>
    </row>
    <row r="4" spans="1:38" ht="15.75" x14ac:dyDescent="0.25">
      <c r="AB4" s="842" t="s">
        <v>2316</v>
      </c>
      <c r="AC4" s="844"/>
      <c r="AD4" s="844"/>
      <c r="AE4" s="844"/>
      <c r="AF4" s="844"/>
      <c r="AG4" s="650"/>
      <c r="AH4" s="650"/>
    </row>
    <row r="5" spans="1:38" ht="14.45" customHeight="1" x14ac:dyDescent="0.25">
      <c r="AG5" s="716"/>
      <c r="AH5" s="716"/>
    </row>
    <row r="6" spans="1:38" hidden="1" x14ac:dyDescent="0.25">
      <c r="AG6" s="716"/>
      <c r="AH6" s="716"/>
    </row>
    <row r="7" spans="1:38" ht="15.75" x14ac:dyDescent="0.25">
      <c r="AB7" s="840"/>
      <c r="AC7" s="841"/>
      <c r="AD7" s="841"/>
      <c r="AE7" s="727"/>
      <c r="AF7" s="727" t="s">
        <v>2385</v>
      </c>
      <c r="AG7" s="716"/>
      <c r="AH7" s="716"/>
    </row>
    <row r="8" spans="1:38" ht="15.75" x14ac:dyDescent="0.25">
      <c r="AB8" s="654"/>
      <c r="AC8" s="726"/>
      <c r="AD8" s="842" t="s">
        <v>2315</v>
      </c>
      <c r="AE8" s="844"/>
      <c r="AF8" s="844"/>
      <c r="AG8" s="716"/>
      <c r="AH8" s="716"/>
    </row>
    <row r="9" spans="1:38" ht="15.75" x14ac:dyDescent="0.25">
      <c r="AB9" s="842" t="s">
        <v>2386</v>
      </c>
      <c r="AC9" s="844"/>
      <c r="AD9" s="844"/>
      <c r="AE9" s="844"/>
      <c r="AF9" s="844"/>
      <c r="AG9" s="716"/>
      <c r="AH9" s="716"/>
    </row>
    <row r="10" spans="1:38" ht="15.75" x14ac:dyDescent="0.25">
      <c r="AB10" s="651"/>
      <c r="AC10" s="651"/>
      <c r="AD10" s="651"/>
      <c r="AE10" s="650"/>
      <c r="AF10" s="650"/>
      <c r="AG10" s="650"/>
      <c r="AH10" s="650"/>
    </row>
    <row r="11" spans="1:38" ht="15.75" x14ac:dyDescent="0.25">
      <c r="AB11" s="651"/>
      <c r="AC11" s="651"/>
      <c r="AD11" s="651"/>
      <c r="AE11" s="650"/>
      <c r="AF11" s="650"/>
      <c r="AG11" s="650"/>
      <c r="AH11" s="650"/>
    </row>
    <row r="12" spans="1:38" ht="18.75" x14ac:dyDescent="0.3">
      <c r="A12" s="301"/>
      <c r="B12" s="301"/>
      <c r="C12" s="302"/>
      <c r="D12" s="302"/>
      <c r="E12" s="302"/>
      <c r="F12" s="302"/>
      <c r="G12" s="302"/>
      <c r="H12" s="302"/>
      <c r="I12" s="302"/>
      <c r="J12" s="302"/>
      <c r="K12" s="302"/>
      <c r="L12" s="302"/>
      <c r="M12" s="302"/>
      <c r="N12" s="302"/>
      <c r="O12" s="302"/>
      <c r="P12" s="303"/>
      <c r="Q12" s="300"/>
      <c r="R12" s="304"/>
      <c r="S12" s="305"/>
      <c r="T12" s="300"/>
      <c r="U12" s="300"/>
      <c r="X12" s="502"/>
      <c r="Y12" s="507"/>
      <c r="Z12" s="650"/>
      <c r="AA12" s="650"/>
      <c r="AB12" s="434"/>
      <c r="AC12" s="650"/>
      <c r="AD12" s="449"/>
      <c r="AE12" s="449"/>
      <c r="AF12" s="449"/>
      <c r="AG12" s="449"/>
      <c r="AH12" s="449"/>
    </row>
    <row r="13" spans="1:38" s="308" customFormat="1" ht="58.9" customHeight="1" x14ac:dyDescent="0.3">
      <c r="A13" s="884"/>
      <c r="B13" s="885"/>
      <c r="C13" s="885"/>
      <c r="D13" s="885"/>
      <c r="E13" s="885"/>
      <c r="F13" s="885"/>
      <c r="G13" s="885"/>
      <c r="H13" s="885"/>
      <c r="I13" s="885"/>
      <c r="J13" s="885"/>
      <c r="K13" s="885"/>
      <c r="L13" s="885"/>
      <c r="M13" s="885"/>
      <c r="N13" s="885"/>
      <c r="O13" s="885"/>
      <c r="P13" s="885"/>
      <c r="Q13" s="885"/>
      <c r="R13" s="885"/>
      <c r="S13" s="885"/>
      <c r="T13" s="885"/>
      <c r="U13" s="307"/>
      <c r="W13" s="307"/>
      <c r="X13" s="876" t="s">
        <v>2327</v>
      </c>
      <c r="Y13" s="876"/>
      <c r="Z13" s="847"/>
      <c r="AA13" s="847"/>
      <c r="AB13" s="847"/>
      <c r="AC13" s="847"/>
      <c r="AD13" s="877"/>
      <c r="AE13" s="877"/>
      <c r="AF13" s="848"/>
      <c r="AG13" s="638"/>
      <c r="AH13" s="638"/>
      <c r="AI13" s="309"/>
      <c r="AJ13" s="872"/>
      <c r="AK13" s="846"/>
      <c r="AL13" s="846"/>
    </row>
    <row r="14" spans="1:38" s="308" customFormat="1" ht="20.25" x14ac:dyDescent="0.3">
      <c r="A14" s="884"/>
      <c r="B14" s="885"/>
      <c r="C14" s="885"/>
      <c r="D14" s="885"/>
      <c r="E14" s="885"/>
      <c r="F14" s="885"/>
      <c r="G14" s="885"/>
      <c r="H14" s="885"/>
      <c r="I14" s="885"/>
      <c r="J14" s="885"/>
      <c r="K14" s="885"/>
      <c r="L14" s="885"/>
      <c r="M14" s="885"/>
      <c r="N14" s="885"/>
      <c r="O14" s="885"/>
      <c r="P14" s="885"/>
      <c r="Q14" s="885"/>
      <c r="R14" s="885"/>
      <c r="S14" s="885"/>
      <c r="T14" s="885"/>
      <c r="U14" s="310"/>
      <c r="V14" s="309"/>
      <c r="W14" s="309"/>
      <c r="X14" s="876"/>
      <c r="Y14" s="876"/>
      <c r="Z14" s="876"/>
      <c r="AA14" s="876"/>
      <c r="AB14" s="876"/>
      <c r="AC14" s="876"/>
      <c r="AD14" s="450"/>
      <c r="AJ14" s="873"/>
      <c r="AK14" s="874"/>
      <c r="AL14" s="874"/>
    </row>
    <row r="15" spans="1:38" ht="17.25" thickBot="1" x14ac:dyDescent="0.3">
      <c r="A15" s="311"/>
      <c r="B15" s="312"/>
      <c r="C15" s="313"/>
      <c r="D15" s="313"/>
      <c r="E15" s="313"/>
      <c r="F15" s="313"/>
      <c r="G15" s="882"/>
      <c r="H15" s="883"/>
      <c r="I15" s="883"/>
      <c r="J15" s="883"/>
      <c r="K15" s="883"/>
      <c r="L15" s="883"/>
      <c r="M15" s="883"/>
      <c r="N15" s="883"/>
      <c r="O15" s="883"/>
      <c r="P15" s="303"/>
      <c r="Q15" s="300"/>
      <c r="R15" s="314"/>
      <c r="S15" s="305"/>
      <c r="T15" s="300"/>
      <c r="U15" s="315"/>
      <c r="V15" s="316"/>
      <c r="AD15" s="261"/>
      <c r="AF15" s="450" t="s">
        <v>1832</v>
      </c>
      <c r="AG15" s="450"/>
      <c r="AH15" s="450"/>
      <c r="AJ15" s="872"/>
      <c r="AK15" s="875"/>
      <c r="AL15" s="875"/>
    </row>
    <row r="16" spans="1:38" ht="63.75" thickBot="1" x14ac:dyDescent="0.3">
      <c r="A16" s="317"/>
      <c r="B16" s="318"/>
      <c r="C16" s="319"/>
      <c r="D16" s="319"/>
      <c r="E16" s="319"/>
      <c r="F16" s="319"/>
      <c r="G16" s="320"/>
      <c r="H16" s="321"/>
      <c r="I16" s="322"/>
      <c r="J16" s="320"/>
      <c r="K16" s="323"/>
      <c r="L16" s="324"/>
      <c r="M16" s="323"/>
      <c r="N16" s="324"/>
      <c r="O16" s="325"/>
      <c r="P16" s="326"/>
      <c r="Q16" s="321"/>
      <c r="R16" s="327"/>
      <c r="S16" s="324"/>
      <c r="T16" s="325"/>
      <c r="U16" s="325"/>
      <c r="V16" s="325"/>
      <c r="X16" s="515" t="s">
        <v>1600</v>
      </c>
      <c r="Y16" s="452" t="s">
        <v>306</v>
      </c>
      <c r="Z16" s="253" t="s">
        <v>37</v>
      </c>
      <c r="AA16" s="253" t="s">
        <v>391</v>
      </c>
      <c r="AB16" s="253" t="s">
        <v>38</v>
      </c>
      <c r="AC16" s="569" t="s">
        <v>1392</v>
      </c>
      <c r="AD16" s="469" t="s">
        <v>2216</v>
      </c>
      <c r="AE16" s="469" t="s">
        <v>2217</v>
      </c>
      <c r="AF16" s="469" t="s">
        <v>2304</v>
      </c>
      <c r="AG16" s="639"/>
      <c r="AH16" s="639"/>
      <c r="AJ16" s="872"/>
      <c r="AK16" s="875"/>
      <c r="AL16" s="875"/>
    </row>
    <row r="17" spans="1:35" s="333" customFormat="1" ht="17.25" thickBot="1" x14ac:dyDescent="0.3">
      <c r="A17" s="328"/>
      <c r="B17" s="328"/>
      <c r="C17" s="328"/>
      <c r="D17" s="328"/>
      <c r="E17" s="328"/>
      <c r="F17" s="328"/>
      <c r="G17" s="328"/>
      <c r="H17" s="329"/>
      <c r="I17" s="328"/>
      <c r="J17" s="328"/>
      <c r="K17" s="328"/>
      <c r="L17" s="328"/>
      <c r="M17" s="328"/>
      <c r="N17" s="328"/>
      <c r="O17" s="328"/>
      <c r="P17" s="330"/>
      <c r="Q17" s="329"/>
      <c r="R17" s="331"/>
      <c r="S17" s="332"/>
      <c r="T17" s="332"/>
      <c r="U17" s="331"/>
      <c r="V17" s="331"/>
      <c r="W17" s="329"/>
      <c r="X17" s="556">
        <v>1</v>
      </c>
      <c r="Y17" s="570">
        <v>2</v>
      </c>
      <c r="Z17" s="490">
        <v>3</v>
      </c>
      <c r="AA17" s="490">
        <v>4</v>
      </c>
      <c r="AB17" s="490">
        <v>5</v>
      </c>
      <c r="AC17" s="571">
        <v>6</v>
      </c>
      <c r="AD17" s="468">
        <v>7</v>
      </c>
      <c r="AE17" s="468">
        <v>8</v>
      </c>
      <c r="AF17" s="468">
        <v>9</v>
      </c>
      <c r="AG17" s="498"/>
      <c r="AH17" s="498"/>
    </row>
    <row r="18" spans="1:35" s="333" customFormat="1" x14ac:dyDescent="0.25">
      <c r="A18" s="328"/>
      <c r="B18" s="334"/>
      <c r="C18" s="328"/>
      <c r="D18" s="328"/>
      <c r="E18" s="328"/>
      <c r="F18" s="328"/>
      <c r="G18" s="328"/>
      <c r="H18" s="329"/>
      <c r="I18" s="328"/>
      <c r="J18" s="328"/>
      <c r="K18" s="328"/>
      <c r="L18" s="328"/>
      <c r="M18" s="328"/>
      <c r="N18" s="328"/>
      <c r="O18" s="328"/>
      <c r="P18" s="330"/>
      <c r="Q18" s="329"/>
      <c r="R18" s="331"/>
      <c r="S18" s="332"/>
      <c r="T18" s="332"/>
      <c r="U18" s="331"/>
      <c r="V18" s="331"/>
      <c r="W18" s="329"/>
      <c r="X18" s="557" t="s">
        <v>1818</v>
      </c>
      <c r="Y18" s="572" t="s">
        <v>1394</v>
      </c>
      <c r="Z18" s="536"/>
      <c r="AA18" s="536"/>
      <c r="AB18" s="537"/>
      <c r="AC18" s="573"/>
      <c r="AD18" s="732">
        <f>AD19+AD157+AD172+AD240+AD291+AD383+AD442+AD498+AD506+AD521+AD548</f>
        <v>651665.80000000005</v>
      </c>
      <c r="AE18" s="732">
        <f>AE19+AE157+AE172+AE240+AE291+AE383+AE442+AE498+AE506+AE521+AE548</f>
        <v>507173.80000000005</v>
      </c>
      <c r="AF18" s="732">
        <f>AF19+AF157+AF172+AF240+AF291+AF383+AF442+AF498+AF506+AF521+AF548</f>
        <v>496320.60000000003</v>
      </c>
      <c r="AG18" s="640"/>
      <c r="AH18" s="640"/>
      <c r="AI18" s="455"/>
    </row>
    <row r="19" spans="1:35" s="344" customFormat="1" x14ac:dyDescent="0.25">
      <c r="A19" s="335"/>
      <c r="B19" s="336"/>
      <c r="C19" s="337"/>
      <c r="D19" s="338"/>
      <c r="E19" s="339"/>
      <c r="F19" s="339"/>
      <c r="G19" s="340"/>
      <c r="H19" s="340"/>
      <c r="I19" s="340"/>
      <c r="J19" s="340"/>
      <c r="K19" s="340"/>
      <c r="L19" s="340"/>
      <c r="M19" s="340"/>
      <c r="N19" s="340"/>
      <c r="O19" s="341"/>
      <c r="P19" s="340"/>
      <c r="Q19" s="342"/>
      <c r="R19" s="343"/>
      <c r="S19" s="343"/>
      <c r="T19" s="343"/>
      <c r="U19" s="343"/>
      <c r="V19" s="343"/>
      <c r="W19" s="343"/>
      <c r="X19" s="558" t="s">
        <v>482</v>
      </c>
      <c r="Y19" s="574" t="s">
        <v>1394</v>
      </c>
      <c r="Z19" s="262" t="s">
        <v>566</v>
      </c>
      <c r="AA19" s="247"/>
      <c r="AB19" s="271"/>
      <c r="AC19" s="575"/>
      <c r="AD19" s="733">
        <f>AD20+AD27+AD71+AD79</f>
        <v>178414.6</v>
      </c>
      <c r="AE19" s="478">
        <f>AE20+AE27+AE71+AE79</f>
        <v>137802.80000000002</v>
      </c>
      <c r="AF19" s="478">
        <f>AF20+AF27+AF71+AF79</f>
        <v>136369.5</v>
      </c>
      <c r="AG19" s="640"/>
      <c r="AH19" s="640"/>
      <c r="AI19" s="455"/>
    </row>
    <row r="20" spans="1:35" ht="31.5" x14ac:dyDescent="0.25">
      <c r="A20" s="311"/>
      <c r="B20" s="345"/>
      <c r="C20" s="346"/>
      <c r="D20" s="346"/>
      <c r="E20" s="347"/>
      <c r="F20" s="347"/>
      <c r="G20" s="348"/>
      <c r="H20" s="348"/>
      <c r="I20" s="348"/>
      <c r="J20" s="348"/>
      <c r="K20" s="348"/>
      <c r="L20" s="340"/>
      <c r="M20" s="348"/>
      <c r="N20" s="340"/>
      <c r="O20" s="349"/>
      <c r="P20" s="348"/>
      <c r="Q20" s="350"/>
      <c r="R20" s="351"/>
      <c r="S20" s="351"/>
      <c r="T20" s="351"/>
      <c r="U20" s="351"/>
      <c r="V20" s="351"/>
      <c r="W20" s="351"/>
      <c r="X20" s="519" t="s">
        <v>249</v>
      </c>
      <c r="Y20" s="246" t="s">
        <v>1394</v>
      </c>
      <c r="Z20" s="235" t="s">
        <v>566</v>
      </c>
      <c r="AA20" s="235" t="s">
        <v>567</v>
      </c>
      <c r="AB20" s="249"/>
      <c r="AC20" s="576" t="s">
        <v>2289</v>
      </c>
      <c r="AD20" s="292">
        <f t="shared" ref="AD20:AF23" si="0">AD21</f>
        <v>2587.8000000000002</v>
      </c>
      <c r="AE20" s="475">
        <f t="shared" si="0"/>
        <v>2587.8000000000002</v>
      </c>
      <c r="AF20" s="475">
        <f t="shared" si="0"/>
        <v>2587.8000000000002</v>
      </c>
      <c r="AG20" s="553"/>
      <c r="AH20" s="553"/>
      <c r="AI20" s="455"/>
    </row>
    <row r="21" spans="1:35" x14ac:dyDescent="0.25">
      <c r="A21" s="311"/>
      <c r="B21" s="345"/>
      <c r="C21" s="346"/>
      <c r="D21" s="346"/>
      <c r="E21" s="347"/>
      <c r="F21" s="347"/>
      <c r="G21" s="348"/>
      <c r="H21" s="348"/>
      <c r="I21" s="348"/>
      <c r="J21" s="348"/>
      <c r="K21" s="348"/>
      <c r="L21" s="340"/>
      <c r="M21" s="348"/>
      <c r="N21" s="340"/>
      <c r="O21" s="349"/>
      <c r="P21" s="348"/>
      <c r="Q21" s="350"/>
      <c r="R21" s="351"/>
      <c r="S21" s="351"/>
      <c r="T21" s="351"/>
      <c r="U21" s="351"/>
      <c r="V21" s="351"/>
      <c r="W21" s="351"/>
      <c r="X21" s="548" t="s">
        <v>1898</v>
      </c>
      <c r="Y21" s="246" t="s">
        <v>1394</v>
      </c>
      <c r="Z21" s="235" t="s">
        <v>566</v>
      </c>
      <c r="AA21" s="235" t="s">
        <v>567</v>
      </c>
      <c r="AB21" s="442" t="s">
        <v>1771</v>
      </c>
      <c r="AC21" s="576"/>
      <c r="AD21" s="292">
        <f>AD22</f>
        <v>2587.8000000000002</v>
      </c>
      <c r="AE21" s="475">
        <f>AE22</f>
        <v>2587.8000000000002</v>
      </c>
      <c r="AF21" s="475">
        <f>AF22</f>
        <v>2587.8000000000002</v>
      </c>
      <c r="AG21" s="553"/>
      <c r="AH21" s="553"/>
      <c r="AI21" s="455"/>
    </row>
    <row r="22" spans="1:35" x14ac:dyDescent="0.25">
      <c r="A22" s="352"/>
      <c r="B22" s="345"/>
      <c r="C22" s="346"/>
      <c r="D22" s="346"/>
      <c r="E22" s="346"/>
      <c r="F22" s="347"/>
      <c r="G22" s="348"/>
      <c r="H22" s="348"/>
      <c r="I22" s="348"/>
      <c r="J22" s="348"/>
      <c r="K22" s="348"/>
      <c r="L22" s="340"/>
      <c r="M22" s="348"/>
      <c r="N22" s="340"/>
      <c r="O22" s="349"/>
      <c r="P22" s="348"/>
      <c r="Q22" s="350"/>
      <c r="R22" s="351"/>
      <c r="S22" s="351"/>
      <c r="T22" s="351"/>
      <c r="U22" s="351"/>
      <c r="V22" s="351"/>
      <c r="W22" s="351"/>
      <c r="X22" s="548" t="s">
        <v>1907</v>
      </c>
      <c r="Y22" s="246" t="s">
        <v>1394</v>
      </c>
      <c r="Z22" s="235" t="s">
        <v>566</v>
      </c>
      <c r="AA22" s="235" t="s">
        <v>567</v>
      </c>
      <c r="AB22" s="442" t="s">
        <v>1908</v>
      </c>
      <c r="AC22" s="576"/>
      <c r="AD22" s="292">
        <f t="shared" si="0"/>
        <v>2587.8000000000002</v>
      </c>
      <c r="AE22" s="475">
        <f t="shared" si="0"/>
        <v>2587.8000000000002</v>
      </c>
      <c r="AF22" s="475">
        <f t="shared" si="0"/>
        <v>2587.8000000000002</v>
      </c>
      <c r="AG22" s="553"/>
      <c r="AH22" s="553"/>
      <c r="AI22" s="455"/>
    </row>
    <row r="23" spans="1:35" ht="31.5" x14ac:dyDescent="0.25">
      <c r="A23" s="352"/>
      <c r="B23" s="345"/>
      <c r="C23" s="346"/>
      <c r="D23" s="346"/>
      <c r="E23" s="346"/>
      <c r="F23" s="347"/>
      <c r="G23" s="348"/>
      <c r="H23" s="348"/>
      <c r="I23" s="348"/>
      <c r="J23" s="348"/>
      <c r="K23" s="348"/>
      <c r="L23" s="340"/>
      <c r="M23" s="348"/>
      <c r="N23" s="340"/>
      <c r="O23" s="349"/>
      <c r="P23" s="348"/>
      <c r="Q23" s="350"/>
      <c r="R23" s="351"/>
      <c r="S23" s="351"/>
      <c r="T23" s="351"/>
      <c r="U23" s="351"/>
      <c r="V23" s="351"/>
      <c r="W23" s="351"/>
      <c r="X23" s="548" t="s">
        <v>1909</v>
      </c>
      <c r="Y23" s="246" t="s">
        <v>1394</v>
      </c>
      <c r="Z23" s="235" t="s">
        <v>566</v>
      </c>
      <c r="AA23" s="235" t="s">
        <v>567</v>
      </c>
      <c r="AB23" s="442" t="s">
        <v>1910</v>
      </c>
      <c r="AC23" s="576"/>
      <c r="AD23" s="292">
        <f t="shared" si="0"/>
        <v>2587.8000000000002</v>
      </c>
      <c r="AE23" s="475">
        <f t="shared" si="0"/>
        <v>2587.8000000000002</v>
      </c>
      <c r="AF23" s="475">
        <f t="shared" si="0"/>
        <v>2587.8000000000002</v>
      </c>
      <c r="AG23" s="553"/>
      <c r="AH23" s="553"/>
      <c r="AI23" s="455"/>
    </row>
    <row r="24" spans="1:35" x14ac:dyDescent="0.25">
      <c r="A24" s="352"/>
      <c r="B24" s="345"/>
      <c r="C24" s="346"/>
      <c r="D24" s="346"/>
      <c r="E24" s="346"/>
      <c r="F24" s="347"/>
      <c r="G24" s="348"/>
      <c r="H24" s="348"/>
      <c r="I24" s="348"/>
      <c r="J24" s="348"/>
      <c r="K24" s="348"/>
      <c r="L24" s="340"/>
      <c r="M24" s="348"/>
      <c r="N24" s="340"/>
      <c r="O24" s="349"/>
      <c r="P24" s="348"/>
      <c r="Q24" s="350"/>
      <c r="R24" s="351"/>
      <c r="S24" s="351"/>
      <c r="T24" s="351"/>
      <c r="U24" s="351"/>
      <c r="V24" s="351"/>
      <c r="W24" s="351"/>
      <c r="X24" s="548" t="s">
        <v>1911</v>
      </c>
      <c r="Y24" s="246" t="s">
        <v>1394</v>
      </c>
      <c r="Z24" s="235" t="s">
        <v>566</v>
      </c>
      <c r="AA24" s="235" t="s">
        <v>567</v>
      </c>
      <c r="AB24" s="442" t="s">
        <v>1912</v>
      </c>
      <c r="AC24" s="576"/>
      <c r="AD24" s="292">
        <f t="shared" ref="AD24:AF25" si="1">AD25</f>
        <v>2587.8000000000002</v>
      </c>
      <c r="AE24" s="475">
        <f t="shared" si="1"/>
        <v>2587.8000000000002</v>
      </c>
      <c r="AF24" s="475">
        <f t="shared" si="1"/>
        <v>2587.8000000000002</v>
      </c>
      <c r="AG24" s="553"/>
      <c r="AH24" s="553"/>
      <c r="AI24" s="455"/>
    </row>
    <row r="25" spans="1:35" ht="47.25" x14ac:dyDescent="0.25">
      <c r="A25" s="352"/>
      <c r="B25" s="345"/>
      <c r="C25" s="346"/>
      <c r="D25" s="346"/>
      <c r="E25" s="346"/>
      <c r="F25" s="347"/>
      <c r="G25" s="348"/>
      <c r="H25" s="348"/>
      <c r="I25" s="348"/>
      <c r="J25" s="348"/>
      <c r="K25" s="348"/>
      <c r="L25" s="340"/>
      <c r="M25" s="348"/>
      <c r="N25" s="340"/>
      <c r="O25" s="349"/>
      <c r="P25" s="348"/>
      <c r="Q25" s="350"/>
      <c r="R25" s="351"/>
      <c r="S25" s="351"/>
      <c r="T25" s="351"/>
      <c r="U25" s="351"/>
      <c r="V25" s="351"/>
      <c r="W25" s="351"/>
      <c r="X25" s="519" t="s">
        <v>921</v>
      </c>
      <c r="Y25" s="246" t="s">
        <v>1394</v>
      </c>
      <c r="Z25" s="235" t="s">
        <v>566</v>
      </c>
      <c r="AA25" s="235" t="s">
        <v>567</v>
      </c>
      <c r="AB25" s="442" t="s">
        <v>1912</v>
      </c>
      <c r="AC25" s="576">
        <v>100</v>
      </c>
      <c r="AD25" s="292">
        <f t="shared" si="1"/>
        <v>2587.8000000000002</v>
      </c>
      <c r="AE25" s="475">
        <f t="shared" si="1"/>
        <v>2587.8000000000002</v>
      </c>
      <c r="AF25" s="475">
        <f t="shared" si="1"/>
        <v>2587.8000000000002</v>
      </c>
      <c r="AG25" s="553"/>
      <c r="AH25" s="553"/>
      <c r="AI25" s="455"/>
    </row>
    <row r="26" spans="1:35" x14ac:dyDescent="0.25">
      <c r="A26" s="352"/>
      <c r="B26" s="345"/>
      <c r="C26" s="346"/>
      <c r="D26" s="346"/>
      <c r="E26" s="346"/>
      <c r="F26" s="347"/>
      <c r="G26" s="348"/>
      <c r="H26" s="348"/>
      <c r="I26" s="348"/>
      <c r="J26" s="348"/>
      <c r="K26" s="348"/>
      <c r="L26" s="340"/>
      <c r="M26" s="348"/>
      <c r="N26" s="340"/>
      <c r="O26" s="349"/>
      <c r="P26" s="348"/>
      <c r="Q26" s="350"/>
      <c r="R26" s="351"/>
      <c r="S26" s="351"/>
      <c r="T26" s="351"/>
      <c r="U26" s="351"/>
      <c r="V26" s="351"/>
      <c r="W26" s="351"/>
      <c r="X26" s="519" t="s">
        <v>1747</v>
      </c>
      <c r="Y26" s="246" t="s">
        <v>1394</v>
      </c>
      <c r="Z26" s="235" t="s">
        <v>566</v>
      </c>
      <c r="AA26" s="235" t="s">
        <v>567</v>
      </c>
      <c r="AB26" s="442" t="s">
        <v>1912</v>
      </c>
      <c r="AC26" s="576">
        <v>120</v>
      </c>
      <c r="AD26" s="292">
        <v>2587.8000000000002</v>
      </c>
      <c r="AE26" s="475">
        <v>2587.8000000000002</v>
      </c>
      <c r="AF26" s="475">
        <v>2587.8000000000002</v>
      </c>
      <c r="AG26" s="553"/>
      <c r="AH26" s="553"/>
      <c r="AI26" s="455"/>
    </row>
    <row r="27" spans="1:35" ht="47.25" x14ac:dyDescent="0.25">
      <c r="A27" s="311"/>
      <c r="B27" s="345"/>
      <c r="C27" s="346"/>
      <c r="D27" s="346"/>
      <c r="E27" s="347"/>
      <c r="F27" s="347"/>
      <c r="G27" s="348"/>
      <c r="H27" s="348"/>
      <c r="I27" s="348"/>
      <c r="J27" s="348"/>
      <c r="K27" s="348"/>
      <c r="L27" s="340"/>
      <c r="M27" s="348"/>
      <c r="N27" s="340"/>
      <c r="O27" s="353"/>
      <c r="P27" s="348"/>
      <c r="Q27" s="350"/>
      <c r="R27" s="354"/>
      <c r="S27" s="354"/>
      <c r="T27" s="354"/>
      <c r="U27" s="354"/>
      <c r="V27" s="354"/>
      <c r="W27" s="354"/>
      <c r="X27" s="519" t="s">
        <v>1240</v>
      </c>
      <c r="Y27" s="246" t="s">
        <v>1394</v>
      </c>
      <c r="Z27" s="235" t="s">
        <v>566</v>
      </c>
      <c r="AA27" s="235" t="s">
        <v>1181</v>
      </c>
      <c r="AB27" s="249"/>
      <c r="AC27" s="576"/>
      <c r="AD27" s="292">
        <f>AD28+AD40+AD48+AD65</f>
        <v>64313.9</v>
      </c>
      <c r="AE27" s="475">
        <f>AE28+AE40+AE48+AE65</f>
        <v>59121.3</v>
      </c>
      <c r="AF27" s="475">
        <f>AF28+AF40+AF48+AF65</f>
        <v>59643.3</v>
      </c>
      <c r="AG27" s="553"/>
      <c r="AH27" s="553"/>
      <c r="AI27" s="455"/>
    </row>
    <row r="28" spans="1:35" x14ac:dyDescent="0.25">
      <c r="A28" s="311"/>
      <c r="B28" s="345"/>
      <c r="C28" s="346"/>
      <c r="D28" s="346"/>
      <c r="E28" s="347"/>
      <c r="F28" s="347"/>
      <c r="G28" s="348"/>
      <c r="H28" s="348"/>
      <c r="I28" s="348"/>
      <c r="J28" s="348"/>
      <c r="K28" s="348"/>
      <c r="L28" s="340"/>
      <c r="M28" s="348"/>
      <c r="N28" s="340"/>
      <c r="O28" s="353"/>
      <c r="P28" s="348"/>
      <c r="Q28" s="350"/>
      <c r="R28" s="354"/>
      <c r="S28" s="354"/>
      <c r="T28" s="354"/>
      <c r="U28" s="354"/>
      <c r="V28" s="354"/>
      <c r="W28" s="354"/>
      <c r="X28" s="520" t="s">
        <v>1998</v>
      </c>
      <c r="Y28" s="246" t="s">
        <v>1394</v>
      </c>
      <c r="Z28" s="235" t="s">
        <v>566</v>
      </c>
      <c r="AA28" s="235" t="s">
        <v>1181</v>
      </c>
      <c r="AB28" s="442" t="s">
        <v>1774</v>
      </c>
      <c r="AC28" s="576"/>
      <c r="AD28" s="292">
        <f>AD29</f>
        <v>1723.9</v>
      </c>
      <c r="AE28" s="475">
        <f>AE29</f>
        <v>1601</v>
      </c>
      <c r="AF28" s="475">
        <f>AF29</f>
        <v>2123</v>
      </c>
      <c r="AG28" s="553"/>
      <c r="AH28" s="553"/>
      <c r="AI28" s="455"/>
    </row>
    <row r="29" spans="1:35" x14ac:dyDescent="0.25">
      <c r="A29" s="311"/>
      <c r="B29" s="345"/>
      <c r="C29" s="346"/>
      <c r="D29" s="346"/>
      <c r="E29" s="347"/>
      <c r="F29" s="347"/>
      <c r="G29" s="348"/>
      <c r="H29" s="348"/>
      <c r="I29" s="348"/>
      <c r="J29" s="348"/>
      <c r="K29" s="348"/>
      <c r="L29" s="340"/>
      <c r="M29" s="348"/>
      <c r="N29" s="340"/>
      <c r="O29" s="353"/>
      <c r="P29" s="348"/>
      <c r="Q29" s="350"/>
      <c r="R29" s="354"/>
      <c r="S29" s="354"/>
      <c r="T29" s="354"/>
      <c r="U29" s="354"/>
      <c r="V29" s="354"/>
      <c r="W29" s="354"/>
      <c r="X29" s="517" t="s">
        <v>2337</v>
      </c>
      <c r="Y29" s="246" t="s">
        <v>1394</v>
      </c>
      <c r="Z29" s="235" t="s">
        <v>566</v>
      </c>
      <c r="AA29" s="235" t="s">
        <v>1181</v>
      </c>
      <c r="AB29" s="442" t="s">
        <v>1801</v>
      </c>
      <c r="AC29" s="576"/>
      <c r="AD29" s="292">
        <f>AD30+AD34</f>
        <v>1723.9</v>
      </c>
      <c r="AE29" s="475">
        <f>AE30+AE34</f>
        <v>1601</v>
      </c>
      <c r="AF29" s="475">
        <f>AF30+AF34</f>
        <v>2123</v>
      </c>
      <c r="AG29" s="553"/>
      <c r="AH29" s="553"/>
      <c r="AI29" s="455"/>
    </row>
    <row r="30" spans="1:35" ht="31.5" x14ac:dyDescent="0.25">
      <c r="A30" s="311"/>
      <c r="B30" s="345"/>
      <c r="C30" s="346"/>
      <c r="D30" s="346"/>
      <c r="E30" s="347"/>
      <c r="F30" s="347"/>
      <c r="G30" s="348"/>
      <c r="H30" s="348"/>
      <c r="I30" s="348"/>
      <c r="J30" s="348"/>
      <c r="K30" s="348"/>
      <c r="L30" s="340"/>
      <c r="M30" s="348"/>
      <c r="N30" s="340"/>
      <c r="O30" s="353"/>
      <c r="P30" s="348"/>
      <c r="Q30" s="350"/>
      <c r="R30" s="354"/>
      <c r="S30" s="354"/>
      <c r="T30" s="354"/>
      <c r="U30" s="354"/>
      <c r="V30" s="354"/>
      <c r="W30" s="354"/>
      <c r="X30" s="521" t="s">
        <v>2014</v>
      </c>
      <c r="Y30" s="246" t="s">
        <v>1394</v>
      </c>
      <c r="Z30" s="235" t="s">
        <v>566</v>
      </c>
      <c r="AA30" s="235" t="s">
        <v>1181</v>
      </c>
      <c r="AB30" s="442" t="s">
        <v>1802</v>
      </c>
      <c r="AC30" s="576"/>
      <c r="AD30" s="292">
        <f t="shared" ref="AD30:AF32" si="2">AD31</f>
        <v>114.89999999999998</v>
      </c>
      <c r="AE30" s="475">
        <f t="shared" si="2"/>
        <v>0</v>
      </c>
      <c r="AF30" s="475">
        <f t="shared" si="2"/>
        <v>521</v>
      </c>
      <c r="AG30" s="553"/>
      <c r="AH30" s="553"/>
      <c r="AI30" s="455"/>
    </row>
    <row r="31" spans="1:35" x14ac:dyDescent="0.25">
      <c r="A31" s="311"/>
      <c r="B31" s="345"/>
      <c r="C31" s="346"/>
      <c r="D31" s="346"/>
      <c r="E31" s="347"/>
      <c r="F31" s="347"/>
      <c r="G31" s="348"/>
      <c r="H31" s="348"/>
      <c r="I31" s="348"/>
      <c r="J31" s="348"/>
      <c r="K31" s="348"/>
      <c r="L31" s="340"/>
      <c r="M31" s="348"/>
      <c r="N31" s="340"/>
      <c r="O31" s="353"/>
      <c r="P31" s="348"/>
      <c r="Q31" s="350"/>
      <c r="R31" s="354"/>
      <c r="S31" s="354"/>
      <c r="T31" s="354"/>
      <c r="U31" s="354"/>
      <c r="V31" s="354"/>
      <c r="W31" s="354"/>
      <c r="X31" s="521" t="s">
        <v>2015</v>
      </c>
      <c r="Y31" s="246" t="s">
        <v>1394</v>
      </c>
      <c r="Z31" s="235" t="s">
        <v>566</v>
      </c>
      <c r="AA31" s="235" t="s">
        <v>1181</v>
      </c>
      <c r="AB31" s="442" t="s">
        <v>2016</v>
      </c>
      <c r="AC31" s="576"/>
      <c r="AD31" s="292">
        <f t="shared" si="2"/>
        <v>114.89999999999998</v>
      </c>
      <c r="AE31" s="475">
        <f t="shared" si="2"/>
        <v>0</v>
      </c>
      <c r="AF31" s="475">
        <f t="shared" si="2"/>
        <v>521</v>
      </c>
      <c r="AG31" s="553"/>
      <c r="AH31" s="553"/>
      <c r="AI31" s="455"/>
    </row>
    <row r="32" spans="1:35" x14ac:dyDescent="0.25">
      <c r="A32" s="311"/>
      <c r="B32" s="345"/>
      <c r="C32" s="346"/>
      <c r="D32" s="346"/>
      <c r="E32" s="347"/>
      <c r="F32" s="347"/>
      <c r="G32" s="348"/>
      <c r="H32" s="348"/>
      <c r="I32" s="348"/>
      <c r="J32" s="348"/>
      <c r="K32" s="348"/>
      <c r="L32" s="340"/>
      <c r="M32" s="348"/>
      <c r="N32" s="340"/>
      <c r="O32" s="353"/>
      <c r="P32" s="348"/>
      <c r="Q32" s="350"/>
      <c r="R32" s="354"/>
      <c r="S32" s="354"/>
      <c r="T32" s="354"/>
      <c r="U32" s="354"/>
      <c r="V32" s="354"/>
      <c r="W32" s="354"/>
      <c r="X32" s="519" t="s">
        <v>1781</v>
      </c>
      <c r="Y32" s="246" t="s">
        <v>1394</v>
      </c>
      <c r="Z32" s="235" t="s">
        <v>566</v>
      </c>
      <c r="AA32" s="235" t="s">
        <v>1181</v>
      </c>
      <c r="AB32" s="442" t="s">
        <v>2016</v>
      </c>
      <c r="AC32" s="238">
        <v>200</v>
      </c>
      <c r="AD32" s="292">
        <f t="shared" si="2"/>
        <v>114.89999999999998</v>
      </c>
      <c r="AE32" s="475">
        <f t="shared" si="2"/>
        <v>0</v>
      </c>
      <c r="AF32" s="475">
        <f t="shared" si="2"/>
        <v>521</v>
      </c>
      <c r="AG32" s="553"/>
      <c r="AH32" s="553"/>
      <c r="AI32" s="455"/>
    </row>
    <row r="33" spans="1:35" ht="31.5" x14ac:dyDescent="0.25">
      <c r="A33" s="311"/>
      <c r="B33" s="345"/>
      <c r="C33" s="346"/>
      <c r="D33" s="346"/>
      <c r="E33" s="347"/>
      <c r="F33" s="347"/>
      <c r="G33" s="348"/>
      <c r="H33" s="348"/>
      <c r="I33" s="348"/>
      <c r="J33" s="348"/>
      <c r="K33" s="348"/>
      <c r="L33" s="340"/>
      <c r="M33" s="348"/>
      <c r="N33" s="340"/>
      <c r="O33" s="353"/>
      <c r="P33" s="348"/>
      <c r="Q33" s="350"/>
      <c r="R33" s="354"/>
      <c r="S33" s="354"/>
      <c r="T33" s="354"/>
      <c r="U33" s="354"/>
      <c r="V33" s="354"/>
      <c r="W33" s="354"/>
      <c r="X33" s="519" t="s">
        <v>1273</v>
      </c>
      <c r="Y33" s="246" t="s">
        <v>1394</v>
      </c>
      <c r="Z33" s="235" t="s">
        <v>566</v>
      </c>
      <c r="AA33" s="235" t="s">
        <v>1181</v>
      </c>
      <c r="AB33" s="442" t="s">
        <v>2016</v>
      </c>
      <c r="AC33" s="238">
        <v>240</v>
      </c>
      <c r="AD33" s="292">
        <f>294.2-179.3</f>
        <v>114.89999999999998</v>
      </c>
      <c r="AE33" s="475">
        <f>857-336-521</f>
        <v>0</v>
      </c>
      <c r="AF33" s="475">
        <v>521</v>
      </c>
      <c r="AG33" s="659"/>
      <c r="AH33" s="553"/>
      <c r="AI33" s="455"/>
    </row>
    <row r="34" spans="1:35" ht="47.25" x14ac:dyDescent="0.25">
      <c r="A34" s="311"/>
      <c r="B34" s="345"/>
      <c r="C34" s="346"/>
      <c r="D34" s="346"/>
      <c r="E34" s="347"/>
      <c r="F34" s="347"/>
      <c r="G34" s="348"/>
      <c r="H34" s="348"/>
      <c r="I34" s="348"/>
      <c r="J34" s="348"/>
      <c r="K34" s="348"/>
      <c r="L34" s="340"/>
      <c r="M34" s="348"/>
      <c r="N34" s="340"/>
      <c r="O34" s="353"/>
      <c r="P34" s="348"/>
      <c r="Q34" s="350"/>
      <c r="R34" s="354"/>
      <c r="S34" s="354"/>
      <c r="T34" s="354"/>
      <c r="U34" s="354"/>
      <c r="V34" s="354"/>
      <c r="W34" s="354"/>
      <c r="X34" s="521" t="s">
        <v>2017</v>
      </c>
      <c r="Y34" s="246" t="s">
        <v>1394</v>
      </c>
      <c r="Z34" s="235" t="s">
        <v>566</v>
      </c>
      <c r="AA34" s="235" t="s">
        <v>1181</v>
      </c>
      <c r="AB34" s="442" t="s">
        <v>2018</v>
      </c>
      <c r="AC34" s="576"/>
      <c r="AD34" s="292">
        <f>AD35</f>
        <v>1609</v>
      </c>
      <c r="AE34" s="475">
        <f>AE35</f>
        <v>1601</v>
      </c>
      <c r="AF34" s="475">
        <f>AF35</f>
        <v>1602</v>
      </c>
      <c r="AG34" s="553"/>
      <c r="AH34" s="553"/>
      <c r="AI34" s="455"/>
    </row>
    <row r="35" spans="1:35" ht="47.25" x14ac:dyDescent="0.25">
      <c r="A35" s="311"/>
      <c r="B35" s="345"/>
      <c r="C35" s="346"/>
      <c r="D35" s="346"/>
      <c r="E35" s="347"/>
      <c r="F35" s="347"/>
      <c r="G35" s="348"/>
      <c r="H35" s="348"/>
      <c r="I35" s="348"/>
      <c r="J35" s="348"/>
      <c r="K35" s="348"/>
      <c r="L35" s="340"/>
      <c r="M35" s="348"/>
      <c r="N35" s="340"/>
      <c r="O35" s="353"/>
      <c r="P35" s="348"/>
      <c r="Q35" s="350"/>
      <c r="R35" s="354"/>
      <c r="S35" s="354"/>
      <c r="T35" s="354"/>
      <c r="U35" s="354"/>
      <c r="V35" s="354"/>
      <c r="W35" s="354"/>
      <c r="X35" s="521" t="s">
        <v>2019</v>
      </c>
      <c r="Y35" s="246" t="s">
        <v>1394</v>
      </c>
      <c r="Z35" s="235" t="s">
        <v>566</v>
      </c>
      <c r="AA35" s="235" t="s">
        <v>1181</v>
      </c>
      <c r="AB35" s="442" t="s">
        <v>2020</v>
      </c>
      <c r="AC35" s="576"/>
      <c r="AD35" s="292">
        <f>AD36+AD38</f>
        <v>1609</v>
      </c>
      <c r="AE35" s="475">
        <f>AE36+AE38</f>
        <v>1601</v>
      </c>
      <c r="AF35" s="475">
        <f>AF36+AF38</f>
        <v>1602</v>
      </c>
      <c r="AG35" s="553"/>
      <c r="AH35" s="553"/>
      <c r="AI35" s="455"/>
    </row>
    <row r="36" spans="1:35" ht="47.25" x14ac:dyDescent="0.25">
      <c r="A36" s="311"/>
      <c r="B36" s="345"/>
      <c r="C36" s="346"/>
      <c r="D36" s="346"/>
      <c r="E36" s="347"/>
      <c r="F36" s="347"/>
      <c r="G36" s="348"/>
      <c r="H36" s="348"/>
      <c r="I36" s="348"/>
      <c r="J36" s="348"/>
      <c r="K36" s="348"/>
      <c r="L36" s="340"/>
      <c r="M36" s="348"/>
      <c r="N36" s="340"/>
      <c r="O36" s="353"/>
      <c r="P36" s="348"/>
      <c r="Q36" s="350"/>
      <c r="R36" s="354"/>
      <c r="S36" s="354"/>
      <c r="T36" s="354"/>
      <c r="U36" s="354"/>
      <c r="V36" s="354"/>
      <c r="W36" s="354"/>
      <c r="X36" s="519" t="s">
        <v>921</v>
      </c>
      <c r="Y36" s="246" t="s">
        <v>1394</v>
      </c>
      <c r="Z36" s="235" t="s">
        <v>566</v>
      </c>
      <c r="AA36" s="235" t="s">
        <v>1181</v>
      </c>
      <c r="AB36" s="442" t="s">
        <v>2020</v>
      </c>
      <c r="AC36" s="576">
        <v>100</v>
      </c>
      <c r="AD36" s="292">
        <f>AD37</f>
        <v>1529.5</v>
      </c>
      <c r="AE36" s="475">
        <f>AE37</f>
        <v>1529.5</v>
      </c>
      <c r="AF36" s="475">
        <f>AF37</f>
        <v>1529.5</v>
      </c>
      <c r="AG36" s="553"/>
      <c r="AH36" s="553"/>
      <c r="AI36" s="455"/>
    </row>
    <row r="37" spans="1:35" x14ac:dyDescent="0.25">
      <c r="A37" s="311"/>
      <c r="B37" s="345"/>
      <c r="C37" s="346"/>
      <c r="D37" s="346"/>
      <c r="E37" s="347"/>
      <c r="F37" s="347"/>
      <c r="G37" s="348"/>
      <c r="H37" s="348"/>
      <c r="I37" s="348"/>
      <c r="J37" s="348"/>
      <c r="K37" s="348"/>
      <c r="L37" s="340"/>
      <c r="M37" s="348"/>
      <c r="N37" s="340"/>
      <c r="O37" s="353"/>
      <c r="P37" s="348"/>
      <c r="Q37" s="350"/>
      <c r="R37" s="354"/>
      <c r="S37" s="354"/>
      <c r="T37" s="354"/>
      <c r="U37" s="354"/>
      <c r="V37" s="354"/>
      <c r="W37" s="354"/>
      <c r="X37" s="519" t="s">
        <v>1747</v>
      </c>
      <c r="Y37" s="246" t="s">
        <v>1394</v>
      </c>
      <c r="Z37" s="235" t="s">
        <v>566</v>
      </c>
      <c r="AA37" s="235" t="s">
        <v>1181</v>
      </c>
      <c r="AB37" s="442" t="s">
        <v>2020</v>
      </c>
      <c r="AC37" s="576">
        <v>120</v>
      </c>
      <c r="AD37" s="292">
        <v>1529.5</v>
      </c>
      <c r="AE37" s="475">
        <v>1529.5</v>
      </c>
      <c r="AF37" s="475">
        <v>1529.5</v>
      </c>
      <c r="AG37" s="553"/>
      <c r="AH37" s="553"/>
      <c r="AI37" s="455"/>
    </row>
    <row r="38" spans="1:35" x14ac:dyDescent="0.25">
      <c r="A38" s="311"/>
      <c r="B38" s="345"/>
      <c r="C38" s="346"/>
      <c r="D38" s="346"/>
      <c r="E38" s="347"/>
      <c r="F38" s="347"/>
      <c r="G38" s="348"/>
      <c r="H38" s="348"/>
      <c r="I38" s="348"/>
      <c r="J38" s="348"/>
      <c r="K38" s="348"/>
      <c r="L38" s="340"/>
      <c r="M38" s="348"/>
      <c r="N38" s="340"/>
      <c r="O38" s="353"/>
      <c r="P38" s="348"/>
      <c r="Q38" s="350"/>
      <c r="R38" s="354"/>
      <c r="S38" s="354"/>
      <c r="T38" s="354"/>
      <c r="U38" s="354"/>
      <c r="V38" s="354"/>
      <c r="W38" s="354"/>
      <c r="X38" s="519" t="s">
        <v>1781</v>
      </c>
      <c r="Y38" s="246" t="s">
        <v>1394</v>
      </c>
      <c r="Z38" s="235" t="s">
        <v>566</v>
      </c>
      <c r="AA38" s="235" t="s">
        <v>1181</v>
      </c>
      <c r="AB38" s="442" t="s">
        <v>2020</v>
      </c>
      <c r="AC38" s="238">
        <v>200</v>
      </c>
      <c r="AD38" s="292">
        <f>AD39</f>
        <v>79.5</v>
      </c>
      <c r="AE38" s="475">
        <f>AE39</f>
        <v>71.5</v>
      </c>
      <c r="AF38" s="475">
        <f>AF39</f>
        <v>72.5</v>
      </c>
      <c r="AG38" s="553"/>
      <c r="AH38" s="553"/>
      <c r="AI38" s="455"/>
    </row>
    <row r="39" spans="1:35" ht="31.5" x14ac:dyDescent="0.25">
      <c r="A39" s="311"/>
      <c r="B39" s="345"/>
      <c r="C39" s="346"/>
      <c r="D39" s="346"/>
      <c r="E39" s="347"/>
      <c r="F39" s="347"/>
      <c r="G39" s="348"/>
      <c r="H39" s="348"/>
      <c r="I39" s="348"/>
      <c r="J39" s="348"/>
      <c r="K39" s="348"/>
      <c r="L39" s="340"/>
      <c r="M39" s="348"/>
      <c r="N39" s="340"/>
      <c r="O39" s="353"/>
      <c r="P39" s="348"/>
      <c r="Q39" s="350"/>
      <c r="R39" s="354"/>
      <c r="S39" s="354"/>
      <c r="T39" s="354"/>
      <c r="U39" s="354"/>
      <c r="V39" s="354"/>
      <c r="W39" s="354"/>
      <c r="X39" s="519" t="s">
        <v>1273</v>
      </c>
      <c r="Y39" s="246" t="s">
        <v>1394</v>
      </c>
      <c r="Z39" s="235" t="s">
        <v>566</v>
      </c>
      <c r="AA39" s="235" t="s">
        <v>1181</v>
      </c>
      <c r="AB39" s="442" t="s">
        <v>2020</v>
      </c>
      <c r="AC39" s="238">
        <v>240</v>
      </c>
      <c r="AD39" s="292">
        <v>79.5</v>
      </c>
      <c r="AE39" s="475">
        <v>71.5</v>
      </c>
      <c r="AF39" s="475">
        <v>72.5</v>
      </c>
      <c r="AG39" s="553"/>
      <c r="AH39" s="553"/>
      <c r="AI39" s="455"/>
    </row>
    <row r="40" spans="1:35" x14ac:dyDescent="0.25">
      <c r="A40" s="311"/>
      <c r="B40" s="345"/>
      <c r="C40" s="346"/>
      <c r="D40" s="346"/>
      <c r="E40" s="347"/>
      <c r="F40" s="347"/>
      <c r="G40" s="348"/>
      <c r="H40" s="348"/>
      <c r="I40" s="348"/>
      <c r="J40" s="348"/>
      <c r="K40" s="348"/>
      <c r="L40" s="340"/>
      <c r="M40" s="348"/>
      <c r="N40" s="340"/>
      <c r="O40" s="353"/>
      <c r="P40" s="348"/>
      <c r="Q40" s="350"/>
      <c r="R40" s="354"/>
      <c r="S40" s="354"/>
      <c r="T40" s="354"/>
      <c r="U40" s="354"/>
      <c r="V40" s="354"/>
      <c r="W40" s="354"/>
      <c r="X40" s="520" t="s">
        <v>2021</v>
      </c>
      <c r="Y40" s="246" t="s">
        <v>1394</v>
      </c>
      <c r="Z40" s="235" t="s">
        <v>566</v>
      </c>
      <c r="AA40" s="235" t="s">
        <v>1181</v>
      </c>
      <c r="AB40" s="249" t="s">
        <v>1759</v>
      </c>
      <c r="AC40" s="238"/>
      <c r="AD40" s="292">
        <f t="shared" ref="AD40:AF42" si="3">AD41</f>
        <v>2195</v>
      </c>
      <c r="AE40" s="475">
        <f t="shared" si="3"/>
        <v>2195</v>
      </c>
      <c r="AF40" s="475">
        <f t="shared" si="3"/>
        <v>2195</v>
      </c>
      <c r="AG40" s="553"/>
      <c r="AH40" s="553"/>
      <c r="AI40" s="455"/>
    </row>
    <row r="41" spans="1:35" x14ac:dyDescent="0.25">
      <c r="A41" s="311"/>
      <c r="B41" s="345"/>
      <c r="C41" s="346"/>
      <c r="D41" s="346"/>
      <c r="E41" s="347"/>
      <c r="F41" s="347"/>
      <c r="G41" s="348"/>
      <c r="H41" s="348"/>
      <c r="I41" s="348"/>
      <c r="J41" s="348"/>
      <c r="K41" s="348"/>
      <c r="L41" s="340"/>
      <c r="M41" s="348"/>
      <c r="N41" s="340"/>
      <c r="O41" s="353"/>
      <c r="P41" s="348"/>
      <c r="Q41" s="350"/>
      <c r="R41" s="354"/>
      <c r="S41" s="354"/>
      <c r="T41" s="354"/>
      <c r="U41" s="354"/>
      <c r="V41" s="354"/>
      <c r="W41" s="354"/>
      <c r="X41" s="520" t="s">
        <v>2028</v>
      </c>
      <c r="Y41" s="246" t="s">
        <v>1394</v>
      </c>
      <c r="Z41" s="235" t="s">
        <v>566</v>
      </c>
      <c r="AA41" s="235" t="s">
        <v>1181</v>
      </c>
      <c r="AB41" s="249" t="s">
        <v>1760</v>
      </c>
      <c r="AC41" s="238"/>
      <c r="AD41" s="292">
        <f t="shared" si="3"/>
        <v>2195</v>
      </c>
      <c r="AE41" s="475">
        <f t="shared" si="3"/>
        <v>2195</v>
      </c>
      <c r="AF41" s="475">
        <f t="shared" si="3"/>
        <v>2195</v>
      </c>
      <c r="AG41" s="553"/>
      <c r="AH41" s="553"/>
      <c r="AI41" s="455"/>
    </row>
    <row r="42" spans="1:35" ht="47.25" x14ac:dyDescent="0.25">
      <c r="A42" s="311"/>
      <c r="B42" s="345"/>
      <c r="C42" s="346"/>
      <c r="D42" s="346"/>
      <c r="E42" s="347"/>
      <c r="F42" s="347"/>
      <c r="G42" s="348"/>
      <c r="H42" s="348"/>
      <c r="I42" s="348"/>
      <c r="J42" s="348"/>
      <c r="K42" s="348"/>
      <c r="L42" s="340"/>
      <c r="M42" s="348"/>
      <c r="N42" s="340"/>
      <c r="O42" s="353"/>
      <c r="P42" s="348"/>
      <c r="Q42" s="350"/>
      <c r="R42" s="354"/>
      <c r="S42" s="354"/>
      <c r="T42" s="354"/>
      <c r="U42" s="354"/>
      <c r="V42" s="354"/>
      <c r="W42" s="354"/>
      <c r="X42" s="520" t="s">
        <v>2036</v>
      </c>
      <c r="Y42" s="246" t="s">
        <v>1394</v>
      </c>
      <c r="Z42" s="235" t="s">
        <v>566</v>
      </c>
      <c r="AA42" s="235" t="s">
        <v>1181</v>
      </c>
      <c r="AB42" s="442" t="s">
        <v>1794</v>
      </c>
      <c r="AC42" s="238"/>
      <c r="AD42" s="292">
        <f t="shared" si="3"/>
        <v>2195</v>
      </c>
      <c r="AE42" s="475">
        <f t="shared" si="3"/>
        <v>2195</v>
      </c>
      <c r="AF42" s="475">
        <f t="shared" si="3"/>
        <v>2195</v>
      </c>
      <c r="AG42" s="553"/>
      <c r="AH42" s="553"/>
      <c r="AI42" s="455"/>
    </row>
    <row r="43" spans="1:35" ht="47.25" x14ac:dyDescent="0.25">
      <c r="A43" s="311"/>
      <c r="B43" s="345"/>
      <c r="C43" s="346"/>
      <c r="D43" s="346"/>
      <c r="E43" s="347"/>
      <c r="F43" s="347"/>
      <c r="G43" s="348"/>
      <c r="H43" s="348"/>
      <c r="I43" s="348"/>
      <c r="J43" s="348"/>
      <c r="K43" s="348"/>
      <c r="L43" s="340"/>
      <c r="M43" s="348"/>
      <c r="N43" s="340"/>
      <c r="O43" s="353"/>
      <c r="P43" s="348"/>
      <c r="Q43" s="350"/>
      <c r="R43" s="354"/>
      <c r="S43" s="354"/>
      <c r="T43" s="354"/>
      <c r="U43" s="354"/>
      <c r="V43" s="354"/>
      <c r="W43" s="354"/>
      <c r="X43" s="523" t="s">
        <v>2278</v>
      </c>
      <c r="Y43" s="246" t="s">
        <v>1394</v>
      </c>
      <c r="Z43" s="235" t="s">
        <v>566</v>
      </c>
      <c r="AA43" s="235" t="s">
        <v>1181</v>
      </c>
      <c r="AB43" s="249" t="s">
        <v>1796</v>
      </c>
      <c r="AC43" s="238"/>
      <c r="AD43" s="292">
        <f>AD44+AD46</f>
        <v>2195</v>
      </c>
      <c r="AE43" s="475">
        <f>AE44+AE46</f>
        <v>2195</v>
      </c>
      <c r="AF43" s="475">
        <f>AF44+AF46</f>
        <v>2195</v>
      </c>
      <c r="AG43" s="553"/>
      <c r="AH43" s="553"/>
      <c r="AI43" s="455"/>
    </row>
    <row r="44" spans="1:35" ht="47.25" x14ac:dyDescent="0.25">
      <c r="A44" s="311"/>
      <c r="B44" s="345"/>
      <c r="C44" s="346"/>
      <c r="D44" s="346"/>
      <c r="E44" s="347"/>
      <c r="F44" s="347"/>
      <c r="G44" s="348"/>
      <c r="H44" s="348"/>
      <c r="I44" s="348"/>
      <c r="J44" s="348"/>
      <c r="K44" s="348"/>
      <c r="L44" s="340"/>
      <c r="M44" s="348"/>
      <c r="N44" s="340"/>
      <c r="O44" s="353"/>
      <c r="P44" s="348"/>
      <c r="Q44" s="350"/>
      <c r="R44" s="354"/>
      <c r="S44" s="354"/>
      <c r="T44" s="354"/>
      <c r="U44" s="354"/>
      <c r="V44" s="354"/>
      <c r="W44" s="354"/>
      <c r="X44" s="519" t="s">
        <v>921</v>
      </c>
      <c r="Y44" s="246" t="s">
        <v>1394</v>
      </c>
      <c r="Z44" s="235" t="s">
        <v>566</v>
      </c>
      <c r="AA44" s="235" t="s">
        <v>1181</v>
      </c>
      <c r="AB44" s="442" t="s">
        <v>1796</v>
      </c>
      <c r="AC44" s="576">
        <v>100</v>
      </c>
      <c r="AD44" s="292">
        <f>AD45</f>
        <v>1878</v>
      </c>
      <c r="AE44" s="475">
        <f>AE45</f>
        <v>1878</v>
      </c>
      <c r="AF44" s="475">
        <f>AF45</f>
        <v>1878</v>
      </c>
      <c r="AG44" s="553"/>
      <c r="AH44" s="553"/>
      <c r="AI44" s="455"/>
    </row>
    <row r="45" spans="1:35" x14ac:dyDescent="0.25">
      <c r="A45" s="311"/>
      <c r="B45" s="345"/>
      <c r="C45" s="346"/>
      <c r="D45" s="346"/>
      <c r="E45" s="347"/>
      <c r="F45" s="347"/>
      <c r="G45" s="348"/>
      <c r="H45" s="348"/>
      <c r="I45" s="348"/>
      <c r="J45" s="348"/>
      <c r="K45" s="348"/>
      <c r="L45" s="340"/>
      <c r="M45" s="348"/>
      <c r="N45" s="340"/>
      <c r="O45" s="353"/>
      <c r="P45" s="348"/>
      <c r="Q45" s="350"/>
      <c r="R45" s="354"/>
      <c r="S45" s="354"/>
      <c r="T45" s="354"/>
      <c r="U45" s="354"/>
      <c r="V45" s="354"/>
      <c r="W45" s="354"/>
      <c r="X45" s="519" t="s">
        <v>1747</v>
      </c>
      <c r="Y45" s="246" t="s">
        <v>1394</v>
      </c>
      <c r="Z45" s="235" t="s">
        <v>566</v>
      </c>
      <c r="AA45" s="235" t="s">
        <v>1181</v>
      </c>
      <c r="AB45" s="249" t="s">
        <v>1796</v>
      </c>
      <c r="AC45" s="238">
        <v>120</v>
      </c>
      <c r="AD45" s="292">
        <v>1878</v>
      </c>
      <c r="AE45" s="475">
        <v>1878</v>
      </c>
      <c r="AF45" s="475">
        <v>1878</v>
      </c>
      <c r="AG45" s="553"/>
      <c r="AH45" s="553"/>
      <c r="AI45" s="455"/>
    </row>
    <row r="46" spans="1:35" x14ac:dyDescent="0.25">
      <c r="A46" s="311"/>
      <c r="B46" s="345"/>
      <c r="C46" s="346"/>
      <c r="D46" s="346"/>
      <c r="E46" s="347"/>
      <c r="F46" s="347"/>
      <c r="G46" s="348"/>
      <c r="H46" s="348"/>
      <c r="I46" s="348"/>
      <c r="J46" s="348"/>
      <c r="K46" s="348"/>
      <c r="L46" s="340"/>
      <c r="M46" s="348"/>
      <c r="N46" s="340"/>
      <c r="O46" s="353"/>
      <c r="P46" s="348"/>
      <c r="Q46" s="350"/>
      <c r="R46" s="354"/>
      <c r="S46" s="354"/>
      <c r="T46" s="354"/>
      <c r="U46" s="354"/>
      <c r="V46" s="354"/>
      <c r="W46" s="354"/>
      <c r="X46" s="519" t="s">
        <v>1781</v>
      </c>
      <c r="Y46" s="246" t="s">
        <v>1394</v>
      </c>
      <c r="Z46" s="235" t="s">
        <v>566</v>
      </c>
      <c r="AA46" s="235" t="s">
        <v>1181</v>
      </c>
      <c r="AB46" s="249" t="s">
        <v>1796</v>
      </c>
      <c r="AC46" s="238">
        <v>200</v>
      </c>
      <c r="AD46" s="292">
        <f>AD47</f>
        <v>317</v>
      </c>
      <c r="AE46" s="475">
        <f>AE47</f>
        <v>317</v>
      </c>
      <c r="AF46" s="475">
        <f>AF47</f>
        <v>317</v>
      </c>
      <c r="AG46" s="553"/>
      <c r="AH46" s="553"/>
      <c r="AI46" s="455"/>
    </row>
    <row r="47" spans="1:35" ht="31.5" x14ac:dyDescent="0.25">
      <c r="A47" s="311"/>
      <c r="B47" s="345"/>
      <c r="C47" s="346"/>
      <c r="D47" s="346"/>
      <c r="E47" s="347"/>
      <c r="F47" s="347"/>
      <c r="G47" s="348"/>
      <c r="H47" s="348"/>
      <c r="I47" s="348"/>
      <c r="J47" s="348"/>
      <c r="K47" s="348"/>
      <c r="L47" s="340"/>
      <c r="M47" s="348"/>
      <c r="N47" s="340"/>
      <c r="O47" s="353"/>
      <c r="P47" s="348"/>
      <c r="Q47" s="350"/>
      <c r="R47" s="354"/>
      <c r="S47" s="354"/>
      <c r="T47" s="354"/>
      <c r="U47" s="354"/>
      <c r="V47" s="354"/>
      <c r="W47" s="354"/>
      <c r="X47" s="519" t="s">
        <v>1273</v>
      </c>
      <c r="Y47" s="246" t="s">
        <v>1394</v>
      </c>
      <c r="Z47" s="235" t="s">
        <v>566</v>
      </c>
      <c r="AA47" s="235" t="s">
        <v>1181</v>
      </c>
      <c r="AB47" s="249" t="s">
        <v>1796</v>
      </c>
      <c r="AC47" s="238">
        <v>240</v>
      </c>
      <c r="AD47" s="292">
        <v>317</v>
      </c>
      <c r="AE47" s="475">
        <v>317</v>
      </c>
      <c r="AF47" s="475">
        <v>317</v>
      </c>
      <c r="AG47" s="553"/>
      <c r="AH47" s="553"/>
      <c r="AI47" s="455"/>
    </row>
    <row r="48" spans="1:35" x14ac:dyDescent="0.25">
      <c r="A48" s="355"/>
      <c r="B48" s="345"/>
      <c r="C48" s="346"/>
      <c r="D48" s="346"/>
      <c r="E48" s="346"/>
      <c r="F48" s="347"/>
      <c r="G48" s="348"/>
      <c r="H48" s="348"/>
      <c r="I48" s="348"/>
      <c r="J48" s="348"/>
      <c r="K48" s="348"/>
      <c r="L48" s="340"/>
      <c r="M48" s="348"/>
      <c r="N48" s="340"/>
      <c r="O48" s="353"/>
      <c r="P48" s="348"/>
      <c r="Q48" s="350"/>
      <c r="R48" s="354"/>
      <c r="S48" s="354"/>
      <c r="T48" s="354"/>
      <c r="U48" s="354"/>
      <c r="V48" s="354"/>
      <c r="W48" s="354"/>
      <c r="X48" s="548" t="s">
        <v>1898</v>
      </c>
      <c r="Y48" s="246" t="s">
        <v>1394</v>
      </c>
      <c r="Z48" s="235" t="s">
        <v>566</v>
      </c>
      <c r="AA48" s="235" t="s">
        <v>1181</v>
      </c>
      <c r="AB48" s="442" t="s">
        <v>1771</v>
      </c>
      <c r="AC48" s="576"/>
      <c r="AD48" s="292">
        <f t="shared" ref="AD48:AF50" si="4">AD49</f>
        <v>52059</v>
      </c>
      <c r="AE48" s="475">
        <f t="shared" si="4"/>
        <v>51993.3</v>
      </c>
      <c r="AF48" s="475">
        <f t="shared" si="4"/>
        <v>51993.3</v>
      </c>
      <c r="AG48" s="553"/>
      <c r="AH48" s="553"/>
      <c r="AI48" s="455"/>
    </row>
    <row r="49" spans="1:35" x14ac:dyDescent="0.25">
      <c r="A49" s="357"/>
      <c r="B49" s="312"/>
      <c r="C49" s="346"/>
      <c r="D49" s="346"/>
      <c r="E49" s="346"/>
      <c r="F49" s="346"/>
      <c r="G49" s="348"/>
      <c r="H49" s="300"/>
      <c r="I49" s="358"/>
      <c r="J49" s="358"/>
      <c r="K49" s="358"/>
      <c r="L49" s="340"/>
      <c r="M49" s="358"/>
      <c r="N49" s="340"/>
      <c r="O49" s="359"/>
      <c r="P49" s="348"/>
      <c r="Q49" s="350"/>
      <c r="R49" s="354"/>
      <c r="S49" s="354"/>
      <c r="T49" s="354"/>
      <c r="U49" s="354"/>
      <c r="V49" s="354"/>
      <c r="X49" s="548" t="s">
        <v>1907</v>
      </c>
      <c r="Y49" s="246" t="s">
        <v>1394</v>
      </c>
      <c r="Z49" s="235" t="s">
        <v>566</v>
      </c>
      <c r="AA49" s="235" t="s">
        <v>1181</v>
      </c>
      <c r="AB49" s="442" t="s">
        <v>1908</v>
      </c>
      <c r="AC49" s="238"/>
      <c r="AD49" s="292">
        <f t="shared" si="4"/>
        <v>52059</v>
      </c>
      <c r="AE49" s="475">
        <f t="shared" si="4"/>
        <v>51993.3</v>
      </c>
      <c r="AF49" s="475">
        <f t="shared" si="4"/>
        <v>51993.3</v>
      </c>
      <c r="AG49" s="553"/>
      <c r="AH49" s="553"/>
      <c r="AI49" s="455"/>
    </row>
    <row r="50" spans="1:35" ht="31.5" x14ac:dyDescent="0.25">
      <c r="A50" s="357"/>
      <c r="B50" s="312"/>
      <c r="C50" s="346"/>
      <c r="D50" s="346"/>
      <c r="E50" s="346"/>
      <c r="F50" s="346"/>
      <c r="G50" s="348"/>
      <c r="H50" s="300"/>
      <c r="I50" s="358"/>
      <c r="J50" s="358"/>
      <c r="K50" s="358"/>
      <c r="L50" s="340"/>
      <c r="M50" s="358"/>
      <c r="N50" s="340"/>
      <c r="O50" s="359"/>
      <c r="P50" s="348"/>
      <c r="Q50" s="350"/>
      <c r="R50" s="354"/>
      <c r="S50" s="354"/>
      <c r="T50" s="354"/>
      <c r="U50" s="354"/>
      <c r="V50" s="354"/>
      <c r="X50" s="548" t="s">
        <v>1909</v>
      </c>
      <c r="Y50" s="246" t="s">
        <v>1394</v>
      </c>
      <c r="Z50" s="235" t="s">
        <v>566</v>
      </c>
      <c r="AA50" s="235" t="s">
        <v>1181</v>
      </c>
      <c r="AB50" s="442" t="s">
        <v>1910</v>
      </c>
      <c r="AC50" s="238"/>
      <c r="AD50" s="292">
        <f t="shared" si="4"/>
        <v>52059</v>
      </c>
      <c r="AE50" s="475">
        <f t="shared" si="4"/>
        <v>51993.3</v>
      </c>
      <c r="AF50" s="475">
        <f t="shared" si="4"/>
        <v>51993.3</v>
      </c>
      <c r="AG50" s="553"/>
      <c r="AH50" s="553"/>
      <c r="AI50" s="455"/>
    </row>
    <row r="51" spans="1:35" x14ac:dyDescent="0.25">
      <c r="A51" s="357"/>
      <c r="B51" s="312"/>
      <c r="C51" s="346"/>
      <c r="D51" s="346"/>
      <c r="E51" s="346"/>
      <c r="F51" s="346"/>
      <c r="G51" s="348"/>
      <c r="H51" s="300"/>
      <c r="I51" s="358"/>
      <c r="J51" s="358"/>
      <c r="K51" s="358"/>
      <c r="L51" s="340"/>
      <c r="M51" s="358"/>
      <c r="N51" s="340"/>
      <c r="O51" s="359"/>
      <c r="P51" s="348"/>
      <c r="Q51" s="350"/>
      <c r="R51" s="354"/>
      <c r="S51" s="354"/>
      <c r="T51" s="354"/>
      <c r="U51" s="354"/>
      <c r="V51" s="354"/>
      <c r="X51" s="548" t="s">
        <v>1913</v>
      </c>
      <c r="Y51" s="246" t="s">
        <v>1394</v>
      </c>
      <c r="Z51" s="235" t="s">
        <v>566</v>
      </c>
      <c r="AA51" s="235" t="s">
        <v>1181</v>
      </c>
      <c r="AB51" s="442" t="s">
        <v>1914</v>
      </c>
      <c r="AC51" s="238"/>
      <c r="AD51" s="292">
        <f>AD52+AD59+AD62</f>
        <v>52059</v>
      </c>
      <c r="AE51" s="475">
        <f>AE52+AE59+AE62</f>
        <v>51993.3</v>
      </c>
      <c r="AF51" s="475">
        <f>AF52+AF59+AF62</f>
        <v>51993.3</v>
      </c>
      <c r="AG51" s="553"/>
      <c r="AH51" s="553"/>
      <c r="AI51" s="455"/>
    </row>
    <row r="52" spans="1:35" ht="31.5" x14ac:dyDescent="0.25">
      <c r="A52" s="357"/>
      <c r="B52" s="312"/>
      <c r="C52" s="346"/>
      <c r="D52" s="346"/>
      <c r="E52" s="346"/>
      <c r="F52" s="346"/>
      <c r="G52" s="348"/>
      <c r="H52" s="300"/>
      <c r="I52" s="358"/>
      <c r="J52" s="358"/>
      <c r="K52" s="358"/>
      <c r="L52" s="340"/>
      <c r="M52" s="358"/>
      <c r="N52" s="340"/>
      <c r="O52" s="359"/>
      <c r="P52" s="348"/>
      <c r="Q52" s="350"/>
      <c r="R52" s="354"/>
      <c r="S52" s="354"/>
      <c r="T52" s="354"/>
      <c r="U52" s="354"/>
      <c r="V52" s="354"/>
      <c r="X52" s="519" t="s">
        <v>1915</v>
      </c>
      <c r="Y52" s="577" t="s">
        <v>1394</v>
      </c>
      <c r="Z52" s="444" t="s">
        <v>566</v>
      </c>
      <c r="AA52" s="444" t="s">
        <v>1181</v>
      </c>
      <c r="AB52" s="442" t="s">
        <v>1916</v>
      </c>
      <c r="AC52" s="238"/>
      <c r="AD52" s="292">
        <f>AD55+AD57+AD53</f>
        <v>6395.9999999999991</v>
      </c>
      <c r="AE52" s="292">
        <f t="shared" ref="AE52:AF52" si="5">AE55+AE57+AE53</f>
        <v>6330.3</v>
      </c>
      <c r="AF52" s="292">
        <f t="shared" si="5"/>
        <v>6330.3</v>
      </c>
      <c r="AG52" s="553"/>
      <c r="AH52" s="553"/>
      <c r="AI52" s="455"/>
    </row>
    <row r="53" spans="1:35" ht="47.25" x14ac:dyDescent="0.25">
      <c r="A53" s="357"/>
      <c r="B53" s="312"/>
      <c r="C53" s="346"/>
      <c r="D53" s="346"/>
      <c r="E53" s="346"/>
      <c r="F53" s="346"/>
      <c r="G53" s="348"/>
      <c r="H53" s="300"/>
      <c r="I53" s="358"/>
      <c r="J53" s="358"/>
      <c r="K53" s="358"/>
      <c r="L53" s="340"/>
      <c r="M53" s="358"/>
      <c r="N53" s="340"/>
      <c r="O53" s="359"/>
      <c r="P53" s="348"/>
      <c r="Q53" s="350"/>
      <c r="R53" s="354"/>
      <c r="S53" s="354"/>
      <c r="T53" s="354"/>
      <c r="U53" s="354"/>
      <c r="V53" s="354"/>
      <c r="X53" s="519" t="s">
        <v>921</v>
      </c>
      <c r="Y53" s="246" t="s">
        <v>1394</v>
      </c>
      <c r="Z53" s="235" t="s">
        <v>566</v>
      </c>
      <c r="AA53" s="235" t="s">
        <v>1181</v>
      </c>
      <c r="AB53" s="442" t="s">
        <v>1916</v>
      </c>
      <c r="AC53" s="238">
        <v>100</v>
      </c>
      <c r="AD53" s="292">
        <f>AD54</f>
        <v>0.4</v>
      </c>
      <c r="AE53" s="292">
        <f t="shared" ref="AE53:AF53" si="6">AE54</f>
        <v>0</v>
      </c>
      <c r="AF53" s="292">
        <f t="shared" si="6"/>
        <v>0</v>
      </c>
      <c r="AG53" s="553"/>
      <c r="AH53" s="553"/>
      <c r="AI53" s="455"/>
    </row>
    <row r="54" spans="1:35" x14ac:dyDescent="0.25">
      <c r="A54" s="357"/>
      <c r="B54" s="312"/>
      <c r="C54" s="346"/>
      <c r="D54" s="346"/>
      <c r="E54" s="346"/>
      <c r="F54" s="346"/>
      <c r="G54" s="348"/>
      <c r="H54" s="300"/>
      <c r="I54" s="358"/>
      <c r="J54" s="358"/>
      <c r="K54" s="358"/>
      <c r="L54" s="340"/>
      <c r="M54" s="358"/>
      <c r="N54" s="340"/>
      <c r="O54" s="359"/>
      <c r="P54" s="348"/>
      <c r="Q54" s="350"/>
      <c r="R54" s="354"/>
      <c r="S54" s="354"/>
      <c r="T54" s="354"/>
      <c r="U54" s="354"/>
      <c r="V54" s="354"/>
      <c r="X54" s="519" t="s">
        <v>1747</v>
      </c>
      <c r="Y54" s="246" t="s">
        <v>1394</v>
      </c>
      <c r="Z54" s="235" t="s">
        <v>566</v>
      </c>
      <c r="AA54" s="235" t="s">
        <v>1181</v>
      </c>
      <c r="AB54" s="442" t="s">
        <v>1916</v>
      </c>
      <c r="AC54" s="238">
        <v>120</v>
      </c>
      <c r="AD54" s="292">
        <v>0.4</v>
      </c>
      <c r="AE54" s="475">
        <v>0</v>
      </c>
      <c r="AF54" s="475">
        <v>0</v>
      </c>
      <c r="AG54" s="553"/>
      <c r="AH54" s="553"/>
      <c r="AI54" s="455"/>
    </row>
    <row r="55" spans="1:35" x14ac:dyDescent="0.25">
      <c r="A55" s="357"/>
      <c r="B55" s="312"/>
      <c r="C55" s="346"/>
      <c r="D55" s="346"/>
      <c r="E55" s="346"/>
      <c r="F55" s="346"/>
      <c r="G55" s="348"/>
      <c r="H55" s="300"/>
      <c r="I55" s="358"/>
      <c r="J55" s="358"/>
      <c r="K55" s="358"/>
      <c r="L55" s="340"/>
      <c r="M55" s="358"/>
      <c r="N55" s="340"/>
      <c r="O55" s="359"/>
      <c r="P55" s="348"/>
      <c r="Q55" s="350"/>
      <c r="R55" s="354"/>
      <c r="S55" s="354"/>
      <c r="T55" s="354"/>
      <c r="U55" s="354"/>
      <c r="V55" s="354"/>
      <c r="X55" s="519" t="s">
        <v>1781</v>
      </c>
      <c r="Y55" s="246" t="s">
        <v>1394</v>
      </c>
      <c r="Z55" s="235" t="s">
        <v>566</v>
      </c>
      <c r="AA55" s="235" t="s">
        <v>1181</v>
      </c>
      <c r="AB55" s="442" t="s">
        <v>1916</v>
      </c>
      <c r="AC55" s="238">
        <v>200</v>
      </c>
      <c r="AD55" s="292">
        <f>AD56</f>
        <v>6392.2</v>
      </c>
      <c r="AE55" s="475">
        <f>AE56</f>
        <v>6330.3</v>
      </c>
      <c r="AF55" s="475">
        <f>AF56</f>
        <v>6330.3</v>
      </c>
      <c r="AG55" s="553"/>
      <c r="AH55" s="553"/>
      <c r="AI55" s="455"/>
    </row>
    <row r="56" spans="1:35" ht="31.5" x14ac:dyDescent="0.25">
      <c r="A56" s="357"/>
      <c r="B56" s="312"/>
      <c r="C56" s="346"/>
      <c r="D56" s="346"/>
      <c r="E56" s="346"/>
      <c r="F56" s="346"/>
      <c r="G56" s="348"/>
      <c r="H56" s="300"/>
      <c r="I56" s="358"/>
      <c r="J56" s="358"/>
      <c r="K56" s="358"/>
      <c r="L56" s="340"/>
      <c r="M56" s="358"/>
      <c r="N56" s="340"/>
      <c r="O56" s="359"/>
      <c r="P56" s="348"/>
      <c r="Q56" s="350"/>
      <c r="R56" s="354"/>
      <c r="S56" s="354"/>
      <c r="T56" s="354"/>
      <c r="U56" s="354"/>
      <c r="V56" s="354"/>
      <c r="X56" s="519" t="s">
        <v>1273</v>
      </c>
      <c r="Y56" s="246" t="s">
        <v>1394</v>
      </c>
      <c r="Z56" s="235" t="s">
        <v>566</v>
      </c>
      <c r="AA56" s="235" t="s">
        <v>1181</v>
      </c>
      <c r="AB56" s="442" t="s">
        <v>1916</v>
      </c>
      <c r="AC56" s="238">
        <v>240</v>
      </c>
      <c r="AD56" s="292">
        <f>6330.2-0.7-0.5-2.1-0.4+38+27.7</f>
        <v>6392.2</v>
      </c>
      <c r="AE56" s="475">
        <v>6330.3</v>
      </c>
      <c r="AF56" s="475">
        <v>6330.3</v>
      </c>
      <c r="AG56" s="553"/>
      <c r="AH56" s="553"/>
      <c r="AI56" s="455"/>
    </row>
    <row r="57" spans="1:35" x14ac:dyDescent="0.25">
      <c r="A57" s="357"/>
      <c r="B57" s="312"/>
      <c r="C57" s="346"/>
      <c r="D57" s="346"/>
      <c r="E57" s="346"/>
      <c r="F57" s="346"/>
      <c r="G57" s="348"/>
      <c r="H57" s="300"/>
      <c r="I57" s="358"/>
      <c r="J57" s="358"/>
      <c r="K57" s="358"/>
      <c r="L57" s="340"/>
      <c r="M57" s="358"/>
      <c r="N57" s="340"/>
      <c r="O57" s="359"/>
      <c r="P57" s="348"/>
      <c r="Q57" s="350"/>
      <c r="R57" s="354"/>
      <c r="S57" s="354"/>
      <c r="T57" s="354"/>
      <c r="U57" s="354"/>
      <c r="V57" s="354"/>
      <c r="X57" s="519" t="s">
        <v>923</v>
      </c>
      <c r="Y57" s="246" t="s">
        <v>1394</v>
      </c>
      <c r="Z57" s="235" t="s">
        <v>566</v>
      </c>
      <c r="AA57" s="235" t="s">
        <v>1181</v>
      </c>
      <c r="AB57" s="442" t="s">
        <v>1916</v>
      </c>
      <c r="AC57" s="238">
        <v>800</v>
      </c>
      <c r="AD57" s="292">
        <f>AD58</f>
        <v>3.4</v>
      </c>
      <c r="AE57" s="475">
        <f>AE58</f>
        <v>0</v>
      </c>
      <c r="AF57" s="475">
        <f>AF58</f>
        <v>0</v>
      </c>
      <c r="AG57" s="553"/>
      <c r="AH57" s="553"/>
      <c r="AI57" s="455"/>
    </row>
    <row r="58" spans="1:35" x14ac:dyDescent="0.25">
      <c r="A58" s="357"/>
      <c r="B58" s="312"/>
      <c r="C58" s="346"/>
      <c r="D58" s="346"/>
      <c r="E58" s="346"/>
      <c r="F58" s="346"/>
      <c r="G58" s="348"/>
      <c r="H58" s="300"/>
      <c r="I58" s="358"/>
      <c r="J58" s="358"/>
      <c r="K58" s="358"/>
      <c r="L58" s="340"/>
      <c r="M58" s="358"/>
      <c r="N58" s="340"/>
      <c r="O58" s="359"/>
      <c r="P58" s="348"/>
      <c r="Q58" s="350"/>
      <c r="R58" s="354"/>
      <c r="S58" s="354"/>
      <c r="T58" s="354"/>
      <c r="U58" s="354"/>
      <c r="V58" s="354"/>
      <c r="X58" s="519" t="s">
        <v>1319</v>
      </c>
      <c r="Y58" s="246" t="s">
        <v>1394</v>
      </c>
      <c r="Z58" s="235" t="s">
        <v>566</v>
      </c>
      <c r="AA58" s="235" t="s">
        <v>1181</v>
      </c>
      <c r="AB58" s="442" t="s">
        <v>1916</v>
      </c>
      <c r="AC58" s="238">
        <v>850</v>
      </c>
      <c r="AD58" s="292">
        <f>0.1+0.7+0.5+2.1</f>
        <v>3.4</v>
      </c>
      <c r="AE58" s="475">
        <v>0</v>
      </c>
      <c r="AF58" s="475">
        <v>0</v>
      </c>
      <c r="AG58" s="553"/>
      <c r="AH58" s="553"/>
      <c r="AI58" s="455"/>
    </row>
    <row r="59" spans="1:35" ht="31.5" x14ac:dyDescent="0.25">
      <c r="A59" s="357"/>
      <c r="B59" s="312"/>
      <c r="C59" s="346"/>
      <c r="D59" s="346"/>
      <c r="E59" s="346"/>
      <c r="F59" s="346"/>
      <c r="G59" s="348"/>
      <c r="H59" s="300"/>
      <c r="I59" s="358"/>
      <c r="J59" s="358"/>
      <c r="K59" s="358"/>
      <c r="L59" s="340"/>
      <c r="M59" s="358"/>
      <c r="N59" s="340"/>
      <c r="O59" s="359"/>
      <c r="P59" s="348"/>
      <c r="Q59" s="350"/>
      <c r="R59" s="354"/>
      <c r="S59" s="354"/>
      <c r="T59" s="354"/>
      <c r="U59" s="354"/>
      <c r="V59" s="354"/>
      <c r="X59" s="519" t="s">
        <v>1917</v>
      </c>
      <c r="Y59" s="246" t="s">
        <v>1394</v>
      </c>
      <c r="Z59" s="235" t="s">
        <v>566</v>
      </c>
      <c r="AA59" s="235" t="s">
        <v>1181</v>
      </c>
      <c r="AB59" s="442" t="s">
        <v>1918</v>
      </c>
      <c r="AC59" s="576"/>
      <c r="AD59" s="292">
        <f t="shared" ref="AD59:AF60" si="7">AD60</f>
        <v>15039.3</v>
      </c>
      <c r="AE59" s="475">
        <f t="shared" si="7"/>
        <v>15039.3</v>
      </c>
      <c r="AF59" s="475">
        <f t="shared" si="7"/>
        <v>15039.3</v>
      </c>
      <c r="AG59" s="553"/>
      <c r="AH59" s="553"/>
      <c r="AI59" s="455"/>
    </row>
    <row r="60" spans="1:35" ht="47.25" x14ac:dyDescent="0.25">
      <c r="A60" s="357"/>
      <c r="B60" s="312"/>
      <c r="C60" s="346"/>
      <c r="D60" s="346"/>
      <c r="E60" s="346"/>
      <c r="F60" s="346"/>
      <c r="G60" s="348"/>
      <c r="H60" s="300"/>
      <c r="I60" s="358"/>
      <c r="J60" s="358"/>
      <c r="K60" s="358"/>
      <c r="L60" s="340"/>
      <c r="M60" s="358"/>
      <c r="N60" s="340"/>
      <c r="O60" s="359"/>
      <c r="P60" s="348"/>
      <c r="Q60" s="350"/>
      <c r="R60" s="354"/>
      <c r="S60" s="354"/>
      <c r="T60" s="354"/>
      <c r="U60" s="354"/>
      <c r="V60" s="354"/>
      <c r="X60" s="519" t="s">
        <v>921</v>
      </c>
      <c r="Y60" s="246" t="s">
        <v>1394</v>
      </c>
      <c r="Z60" s="235" t="s">
        <v>566</v>
      </c>
      <c r="AA60" s="235" t="s">
        <v>1181</v>
      </c>
      <c r="AB60" s="442" t="s">
        <v>1918</v>
      </c>
      <c r="AC60" s="576">
        <v>100</v>
      </c>
      <c r="AD60" s="292">
        <f t="shared" si="7"/>
        <v>15039.3</v>
      </c>
      <c r="AE60" s="475">
        <f t="shared" si="7"/>
        <v>15039.3</v>
      </c>
      <c r="AF60" s="475">
        <f t="shared" si="7"/>
        <v>15039.3</v>
      </c>
      <c r="AG60" s="553"/>
      <c r="AH60" s="553"/>
      <c r="AI60" s="455"/>
    </row>
    <row r="61" spans="1:35" x14ac:dyDescent="0.25">
      <c r="A61" s="357"/>
      <c r="B61" s="312"/>
      <c r="C61" s="346"/>
      <c r="D61" s="346"/>
      <c r="E61" s="346"/>
      <c r="F61" s="346"/>
      <c r="G61" s="348"/>
      <c r="H61" s="300"/>
      <c r="I61" s="358"/>
      <c r="J61" s="358"/>
      <c r="K61" s="358"/>
      <c r="L61" s="340"/>
      <c r="M61" s="358"/>
      <c r="N61" s="340"/>
      <c r="O61" s="359"/>
      <c r="P61" s="348"/>
      <c r="Q61" s="350"/>
      <c r="R61" s="354"/>
      <c r="S61" s="354"/>
      <c r="T61" s="354"/>
      <c r="U61" s="354"/>
      <c r="V61" s="354"/>
      <c r="X61" s="519" t="s">
        <v>1747</v>
      </c>
      <c r="Y61" s="246" t="s">
        <v>1394</v>
      </c>
      <c r="Z61" s="235" t="s">
        <v>566</v>
      </c>
      <c r="AA61" s="235" t="s">
        <v>1181</v>
      </c>
      <c r="AB61" s="442" t="s">
        <v>1918</v>
      </c>
      <c r="AC61" s="238">
        <v>120</v>
      </c>
      <c r="AD61" s="292">
        <v>15039.3</v>
      </c>
      <c r="AE61" s="475">
        <v>15039.3</v>
      </c>
      <c r="AF61" s="475">
        <v>15039.3</v>
      </c>
      <c r="AG61" s="553"/>
      <c r="AH61" s="553"/>
      <c r="AI61" s="455"/>
    </row>
    <row r="62" spans="1:35" ht="31.5" x14ac:dyDescent="0.25">
      <c r="A62" s="357"/>
      <c r="B62" s="312"/>
      <c r="C62" s="346"/>
      <c r="D62" s="346"/>
      <c r="E62" s="346"/>
      <c r="F62" s="346"/>
      <c r="G62" s="348"/>
      <c r="H62" s="300"/>
      <c r="I62" s="358"/>
      <c r="J62" s="358"/>
      <c r="K62" s="358"/>
      <c r="L62" s="340"/>
      <c r="M62" s="358"/>
      <c r="N62" s="340"/>
      <c r="O62" s="359"/>
      <c r="P62" s="348"/>
      <c r="Q62" s="350"/>
      <c r="R62" s="354"/>
      <c r="S62" s="354"/>
      <c r="T62" s="354"/>
      <c r="U62" s="354"/>
      <c r="V62" s="354"/>
      <c r="X62" s="519" t="s">
        <v>1919</v>
      </c>
      <c r="Y62" s="246" t="s">
        <v>1394</v>
      </c>
      <c r="Z62" s="235" t="s">
        <v>566</v>
      </c>
      <c r="AA62" s="235" t="s">
        <v>1181</v>
      </c>
      <c r="AB62" s="442" t="s">
        <v>1920</v>
      </c>
      <c r="AC62" s="576"/>
      <c r="AD62" s="292">
        <f t="shared" ref="AD62:AF63" si="8">AD63</f>
        <v>30623.7</v>
      </c>
      <c r="AE62" s="475">
        <f t="shared" si="8"/>
        <v>30623.7</v>
      </c>
      <c r="AF62" s="475">
        <f t="shared" si="8"/>
        <v>30623.7</v>
      </c>
      <c r="AG62" s="553"/>
      <c r="AH62" s="553"/>
      <c r="AI62" s="455"/>
    </row>
    <row r="63" spans="1:35" ht="47.25" x14ac:dyDescent="0.25">
      <c r="A63" s="357"/>
      <c r="B63" s="312"/>
      <c r="C63" s="346"/>
      <c r="D63" s="346"/>
      <c r="E63" s="346"/>
      <c r="F63" s="346"/>
      <c r="G63" s="348"/>
      <c r="H63" s="300"/>
      <c r="I63" s="358"/>
      <c r="J63" s="358"/>
      <c r="K63" s="358"/>
      <c r="L63" s="340"/>
      <c r="M63" s="358"/>
      <c r="N63" s="340"/>
      <c r="O63" s="359"/>
      <c r="P63" s="348"/>
      <c r="Q63" s="350"/>
      <c r="R63" s="354"/>
      <c r="S63" s="354"/>
      <c r="T63" s="354"/>
      <c r="U63" s="354"/>
      <c r="V63" s="354"/>
      <c r="X63" s="519" t="s">
        <v>921</v>
      </c>
      <c r="Y63" s="246" t="s">
        <v>1394</v>
      </c>
      <c r="Z63" s="235" t="s">
        <v>566</v>
      </c>
      <c r="AA63" s="235" t="s">
        <v>1181</v>
      </c>
      <c r="AB63" s="442" t="s">
        <v>1920</v>
      </c>
      <c r="AC63" s="576">
        <v>100</v>
      </c>
      <c r="AD63" s="292">
        <f t="shared" si="8"/>
        <v>30623.7</v>
      </c>
      <c r="AE63" s="475">
        <f t="shared" si="8"/>
        <v>30623.7</v>
      </c>
      <c r="AF63" s="475">
        <f t="shared" si="8"/>
        <v>30623.7</v>
      </c>
      <c r="AG63" s="553"/>
      <c r="AH63" s="553"/>
      <c r="AI63" s="455"/>
    </row>
    <row r="64" spans="1:35" x14ac:dyDescent="0.25">
      <c r="A64" s="357"/>
      <c r="B64" s="312"/>
      <c r="C64" s="346"/>
      <c r="D64" s="346"/>
      <c r="E64" s="346"/>
      <c r="F64" s="346"/>
      <c r="G64" s="348"/>
      <c r="H64" s="300"/>
      <c r="I64" s="358"/>
      <c r="J64" s="358"/>
      <c r="K64" s="358"/>
      <c r="L64" s="340"/>
      <c r="M64" s="358"/>
      <c r="N64" s="340"/>
      <c r="O64" s="359"/>
      <c r="P64" s="348"/>
      <c r="Q64" s="350"/>
      <c r="R64" s="354"/>
      <c r="S64" s="354"/>
      <c r="T64" s="354"/>
      <c r="U64" s="354"/>
      <c r="V64" s="354"/>
      <c r="X64" s="519" t="s">
        <v>1747</v>
      </c>
      <c r="Y64" s="246" t="s">
        <v>1394</v>
      </c>
      <c r="Z64" s="235" t="s">
        <v>566</v>
      </c>
      <c r="AA64" s="235" t="s">
        <v>1181</v>
      </c>
      <c r="AB64" s="442" t="s">
        <v>1920</v>
      </c>
      <c r="AC64" s="238">
        <v>120</v>
      </c>
      <c r="AD64" s="292">
        <v>30623.7</v>
      </c>
      <c r="AE64" s="475">
        <v>30623.7</v>
      </c>
      <c r="AF64" s="475">
        <v>30623.7</v>
      </c>
      <c r="AG64" s="553"/>
      <c r="AH64" s="553"/>
      <c r="AI64" s="455"/>
    </row>
    <row r="65" spans="1:35" ht="31.5" x14ac:dyDescent="0.25">
      <c r="A65" s="357"/>
      <c r="B65" s="312"/>
      <c r="C65" s="346"/>
      <c r="D65" s="346"/>
      <c r="E65" s="346"/>
      <c r="F65" s="346"/>
      <c r="G65" s="348"/>
      <c r="H65" s="300"/>
      <c r="I65" s="358"/>
      <c r="J65" s="358"/>
      <c r="K65" s="358"/>
      <c r="L65" s="340"/>
      <c r="M65" s="358"/>
      <c r="N65" s="340"/>
      <c r="O65" s="359"/>
      <c r="P65" s="348"/>
      <c r="Q65" s="350"/>
      <c r="R65" s="354"/>
      <c r="S65" s="354"/>
      <c r="T65" s="354"/>
      <c r="U65" s="354"/>
      <c r="V65" s="354"/>
      <c r="X65" s="520" t="s">
        <v>2102</v>
      </c>
      <c r="Y65" s="246" t="s">
        <v>1394</v>
      </c>
      <c r="Z65" s="235" t="s">
        <v>566</v>
      </c>
      <c r="AA65" s="235" t="s">
        <v>1181</v>
      </c>
      <c r="AB65" s="442" t="s">
        <v>1805</v>
      </c>
      <c r="AC65" s="238"/>
      <c r="AD65" s="292">
        <f t="shared" ref="AD65:AF67" si="9">AD66</f>
        <v>8336</v>
      </c>
      <c r="AE65" s="475">
        <f t="shared" si="9"/>
        <v>3332</v>
      </c>
      <c r="AF65" s="475">
        <f t="shared" si="9"/>
        <v>3332</v>
      </c>
      <c r="AG65" s="553"/>
      <c r="AH65" s="553"/>
      <c r="AI65" s="455"/>
    </row>
    <row r="66" spans="1:35" ht="47.25" x14ac:dyDescent="0.25">
      <c r="A66" s="357"/>
      <c r="B66" s="312"/>
      <c r="C66" s="346"/>
      <c r="D66" s="346"/>
      <c r="E66" s="346"/>
      <c r="F66" s="346"/>
      <c r="G66" s="348"/>
      <c r="H66" s="300"/>
      <c r="I66" s="358"/>
      <c r="J66" s="358"/>
      <c r="K66" s="358"/>
      <c r="L66" s="340"/>
      <c r="M66" s="358"/>
      <c r="N66" s="340"/>
      <c r="O66" s="359"/>
      <c r="P66" s="348"/>
      <c r="Q66" s="350"/>
      <c r="R66" s="354"/>
      <c r="S66" s="354"/>
      <c r="T66" s="354"/>
      <c r="U66" s="354"/>
      <c r="V66" s="354"/>
      <c r="X66" s="520" t="s">
        <v>2103</v>
      </c>
      <c r="Y66" s="246" t="s">
        <v>1394</v>
      </c>
      <c r="Z66" s="235" t="s">
        <v>566</v>
      </c>
      <c r="AA66" s="235" t="s">
        <v>1181</v>
      </c>
      <c r="AB66" s="442" t="s">
        <v>2104</v>
      </c>
      <c r="AC66" s="238"/>
      <c r="AD66" s="292">
        <f t="shared" si="9"/>
        <v>8336</v>
      </c>
      <c r="AE66" s="475">
        <f t="shared" si="9"/>
        <v>3332</v>
      </c>
      <c r="AF66" s="475">
        <f t="shared" si="9"/>
        <v>3332</v>
      </c>
      <c r="AG66" s="553"/>
      <c r="AH66" s="553"/>
      <c r="AI66" s="455"/>
    </row>
    <row r="67" spans="1:35" ht="31.5" x14ac:dyDescent="0.25">
      <c r="A67" s="357"/>
      <c r="B67" s="312"/>
      <c r="C67" s="346"/>
      <c r="D67" s="346"/>
      <c r="E67" s="346"/>
      <c r="F67" s="346"/>
      <c r="G67" s="348"/>
      <c r="H67" s="300"/>
      <c r="I67" s="358"/>
      <c r="J67" s="358"/>
      <c r="K67" s="358"/>
      <c r="L67" s="340"/>
      <c r="M67" s="358"/>
      <c r="N67" s="340"/>
      <c r="O67" s="359"/>
      <c r="P67" s="348"/>
      <c r="Q67" s="350"/>
      <c r="R67" s="354"/>
      <c r="S67" s="354"/>
      <c r="T67" s="354"/>
      <c r="U67" s="354"/>
      <c r="V67" s="354"/>
      <c r="X67" s="528" t="s">
        <v>2105</v>
      </c>
      <c r="Y67" s="246" t="s">
        <v>1394</v>
      </c>
      <c r="Z67" s="235" t="s">
        <v>566</v>
      </c>
      <c r="AA67" s="235" t="s">
        <v>1181</v>
      </c>
      <c r="AB67" s="442" t="s">
        <v>2106</v>
      </c>
      <c r="AC67" s="238"/>
      <c r="AD67" s="292">
        <f t="shared" si="9"/>
        <v>8336</v>
      </c>
      <c r="AE67" s="475">
        <f t="shared" si="9"/>
        <v>3332</v>
      </c>
      <c r="AF67" s="475">
        <f t="shared" si="9"/>
        <v>3332</v>
      </c>
      <c r="AG67" s="553"/>
      <c r="AH67" s="553"/>
      <c r="AI67" s="455"/>
    </row>
    <row r="68" spans="1:35" ht="94.5" x14ac:dyDescent="0.25">
      <c r="A68" s="357"/>
      <c r="B68" s="312"/>
      <c r="C68" s="346"/>
      <c r="D68" s="346"/>
      <c r="E68" s="346"/>
      <c r="F68" s="346"/>
      <c r="G68" s="348"/>
      <c r="H68" s="300"/>
      <c r="I68" s="358"/>
      <c r="J68" s="358"/>
      <c r="K68" s="358"/>
      <c r="L68" s="340"/>
      <c r="M68" s="358"/>
      <c r="N68" s="340"/>
      <c r="O68" s="359"/>
      <c r="P68" s="348"/>
      <c r="Q68" s="350"/>
      <c r="R68" s="354"/>
      <c r="S68" s="354"/>
      <c r="T68" s="354"/>
      <c r="U68" s="354"/>
      <c r="V68" s="354"/>
      <c r="X68" s="528" t="s">
        <v>2242</v>
      </c>
      <c r="Y68" s="246" t="s">
        <v>1394</v>
      </c>
      <c r="Z68" s="235" t="s">
        <v>566</v>
      </c>
      <c r="AA68" s="235" t="s">
        <v>1181</v>
      </c>
      <c r="AB68" s="471" t="s">
        <v>2107</v>
      </c>
      <c r="AC68" s="238"/>
      <c r="AD68" s="292">
        <f t="shared" ref="AD68:AF69" si="10">AD69</f>
        <v>8336</v>
      </c>
      <c r="AE68" s="475">
        <f t="shared" si="10"/>
        <v>3332</v>
      </c>
      <c r="AF68" s="475">
        <f t="shared" si="10"/>
        <v>3332</v>
      </c>
      <c r="AG68" s="553"/>
      <c r="AH68" s="553"/>
      <c r="AI68" s="455"/>
    </row>
    <row r="69" spans="1:35" x14ac:dyDescent="0.25">
      <c r="A69" s="357"/>
      <c r="B69" s="312"/>
      <c r="C69" s="346"/>
      <c r="D69" s="346"/>
      <c r="E69" s="346"/>
      <c r="F69" s="346"/>
      <c r="G69" s="348"/>
      <c r="H69" s="300"/>
      <c r="I69" s="358"/>
      <c r="J69" s="358"/>
      <c r="K69" s="358"/>
      <c r="L69" s="340"/>
      <c r="M69" s="358"/>
      <c r="N69" s="340"/>
      <c r="O69" s="359"/>
      <c r="P69" s="348"/>
      <c r="Q69" s="350"/>
      <c r="R69" s="354"/>
      <c r="S69" s="354"/>
      <c r="T69" s="354"/>
      <c r="U69" s="354"/>
      <c r="V69" s="354"/>
      <c r="X69" s="519" t="s">
        <v>1781</v>
      </c>
      <c r="Y69" s="246" t="s">
        <v>1394</v>
      </c>
      <c r="Z69" s="235" t="s">
        <v>566</v>
      </c>
      <c r="AA69" s="235" t="s">
        <v>1181</v>
      </c>
      <c r="AB69" s="471" t="s">
        <v>2107</v>
      </c>
      <c r="AC69" s="238">
        <v>200</v>
      </c>
      <c r="AD69" s="292">
        <f t="shared" si="10"/>
        <v>8336</v>
      </c>
      <c r="AE69" s="475">
        <f t="shared" si="10"/>
        <v>3332</v>
      </c>
      <c r="AF69" s="475">
        <f t="shared" si="10"/>
        <v>3332</v>
      </c>
      <c r="AG69" s="553"/>
      <c r="AH69" s="553"/>
      <c r="AI69" s="455"/>
    </row>
    <row r="70" spans="1:35" ht="31.5" x14ac:dyDescent="0.25">
      <c r="A70" s="357"/>
      <c r="B70" s="312"/>
      <c r="C70" s="346"/>
      <c r="D70" s="346"/>
      <c r="E70" s="346"/>
      <c r="F70" s="346"/>
      <c r="G70" s="348"/>
      <c r="H70" s="300"/>
      <c r="I70" s="358"/>
      <c r="J70" s="358"/>
      <c r="K70" s="358"/>
      <c r="L70" s="340"/>
      <c r="M70" s="358"/>
      <c r="N70" s="340"/>
      <c r="O70" s="359"/>
      <c r="P70" s="348"/>
      <c r="Q70" s="350"/>
      <c r="R70" s="354"/>
      <c r="S70" s="354"/>
      <c r="T70" s="354"/>
      <c r="U70" s="354"/>
      <c r="V70" s="354"/>
      <c r="X70" s="519" t="s">
        <v>1273</v>
      </c>
      <c r="Y70" s="246" t="s">
        <v>1394</v>
      </c>
      <c r="Z70" s="235" t="s">
        <v>566</v>
      </c>
      <c r="AA70" s="235" t="s">
        <v>1181</v>
      </c>
      <c r="AB70" s="471" t="s">
        <v>2107</v>
      </c>
      <c r="AC70" s="238">
        <v>240</v>
      </c>
      <c r="AD70" s="292">
        <f>46+3286+2714-300+1790+650-600+750</f>
        <v>8336</v>
      </c>
      <c r="AE70" s="475">
        <f>46+3286</f>
        <v>3332</v>
      </c>
      <c r="AF70" s="475">
        <f>46+3286</f>
        <v>3332</v>
      </c>
      <c r="AG70" s="553"/>
      <c r="AH70" s="553"/>
      <c r="AI70" s="455"/>
    </row>
    <row r="71" spans="1:35" x14ac:dyDescent="0.25">
      <c r="A71" s="311"/>
      <c r="B71" s="345"/>
      <c r="C71" s="346"/>
      <c r="D71" s="346"/>
      <c r="E71" s="346"/>
      <c r="F71" s="346"/>
      <c r="G71" s="348"/>
      <c r="H71" s="348"/>
      <c r="I71" s="348"/>
      <c r="J71" s="348"/>
      <c r="K71" s="348"/>
      <c r="L71" s="340"/>
      <c r="M71" s="348"/>
      <c r="N71" s="340"/>
      <c r="O71" s="349"/>
      <c r="P71" s="348"/>
      <c r="Q71" s="350"/>
      <c r="R71" s="354"/>
      <c r="S71" s="354"/>
      <c r="T71" s="354"/>
      <c r="U71" s="354"/>
      <c r="V71" s="354"/>
      <c r="W71" s="354"/>
      <c r="X71" s="519" t="s">
        <v>39</v>
      </c>
      <c r="Y71" s="246" t="s">
        <v>1394</v>
      </c>
      <c r="Z71" s="235" t="s">
        <v>566</v>
      </c>
      <c r="AA71" s="235">
        <v>11</v>
      </c>
      <c r="AB71" s="270"/>
      <c r="AC71" s="238"/>
      <c r="AD71" s="292">
        <f>AD72</f>
        <v>3058.7999999999993</v>
      </c>
      <c r="AE71" s="475">
        <f>AE72</f>
        <v>1050.9000000000001</v>
      </c>
      <c r="AF71" s="475">
        <f>AF72</f>
        <v>6929</v>
      </c>
      <c r="AG71" s="553"/>
      <c r="AH71" s="553"/>
      <c r="AI71" s="455"/>
    </row>
    <row r="72" spans="1:35" x14ac:dyDescent="0.25">
      <c r="A72" s="357"/>
      <c r="B72" s="345"/>
      <c r="C72" s="346"/>
      <c r="D72" s="346"/>
      <c r="E72" s="346"/>
      <c r="F72" s="346"/>
      <c r="G72" s="348"/>
      <c r="H72" s="300"/>
      <c r="I72" s="358"/>
      <c r="J72" s="358"/>
      <c r="K72" s="358"/>
      <c r="L72" s="340"/>
      <c r="M72" s="358"/>
      <c r="N72" s="340"/>
      <c r="O72" s="349"/>
      <c r="P72" s="303"/>
      <c r="Q72" s="350"/>
      <c r="R72" s="351"/>
      <c r="S72" s="354"/>
      <c r="T72" s="354"/>
      <c r="U72" s="354"/>
      <c r="V72" s="354"/>
      <c r="X72" s="519" t="s">
        <v>2194</v>
      </c>
      <c r="Y72" s="246" t="s">
        <v>1394</v>
      </c>
      <c r="Z72" s="235" t="s">
        <v>566</v>
      </c>
      <c r="AA72" s="235">
        <v>11</v>
      </c>
      <c r="AB72" s="249" t="s">
        <v>1815</v>
      </c>
      <c r="AC72" s="238"/>
      <c r="AD72" s="292">
        <f>AD73+AD76</f>
        <v>3058.7999999999993</v>
      </c>
      <c r="AE72" s="475">
        <f>AE73+AE76</f>
        <v>1050.9000000000001</v>
      </c>
      <c r="AF72" s="475">
        <f>AF73+AF76</f>
        <v>6929</v>
      </c>
      <c r="AG72" s="553"/>
      <c r="AH72" s="553"/>
      <c r="AI72" s="455"/>
    </row>
    <row r="73" spans="1:35" x14ac:dyDescent="0.25">
      <c r="A73" s="357"/>
      <c r="B73" s="345"/>
      <c r="C73" s="346"/>
      <c r="D73" s="346"/>
      <c r="E73" s="346"/>
      <c r="F73" s="346"/>
      <c r="G73" s="348"/>
      <c r="H73" s="300"/>
      <c r="I73" s="358"/>
      <c r="J73" s="358"/>
      <c r="K73" s="358"/>
      <c r="L73" s="340"/>
      <c r="M73" s="358"/>
      <c r="N73" s="340"/>
      <c r="O73" s="349"/>
      <c r="P73" s="303"/>
      <c r="Q73" s="350"/>
      <c r="R73" s="351"/>
      <c r="S73" s="354"/>
      <c r="T73" s="354"/>
      <c r="U73" s="354"/>
      <c r="V73" s="354"/>
      <c r="X73" s="531" t="s">
        <v>2131</v>
      </c>
      <c r="Y73" s="246" t="s">
        <v>1394</v>
      </c>
      <c r="Z73" s="235" t="s">
        <v>566</v>
      </c>
      <c r="AA73" s="235">
        <v>11</v>
      </c>
      <c r="AB73" s="442" t="s">
        <v>2132</v>
      </c>
      <c r="AC73" s="238"/>
      <c r="AD73" s="292">
        <f t="shared" ref="AD73:AF74" si="11">AD74</f>
        <v>1647.7999999999993</v>
      </c>
      <c r="AE73" s="475">
        <f t="shared" si="11"/>
        <v>0</v>
      </c>
      <c r="AF73" s="475">
        <f t="shared" si="11"/>
        <v>5518</v>
      </c>
      <c r="AG73" s="553"/>
      <c r="AH73" s="553"/>
      <c r="AI73" s="455"/>
    </row>
    <row r="74" spans="1:35" x14ac:dyDescent="0.25">
      <c r="A74" s="357"/>
      <c r="B74" s="345"/>
      <c r="C74" s="346"/>
      <c r="D74" s="346"/>
      <c r="E74" s="346"/>
      <c r="F74" s="346"/>
      <c r="G74" s="348"/>
      <c r="H74" s="300"/>
      <c r="I74" s="358"/>
      <c r="J74" s="358"/>
      <c r="K74" s="358"/>
      <c r="L74" s="340"/>
      <c r="M74" s="358"/>
      <c r="N74" s="340"/>
      <c r="O74" s="349"/>
      <c r="P74" s="303"/>
      <c r="Q74" s="350"/>
      <c r="R74" s="351"/>
      <c r="S74" s="354"/>
      <c r="T74" s="354"/>
      <c r="U74" s="354"/>
      <c r="V74" s="354"/>
      <c r="X74" s="519" t="s">
        <v>923</v>
      </c>
      <c r="Y74" s="246" t="s">
        <v>1394</v>
      </c>
      <c r="Z74" s="235" t="s">
        <v>566</v>
      </c>
      <c r="AA74" s="235">
        <v>11</v>
      </c>
      <c r="AB74" s="442" t="s">
        <v>2132</v>
      </c>
      <c r="AC74" s="238">
        <v>800</v>
      </c>
      <c r="AD74" s="292">
        <f t="shared" si="11"/>
        <v>1647.7999999999993</v>
      </c>
      <c r="AE74" s="475">
        <f t="shared" si="11"/>
        <v>0</v>
      </c>
      <c r="AF74" s="475">
        <f t="shared" si="11"/>
        <v>5518</v>
      </c>
      <c r="AG74" s="553"/>
      <c r="AH74" s="553"/>
      <c r="AI74" s="455"/>
    </row>
    <row r="75" spans="1:35" x14ac:dyDescent="0.25">
      <c r="A75" s="357"/>
      <c r="B75" s="345"/>
      <c r="C75" s="346"/>
      <c r="D75" s="346"/>
      <c r="E75" s="346"/>
      <c r="F75" s="346"/>
      <c r="G75" s="348"/>
      <c r="H75" s="300"/>
      <c r="I75" s="358"/>
      <c r="J75" s="358"/>
      <c r="K75" s="358"/>
      <c r="L75" s="340"/>
      <c r="M75" s="358"/>
      <c r="N75" s="340"/>
      <c r="O75" s="349"/>
      <c r="P75" s="303"/>
      <c r="Q75" s="350"/>
      <c r="R75" s="351"/>
      <c r="S75" s="354"/>
      <c r="T75" s="354"/>
      <c r="U75" s="354"/>
      <c r="V75" s="354"/>
      <c r="X75" s="519" t="s">
        <v>1814</v>
      </c>
      <c r="Y75" s="246" t="s">
        <v>1394</v>
      </c>
      <c r="Z75" s="235" t="s">
        <v>566</v>
      </c>
      <c r="AA75" s="235">
        <v>11</v>
      </c>
      <c r="AB75" s="442" t="s">
        <v>2132</v>
      </c>
      <c r="AC75" s="238">
        <v>870</v>
      </c>
      <c r="AD75" s="292">
        <f>13673.8-8025.7-2126.8-1556.9-247.6-69</f>
        <v>1647.7999999999993</v>
      </c>
      <c r="AE75" s="475">
        <v>0</v>
      </c>
      <c r="AF75" s="475">
        <f>5354.7+2827.2-1683-1293+322-9.9</f>
        <v>5518</v>
      </c>
      <c r="AG75" s="553"/>
      <c r="AH75" s="553"/>
      <c r="AI75" s="455"/>
    </row>
    <row r="76" spans="1:35" ht="31.5" x14ac:dyDescent="0.25">
      <c r="A76" s="357"/>
      <c r="B76" s="345"/>
      <c r="C76" s="346"/>
      <c r="D76" s="346"/>
      <c r="E76" s="346"/>
      <c r="F76" s="346"/>
      <c r="G76" s="348"/>
      <c r="H76" s="300"/>
      <c r="I76" s="358"/>
      <c r="J76" s="358"/>
      <c r="K76" s="358"/>
      <c r="L76" s="340"/>
      <c r="M76" s="358"/>
      <c r="N76" s="340"/>
      <c r="O76" s="349"/>
      <c r="P76" s="303"/>
      <c r="Q76" s="350"/>
      <c r="R76" s="351"/>
      <c r="S76" s="354"/>
      <c r="T76" s="354"/>
      <c r="U76" s="354"/>
      <c r="V76" s="354"/>
      <c r="X76" s="531" t="s">
        <v>2157</v>
      </c>
      <c r="Y76" s="246" t="s">
        <v>1394</v>
      </c>
      <c r="Z76" s="235" t="s">
        <v>566</v>
      </c>
      <c r="AA76" s="235">
        <v>11</v>
      </c>
      <c r="AB76" s="442" t="s">
        <v>2158</v>
      </c>
      <c r="AC76" s="238"/>
      <c r="AD76" s="292">
        <f t="shared" ref="AD76:AF77" si="12">AD77</f>
        <v>1411</v>
      </c>
      <c r="AE76" s="475">
        <f t="shared" si="12"/>
        <v>1050.9000000000001</v>
      </c>
      <c r="AF76" s="475">
        <f t="shared" si="12"/>
        <v>1411</v>
      </c>
      <c r="AG76" s="553"/>
      <c r="AH76" s="553"/>
      <c r="AI76" s="455"/>
    </row>
    <row r="77" spans="1:35" x14ac:dyDescent="0.25">
      <c r="A77" s="357"/>
      <c r="B77" s="345"/>
      <c r="C77" s="346"/>
      <c r="D77" s="346"/>
      <c r="E77" s="346"/>
      <c r="F77" s="346"/>
      <c r="G77" s="348"/>
      <c r="H77" s="300"/>
      <c r="I77" s="358"/>
      <c r="J77" s="358"/>
      <c r="K77" s="358"/>
      <c r="L77" s="340"/>
      <c r="M77" s="358"/>
      <c r="N77" s="340"/>
      <c r="O77" s="349"/>
      <c r="P77" s="303"/>
      <c r="Q77" s="350"/>
      <c r="R77" s="351"/>
      <c r="S77" s="354"/>
      <c r="T77" s="354"/>
      <c r="U77" s="354"/>
      <c r="V77" s="354"/>
      <c r="X77" s="519" t="s">
        <v>923</v>
      </c>
      <c r="Y77" s="246" t="s">
        <v>1394</v>
      </c>
      <c r="Z77" s="235" t="s">
        <v>566</v>
      </c>
      <c r="AA77" s="235">
        <v>11</v>
      </c>
      <c r="AB77" s="442" t="s">
        <v>2158</v>
      </c>
      <c r="AC77" s="238">
        <v>800</v>
      </c>
      <c r="AD77" s="292">
        <f t="shared" si="12"/>
        <v>1411</v>
      </c>
      <c r="AE77" s="475">
        <f t="shared" si="12"/>
        <v>1050.9000000000001</v>
      </c>
      <c r="AF77" s="475">
        <f t="shared" si="12"/>
        <v>1411</v>
      </c>
      <c r="AG77" s="553"/>
      <c r="AH77" s="553"/>
      <c r="AI77" s="455"/>
    </row>
    <row r="78" spans="1:35" x14ac:dyDescent="0.25">
      <c r="A78" s="357"/>
      <c r="B78" s="345"/>
      <c r="C78" s="346"/>
      <c r="D78" s="346"/>
      <c r="E78" s="346"/>
      <c r="F78" s="346"/>
      <c r="G78" s="348"/>
      <c r="H78" s="300"/>
      <c r="I78" s="358"/>
      <c r="J78" s="358"/>
      <c r="K78" s="358"/>
      <c r="L78" s="340"/>
      <c r="M78" s="358"/>
      <c r="N78" s="340"/>
      <c r="O78" s="349"/>
      <c r="P78" s="303"/>
      <c r="Q78" s="350"/>
      <c r="R78" s="351"/>
      <c r="S78" s="354"/>
      <c r="T78" s="354"/>
      <c r="U78" s="354"/>
      <c r="V78" s="354"/>
      <c r="X78" s="519" t="s">
        <v>1814</v>
      </c>
      <c r="Y78" s="246" t="s">
        <v>1394</v>
      </c>
      <c r="Z78" s="235" t="s">
        <v>566</v>
      </c>
      <c r="AA78" s="235">
        <v>11</v>
      </c>
      <c r="AB78" s="442" t="s">
        <v>2158</v>
      </c>
      <c r="AC78" s="238">
        <v>870</v>
      </c>
      <c r="AD78" s="292">
        <v>1411</v>
      </c>
      <c r="AE78" s="475">
        <f>1411-360.1</f>
        <v>1050.9000000000001</v>
      </c>
      <c r="AF78" s="475">
        <v>1411</v>
      </c>
      <c r="AG78" s="553"/>
      <c r="AH78" s="553"/>
      <c r="AI78" s="455"/>
    </row>
    <row r="79" spans="1:35" x14ac:dyDescent="0.25">
      <c r="A79" s="311"/>
      <c r="B79" s="345"/>
      <c r="C79" s="346"/>
      <c r="D79" s="346"/>
      <c r="E79" s="346"/>
      <c r="F79" s="346"/>
      <c r="G79" s="348"/>
      <c r="H79" s="348"/>
      <c r="I79" s="348"/>
      <c r="J79" s="348"/>
      <c r="K79" s="348"/>
      <c r="L79" s="340"/>
      <c r="M79" s="348"/>
      <c r="N79" s="340"/>
      <c r="O79" s="349"/>
      <c r="P79" s="348"/>
      <c r="Q79" s="350"/>
      <c r="R79" s="354"/>
      <c r="S79" s="354"/>
      <c r="T79" s="354"/>
      <c r="U79" s="354"/>
      <c r="V79" s="354"/>
      <c r="W79" s="354"/>
      <c r="X79" s="519" t="s">
        <v>287</v>
      </c>
      <c r="Y79" s="246" t="s">
        <v>1394</v>
      </c>
      <c r="Z79" s="235" t="s">
        <v>566</v>
      </c>
      <c r="AA79" s="235">
        <v>13</v>
      </c>
      <c r="AB79" s="270"/>
      <c r="AC79" s="238"/>
      <c r="AD79" s="292">
        <f>AD86+AD124+AD139+AD149+AD80</f>
        <v>108454.1</v>
      </c>
      <c r="AE79" s="475">
        <f>AE86+AE124+AE139+AE149+AE80</f>
        <v>75042.8</v>
      </c>
      <c r="AF79" s="475">
        <f>AF86+AF124+AF139+AF149+AF80</f>
        <v>67209.399999999994</v>
      </c>
      <c r="AG79" s="553"/>
      <c r="AH79" s="553"/>
      <c r="AI79" s="455"/>
    </row>
    <row r="80" spans="1:35" x14ac:dyDescent="0.25">
      <c r="A80" s="311"/>
      <c r="B80" s="345"/>
      <c r="C80" s="346"/>
      <c r="D80" s="346"/>
      <c r="E80" s="346"/>
      <c r="F80" s="346"/>
      <c r="G80" s="348"/>
      <c r="H80" s="348"/>
      <c r="I80" s="348"/>
      <c r="J80" s="348"/>
      <c r="K80" s="348"/>
      <c r="L80" s="340"/>
      <c r="M80" s="348"/>
      <c r="N80" s="340"/>
      <c r="O80" s="349"/>
      <c r="P80" s="348"/>
      <c r="Q80" s="350"/>
      <c r="R80" s="354"/>
      <c r="S80" s="354"/>
      <c r="T80" s="354"/>
      <c r="U80" s="354"/>
      <c r="V80" s="354"/>
      <c r="W80" s="354"/>
      <c r="X80" s="520" t="s">
        <v>1998</v>
      </c>
      <c r="Y80" s="246" t="s">
        <v>1394</v>
      </c>
      <c r="Z80" s="235" t="s">
        <v>566</v>
      </c>
      <c r="AA80" s="235">
        <v>13</v>
      </c>
      <c r="AB80" s="442" t="s">
        <v>1774</v>
      </c>
      <c r="AC80" s="238"/>
      <c r="AD80" s="292">
        <f t="shared" ref="AD80:AF81" si="13">AD81</f>
        <v>0</v>
      </c>
      <c r="AE80" s="475">
        <f t="shared" si="13"/>
        <v>154</v>
      </c>
      <c r="AF80" s="475">
        <f t="shared" si="13"/>
        <v>0</v>
      </c>
      <c r="AG80" s="553"/>
      <c r="AH80" s="553"/>
      <c r="AI80" s="455"/>
    </row>
    <row r="81" spans="1:35" x14ac:dyDescent="0.25">
      <c r="A81" s="311"/>
      <c r="B81" s="345"/>
      <c r="C81" s="346"/>
      <c r="D81" s="346"/>
      <c r="E81" s="346"/>
      <c r="F81" s="346"/>
      <c r="G81" s="348"/>
      <c r="H81" s="348"/>
      <c r="I81" s="348"/>
      <c r="J81" s="348"/>
      <c r="K81" s="348"/>
      <c r="L81" s="340"/>
      <c r="M81" s="348"/>
      <c r="N81" s="340"/>
      <c r="O81" s="349"/>
      <c r="P81" s="348"/>
      <c r="Q81" s="350"/>
      <c r="R81" s="354"/>
      <c r="S81" s="354"/>
      <c r="T81" s="354"/>
      <c r="U81" s="354"/>
      <c r="V81" s="354"/>
      <c r="W81" s="354"/>
      <c r="X81" s="517" t="s">
        <v>2337</v>
      </c>
      <c r="Y81" s="246" t="s">
        <v>1394</v>
      </c>
      <c r="Z81" s="235" t="s">
        <v>566</v>
      </c>
      <c r="AA81" s="235">
        <v>13</v>
      </c>
      <c r="AB81" s="442" t="s">
        <v>1801</v>
      </c>
      <c r="AC81" s="238"/>
      <c r="AD81" s="292">
        <f t="shared" si="13"/>
        <v>0</v>
      </c>
      <c r="AE81" s="475">
        <f t="shared" si="13"/>
        <v>154</v>
      </c>
      <c r="AF81" s="475">
        <f t="shared" si="13"/>
        <v>0</v>
      </c>
      <c r="AG81" s="553"/>
      <c r="AH81" s="553"/>
      <c r="AI81" s="455"/>
    </row>
    <row r="82" spans="1:35" ht="31.5" x14ac:dyDescent="0.25">
      <c r="A82" s="311"/>
      <c r="B82" s="345"/>
      <c r="C82" s="346"/>
      <c r="D82" s="346"/>
      <c r="E82" s="347"/>
      <c r="F82" s="347"/>
      <c r="G82" s="348"/>
      <c r="H82" s="348"/>
      <c r="I82" s="348"/>
      <c r="J82" s="348"/>
      <c r="K82" s="348"/>
      <c r="L82" s="340"/>
      <c r="M82" s="348"/>
      <c r="N82" s="340"/>
      <c r="O82" s="353"/>
      <c r="P82" s="348"/>
      <c r="Q82" s="350"/>
      <c r="R82" s="354"/>
      <c r="S82" s="354"/>
      <c r="T82" s="354"/>
      <c r="U82" s="354"/>
      <c r="V82" s="354"/>
      <c r="W82" s="354"/>
      <c r="X82" s="521" t="s">
        <v>2014</v>
      </c>
      <c r="Y82" s="246" t="s">
        <v>1394</v>
      </c>
      <c r="Z82" s="235" t="s">
        <v>566</v>
      </c>
      <c r="AA82" s="235">
        <v>13</v>
      </c>
      <c r="AB82" s="442" t="s">
        <v>1802</v>
      </c>
      <c r="AC82" s="576"/>
      <c r="AD82" s="292">
        <f t="shared" ref="AD82:AF84" si="14">AD83</f>
        <v>0</v>
      </c>
      <c r="AE82" s="475">
        <f t="shared" si="14"/>
        <v>154</v>
      </c>
      <c r="AF82" s="475">
        <f t="shared" si="14"/>
        <v>0</v>
      </c>
      <c r="AG82" s="553"/>
      <c r="AH82" s="553"/>
      <c r="AI82" s="455"/>
    </row>
    <row r="83" spans="1:35" x14ac:dyDescent="0.25">
      <c r="A83" s="311"/>
      <c r="B83" s="345"/>
      <c r="C83" s="346"/>
      <c r="D83" s="346"/>
      <c r="E83" s="347"/>
      <c r="F83" s="347"/>
      <c r="G83" s="348"/>
      <c r="H83" s="348"/>
      <c r="I83" s="348"/>
      <c r="J83" s="348"/>
      <c r="K83" s="348"/>
      <c r="L83" s="340"/>
      <c r="M83" s="348"/>
      <c r="N83" s="340"/>
      <c r="O83" s="353"/>
      <c r="P83" s="348"/>
      <c r="Q83" s="350"/>
      <c r="R83" s="354"/>
      <c r="S83" s="354"/>
      <c r="T83" s="354"/>
      <c r="U83" s="354"/>
      <c r="V83" s="354"/>
      <c r="W83" s="354"/>
      <c r="X83" s="521" t="s">
        <v>2015</v>
      </c>
      <c r="Y83" s="246" t="s">
        <v>1394</v>
      </c>
      <c r="Z83" s="235" t="s">
        <v>566</v>
      </c>
      <c r="AA83" s="235">
        <v>13</v>
      </c>
      <c r="AB83" s="442" t="s">
        <v>2016</v>
      </c>
      <c r="AC83" s="576"/>
      <c r="AD83" s="292">
        <f t="shared" si="14"/>
        <v>0</v>
      </c>
      <c r="AE83" s="475">
        <f t="shared" si="14"/>
        <v>154</v>
      </c>
      <c r="AF83" s="475">
        <f t="shared" si="14"/>
        <v>0</v>
      </c>
      <c r="AG83" s="553"/>
      <c r="AH83" s="553"/>
      <c r="AI83" s="455"/>
    </row>
    <row r="84" spans="1:35" x14ac:dyDescent="0.25">
      <c r="A84" s="311"/>
      <c r="B84" s="345"/>
      <c r="C84" s="346"/>
      <c r="D84" s="346"/>
      <c r="E84" s="347"/>
      <c r="F84" s="347"/>
      <c r="G84" s="348"/>
      <c r="H84" s="348"/>
      <c r="I84" s="348"/>
      <c r="J84" s="348"/>
      <c r="K84" s="348"/>
      <c r="L84" s="340"/>
      <c r="M84" s="348"/>
      <c r="N84" s="340"/>
      <c r="O84" s="353"/>
      <c r="P84" s="348"/>
      <c r="Q84" s="350"/>
      <c r="R84" s="354"/>
      <c r="S84" s="354"/>
      <c r="T84" s="354"/>
      <c r="U84" s="354"/>
      <c r="V84" s="354"/>
      <c r="W84" s="354"/>
      <c r="X84" s="519" t="s">
        <v>1781</v>
      </c>
      <c r="Y84" s="246" t="s">
        <v>1394</v>
      </c>
      <c r="Z84" s="235" t="s">
        <v>566</v>
      </c>
      <c r="AA84" s="235">
        <v>13</v>
      </c>
      <c r="AB84" s="442" t="s">
        <v>2016</v>
      </c>
      <c r="AC84" s="238">
        <v>200</v>
      </c>
      <c r="AD84" s="292">
        <f t="shared" si="14"/>
        <v>0</v>
      </c>
      <c r="AE84" s="475">
        <f t="shared" si="14"/>
        <v>154</v>
      </c>
      <c r="AF84" s="475">
        <f t="shared" si="14"/>
        <v>0</v>
      </c>
      <c r="AG84" s="553"/>
      <c r="AH84" s="553"/>
      <c r="AI84" s="455"/>
    </row>
    <row r="85" spans="1:35" ht="31.5" x14ac:dyDescent="0.25">
      <c r="A85" s="311"/>
      <c r="B85" s="345"/>
      <c r="C85" s="346"/>
      <c r="D85" s="346"/>
      <c r="E85" s="347"/>
      <c r="F85" s="347"/>
      <c r="G85" s="348"/>
      <c r="H85" s="348"/>
      <c r="I85" s="348"/>
      <c r="J85" s="348"/>
      <c r="K85" s="348"/>
      <c r="L85" s="340"/>
      <c r="M85" s="348"/>
      <c r="N85" s="340"/>
      <c r="O85" s="353"/>
      <c r="P85" s="348"/>
      <c r="Q85" s="350"/>
      <c r="R85" s="354"/>
      <c r="S85" s="354"/>
      <c r="T85" s="354"/>
      <c r="U85" s="354"/>
      <c r="V85" s="354"/>
      <c r="W85" s="354"/>
      <c r="X85" s="519" t="s">
        <v>1273</v>
      </c>
      <c r="Y85" s="246" t="s">
        <v>1394</v>
      </c>
      <c r="Z85" s="235" t="s">
        <v>566</v>
      </c>
      <c r="AA85" s="235">
        <v>13</v>
      </c>
      <c r="AB85" s="442" t="s">
        <v>2016</v>
      </c>
      <c r="AC85" s="238">
        <v>240</v>
      </c>
      <c r="AD85" s="292">
        <v>0</v>
      </c>
      <c r="AE85" s="475">
        <v>154</v>
      </c>
      <c r="AF85" s="475">
        <v>0</v>
      </c>
      <c r="AG85" s="553"/>
      <c r="AH85" s="553"/>
      <c r="AI85" s="455"/>
    </row>
    <row r="86" spans="1:35" x14ac:dyDescent="0.25">
      <c r="A86" s="360"/>
      <c r="B86" s="345"/>
      <c r="C86" s="346"/>
      <c r="D86" s="346"/>
      <c r="E86" s="347"/>
      <c r="F86" s="346"/>
      <c r="G86" s="346"/>
      <c r="H86" s="361"/>
      <c r="I86" s="358"/>
      <c r="J86" s="358"/>
      <c r="K86" s="358"/>
      <c r="L86" s="340"/>
      <c r="M86" s="358"/>
      <c r="N86" s="340"/>
      <c r="O86" s="349"/>
      <c r="P86" s="303"/>
      <c r="Q86" s="350"/>
      <c r="R86" s="351"/>
      <c r="S86" s="354"/>
      <c r="T86" s="354"/>
      <c r="U86" s="354"/>
      <c r="V86" s="354"/>
      <c r="X86" s="548" t="s">
        <v>1898</v>
      </c>
      <c r="Y86" s="246" t="s">
        <v>1394</v>
      </c>
      <c r="Z86" s="235" t="s">
        <v>566</v>
      </c>
      <c r="AA86" s="235">
        <v>13</v>
      </c>
      <c r="AB86" s="442" t="s">
        <v>1771</v>
      </c>
      <c r="AC86" s="238"/>
      <c r="AD86" s="292">
        <f>AD87+AD97</f>
        <v>71365.8</v>
      </c>
      <c r="AE86" s="475">
        <f>AE87+AE97</f>
        <v>48044.3</v>
      </c>
      <c r="AF86" s="475">
        <f>AF87+AF97</f>
        <v>40748.9</v>
      </c>
      <c r="AG86" s="553"/>
      <c r="AH86" s="553"/>
      <c r="AI86" s="455"/>
    </row>
    <row r="87" spans="1:35" x14ac:dyDescent="0.25">
      <c r="A87" s="360"/>
      <c r="B87" s="345"/>
      <c r="C87" s="346"/>
      <c r="D87" s="346"/>
      <c r="E87" s="347"/>
      <c r="F87" s="346"/>
      <c r="G87" s="346"/>
      <c r="H87" s="361"/>
      <c r="I87" s="358"/>
      <c r="J87" s="358"/>
      <c r="K87" s="358"/>
      <c r="L87" s="340"/>
      <c r="M87" s="358"/>
      <c r="N87" s="340"/>
      <c r="O87" s="349"/>
      <c r="P87" s="303"/>
      <c r="Q87" s="350"/>
      <c r="R87" s="351"/>
      <c r="S87" s="354"/>
      <c r="T87" s="354"/>
      <c r="U87" s="354"/>
      <c r="V87" s="354"/>
      <c r="X87" s="548" t="s">
        <v>1893</v>
      </c>
      <c r="Y87" s="246" t="s">
        <v>1394</v>
      </c>
      <c r="Z87" s="235" t="s">
        <v>566</v>
      </c>
      <c r="AA87" s="235">
        <v>13</v>
      </c>
      <c r="AB87" s="442" t="s">
        <v>1772</v>
      </c>
      <c r="AC87" s="238"/>
      <c r="AD87" s="292">
        <f t="shared" ref="AD87:AF88" si="15">AD88</f>
        <v>8892.4</v>
      </c>
      <c r="AE87" s="475">
        <f t="shared" si="15"/>
        <v>7352</v>
      </c>
      <c r="AF87" s="475">
        <f t="shared" si="15"/>
        <v>10056.6</v>
      </c>
      <c r="AG87" s="553"/>
      <c r="AH87" s="553"/>
      <c r="AI87" s="455"/>
    </row>
    <row r="88" spans="1:35" ht="31.5" x14ac:dyDescent="0.25">
      <c r="A88" s="360"/>
      <c r="B88" s="345"/>
      <c r="C88" s="346"/>
      <c r="D88" s="346"/>
      <c r="E88" s="347"/>
      <c r="F88" s="346"/>
      <c r="G88" s="346"/>
      <c r="H88" s="361"/>
      <c r="I88" s="358"/>
      <c r="J88" s="358"/>
      <c r="K88" s="358"/>
      <c r="L88" s="340"/>
      <c r="M88" s="358"/>
      <c r="N88" s="340"/>
      <c r="O88" s="349"/>
      <c r="P88" s="303"/>
      <c r="Q88" s="350"/>
      <c r="R88" s="351"/>
      <c r="S88" s="354"/>
      <c r="T88" s="354"/>
      <c r="U88" s="354"/>
      <c r="V88" s="354"/>
      <c r="X88" s="529" t="s">
        <v>1894</v>
      </c>
      <c r="Y88" s="246" t="s">
        <v>1394</v>
      </c>
      <c r="Z88" s="235" t="s">
        <v>566</v>
      </c>
      <c r="AA88" s="235">
        <v>13</v>
      </c>
      <c r="AB88" s="442" t="s">
        <v>1895</v>
      </c>
      <c r="AC88" s="238"/>
      <c r="AD88" s="292">
        <f t="shared" si="15"/>
        <v>8892.4</v>
      </c>
      <c r="AE88" s="475">
        <f t="shared" si="15"/>
        <v>7352</v>
      </c>
      <c r="AF88" s="475">
        <f t="shared" si="15"/>
        <v>10056.6</v>
      </c>
      <c r="AG88" s="553"/>
      <c r="AH88" s="553"/>
      <c r="AI88" s="455"/>
    </row>
    <row r="89" spans="1:35" ht="31.5" x14ac:dyDescent="0.25">
      <c r="A89" s="360"/>
      <c r="B89" s="345"/>
      <c r="C89" s="346"/>
      <c r="D89" s="346"/>
      <c r="E89" s="347"/>
      <c r="F89" s="346"/>
      <c r="G89" s="346"/>
      <c r="H89" s="361"/>
      <c r="I89" s="358"/>
      <c r="J89" s="358"/>
      <c r="K89" s="358"/>
      <c r="L89" s="340"/>
      <c r="M89" s="358"/>
      <c r="N89" s="340"/>
      <c r="O89" s="349"/>
      <c r="P89" s="303"/>
      <c r="Q89" s="350"/>
      <c r="R89" s="351"/>
      <c r="S89" s="354"/>
      <c r="T89" s="354"/>
      <c r="U89" s="354"/>
      <c r="V89" s="354"/>
      <c r="X89" s="531" t="s">
        <v>1896</v>
      </c>
      <c r="Y89" s="246" t="s">
        <v>1394</v>
      </c>
      <c r="Z89" s="235" t="s">
        <v>566</v>
      </c>
      <c r="AA89" s="235">
        <v>13</v>
      </c>
      <c r="AB89" s="442" t="s">
        <v>1897</v>
      </c>
      <c r="AC89" s="576"/>
      <c r="AD89" s="292">
        <f>AD95+AD90+AD92</f>
        <v>8892.4</v>
      </c>
      <c r="AE89" s="475">
        <f>AE95+AE90+AE92</f>
        <v>7352</v>
      </c>
      <c r="AF89" s="475">
        <f>AF95+AF90+AF92</f>
        <v>10056.6</v>
      </c>
      <c r="AG89" s="553"/>
      <c r="AH89" s="553"/>
      <c r="AI89" s="455"/>
    </row>
    <row r="90" spans="1:35" x14ac:dyDescent="0.25">
      <c r="A90" s="360"/>
      <c r="B90" s="345"/>
      <c r="C90" s="346"/>
      <c r="D90" s="346"/>
      <c r="E90" s="347"/>
      <c r="F90" s="346"/>
      <c r="G90" s="346"/>
      <c r="H90" s="361"/>
      <c r="I90" s="358"/>
      <c r="J90" s="358"/>
      <c r="K90" s="358"/>
      <c r="L90" s="340"/>
      <c r="M90" s="358"/>
      <c r="N90" s="340"/>
      <c r="O90" s="349"/>
      <c r="P90" s="303"/>
      <c r="Q90" s="350"/>
      <c r="R90" s="351"/>
      <c r="S90" s="354"/>
      <c r="T90" s="354"/>
      <c r="U90" s="354"/>
      <c r="V90" s="354"/>
      <c r="X90" s="519" t="s">
        <v>1781</v>
      </c>
      <c r="Y90" s="246" t="s">
        <v>1394</v>
      </c>
      <c r="Z90" s="235" t="s">
        <v>566</v>
      </c>
      <c r="AA90" s="235">
        <v>13</v>
      </c>
      <c r="AB90" s="442" t="s">
        <v>1897</v>
      </c>
      <c r="AC90" s="238">
        <v>200</v>
      </c>
      <c r="AD90" s="292">
        <f>AD91</f>
        <v>60</v>
      </c>
      <c r="AE90" s="475">
        <f>AE91</f>
        <v>60</v>
      </c>
      <c r="AF90" s="475">
        <f>AF91</f>
        <v>60</v>
      </c>
      <c r="AG90" s="553"/>
      <c r="AH90" s="553"/>
      <c r="AI90" s="455"/>
    </row>
    <row r="91" spans="1:35" ht="31.5" x14ac:dyDescent="0.25">
      <c r="A91" s="360"/>
      <c r="B91" s="345"/>
      <c r="C91" s="346"/>
      <c r="D91" s="346"/>
      <c r="E91" s="347"/>
      <c r="F91" s="346"/>
      <c r="G91" s="346"/>
      <c r="H91" s="361"/>
      <c r="I91" s="358"/>
      <c r="J91" s="358"/>
      <c r="K91" s="358"/>
      <c r="L91" s="340"/>
      <c r="M91" s="358"/>
      <c r="N91" s="340"/>
      <c r="O91" s="349"/>
      <c r="P91" s="303"/>
      <c r="Q91" s="350"/>
      <c r="R91" s="351"/>
      <c r="S91" s="354"/>
      <c r="T91" s="354"/>
      <c r="U91" s="354"/>
      <c r="V91" s="354"/>
      <c r="X91" s="519" t="s">
        <v>1273</v>
      </c>
      <c r="Y91" s="246" t="s">
        <v>1394</v>
      </c>
      <c r="Z91" s="235" t="s">
        <v>566</v>
      </c>
      <c r="AA91" s="235">
        <v>13</v>
      </c>
      <c r="AB91" s="442" t="s">
        <v>1897</v>
      </c>
      <c r="AC91" s="238">
        <v>240</v>
      </c>
      <c r="AD91" s="292">
        <f>240-180</f>
        <v>60</v>
      </c>
      <c r="AE91" s="475">
        <f>240-180</f>
        <v>60</v>
      </c>
      <c r="AF91" s="475">
        <f>240-180</f>
        <v>60</v>
      </c>
      <c r="AG91" s="553"/>
      <c r="AH91" s="553"/>
      <c r="AI91" s="455"/>
    </row>
    <row r="92" spans="1:35" x14ac:dyDescent="0.25">
      <c r="A92" s="360"/>
      <c r="B92" s="345"/>
      <c r="C92" s="346"/>
      <c r="D92" s="346"/>
      <c r="E92" s="347"/>
      <c r="F92" s="346"/>
      <c r="G92" s="346"/>
      <c r="H92" s="361"/>
      <c r="I92" s="358"/>
      <c r="J92" s="358"/>
      <c r="K92" s="358"/>
      <c r="L92" s="340"/>
      <c r="M92" s="358"/>
      <c r="N92" s="340"/>
      <c r="O92" s="349"/>
      <c r="P92" s="303"/>
      <c r="Q92" s="350"/>
      <c r="R92" s="351"/>
      <c r="S92" s="354"/>
      <c r="T92" s="354"/>
      <c r="U92" s="354"/>
      <c r="V92" s="354"/>
      <c r="X92" s="519" t="s">
        <v>1754</v>
      </c>
      <c r="Y92" s="246" t="s">
        <v>1394</v>
      </c>
      <c r="Z92" s="235" t="s">
        <v>566</v>
      </c>
      <c r="AA92" s="235">
        <v>13</v>
      </c>
      <c r="AB92" s="442" t="s">
        <v>1897</v>
      </c>
      <c r="AC92" s="238">
        <v>300</v>
      </c>
      <c r="AD92" s="292">
        <f>AD93+AD94</f>
        <v>2832.4</v>
      </c>
      <c r="AE92" s="475">
        <f>AE93+AE94</f>
        <v>2292</v>
      </c>
      <c r="AF92" s="475">
        <f>AF93+AF94</f>
        <v>2292</v>
      </c>
      <c r="AG92" s="553"/>
      <c r="AH92" s="553"/>
      <c r="AI92" s="455"/>
    </row>
    <row r="93" spans="1:35" x14ac:dyDescent="0.25">
      <c r="A93" s="360"/>
      <c r="B93" s="345"/>
      <c r="C93" s="346"/>
      <c r="D93" s="346"/>
      <c r="E93" s="347"/>
      <c r="F93" s="346"/>
      <c r="G93" s="346"/>
      <c r="H93" s="361"/>
      <c r="I93" s="358"/>
      <c r="J93" s="358"/>
      <c r="K93" s="358"/>
      <c r="L93" s="340"/>
      <c r="M93" s="358"/>
      <c r="N93" s="340"/>
      <c r="O93" s="349"/>
      <c r="P93" s="303"/>
      <c r="Q93" s="350"/>
      <c r="R93" s="351"/>
      <c r="S93" s="354"/>
      <c r="T93" s="354"/>
      <c r="U93" s="354"/>
      <c r="V93" s="354"/>
      <c r="X93" s="519" t="s">
        <v>1804</v>
      </c>
      <c r="Y93" s="246" t="s">
        <v>1394</v>
      </c>
      <c r="Z93" s="235" t="s">
        <v>566</v>
      </c>
      <c r="AA93" s="235">
        <v>13</v>
      </c>
      <c r="AB93" s="442" t="s">
        <v>1897</v>
      </c>
      <c r="AC93" s="238">
        <v>310</v>
      </c>
      <c r="AD93" s="292">
        <f>2112+540.4</f>
        <v>2652.4</v>
      </c>
      <c r="AE93" s="475">
        <v>2112</v>
      </c>
      <c r="AF93" s="475">
        <v>2112</v>
      </c>
      <c r="AG93" s="553"/>
      <c r="AH93" s="553"/>
      <c r="AI93" s="455"/>
    </row>
    <row r="94" spans="1:35" x14ac:dyDescent="0.25">
      <c r="A94" s="360"/>
      <c r="B94" s="345"/>
      <c r="C94" s="346"/>
      <c r="D94" s="346"/>
      <c r="E94" s="347"/>
      <c r="F94" s="346"/>
      <c r="G94" s="346"/>
      <c r="H94" s="361"/>
      <c r="I94" s="358"/>
      <c r="J94" s="358"/>
      <c r="K94" s="358"/>
      <c r="L94" s="340"/>
      <c r="M94" s="358"/>
      <c r="N94" s="340"/>
      <c r="O94" s="349"/>
      <c r="P94" s="303"/>
      <c r="Q94" s="350"/>
      <c r="R94" s="351"/>
      <c r="S94" s="354"/>
      <c r="T94" s="354"/>
      <c r="U94" s="354"/>
      <c r="V94" s="354"/>
      <c r="X94" s="519" t="s">
        <v>868</v>
      </c>
      <c r="Y94" s="246" t="s">
        <v>1394</v>
      </c>
      <c r="Z94" s="235" t="s">
        <v>566</v>
      </c>
      <c r="AA94" s="235">
        <v>13</v>
      </c>
      <c r="AB94" s="442" t="s">
        <v>1897</v>
      </c>
      <c r="AC94" s="238">
        <v>320</v>
      </c>
      <c r="AD94" s="292">
        <v>180</v>
      </c>
      <c r="AE94" s="475">
        <v>180</v>
      </c>
      <c r="AF94" s="475">
        <v>180</v>
      </c>
      <c r="AG94" s="553"/>
      <c r="AH94" s="553"/>
      <c r="AI94" s="455"/>
    </row>
    <row r="95" spans="1:35" ht="31.5" x14ac:dyDescent="0.25">
      <c r="A95" s="360"/>
      <c r="B95" s="345"/>
      <c r="C95" s="346"/>
      <c r="D95" s="346"/>
      <c r="E95" s="347"/>
      <c r="F95" s="346"/>
      <c r="G95" s="346"/>
      <c r="H95" s="361"/>
      <c r="I95" s="358"/>
      <c r="J95" s="358"/>
      <c r="K95" s="358"/>
      <c r="L95" s="340"/>
      <c r="M95" s="358"/>
      <c r="N95" s="340"/>
      <c r="O95" s="349"/>
      <c r="P95" s="303"/>
      <c r="Q95" s="350"/>
      <c r="R95" s="351"/>
      <c r="S95" s="354"/>
      <c r="T95" s="354"/>
      <c r="U95" s="354"/>
      <c r="V95" s="354"/>
      <c r="X95" s="519" t="s">
        <v>1342</v>
      </c>
      <c r="Y95" s="246" t="s">
        <v>1394</v>
      </c>
      <c r="Z95" s="235" t="s">
        <v>566</v>
      </c>
      <c r="AA95" s="235">
        <v>13</v>
      </c>
      <c r="AB95" s="442" t="s">
        <v>1897</v>
      </c>
      <c r="AC95" s="238">
        <v>600</v>
      </c>
      <c r="AD95" s="292">
        <f>AD96</f>
        <v>6000</v>
      </c>
      <c r="AE95" s="475">
        <f>AE96</f>
        <v>5000</v>
      </c>
      <c r="AF95" s="475">
        <f>AF96</f>
        <v>7704.6</v>
      </c>
      <c r="AG95" s="553"/>
      <c r="AH95" s="553"/>
      <c r="AI95" s="455"/>
    </row>
    <row r="96" spans="1:35" x14ac:dyDescent="0.25">
      <c r="A96" s="360"/>
      <c r="B96" s="345"/>
      <c r="C96" s="346"/>
      <c r="D96" s="346"/>
      <c r="E96" s="347"/>
      <c r="F96" s="346"/>
      <c r="G96" s="346"/>
      <c r="H96" s="361"/>
      <c r="I96" s="358"/>
      <c r="J96" s="358"/>
      <c r="K96" s="358"/>
      <c r="L96" s="340"/>
      <c r="M96" s="358"/>
      <c r="N96" s="340"/>
      <c r="O96" s="349"/>
      <c r="P96" s="303"/>
      <c r="Q96" s="350"/>
      <c r="R96" s="351"/>
      <c r="S96" s="354"/>
      <c r="T96" s="354"/>
      <c r="U96" s="354"/>
      <c r="V96" s="354"/>
      <c r="X96" s="519" t="s">
        <v>1343</v>
      </c>
      <c r="Y96" s="246" t="s">
        <v>1394</v>
      </c>
      <c r="Z96" s="235" t="s">
        <v>566</v>
      </c>
      <c r="AA96" s="235">
        <v>13</v>
      </c>
      <c r="AB96" s="442" t="s">
        <v>1897</v>
      </c>
      <c r="AC96" s="238">
        <v>610</v>
      </c>
      <c r="AD96" s="292">
        <f>5000+1000</f>
        <v>6000</v>
      </c>
      <c r="AE96" s="475">
        <v>5000</v>
      </c>
      <c r="AF96" s="475">
        <v>7704.6</v>
      </c>
      <c r="AG96" s="553"/>
      <c r="AH96" s="553"/>
      <c r="AI96" s="455"/>
    </row>
    <row r="97" spans="1:35" x14ac:dyDescent="0.25">
      <c r="A97" s="360"/>
      <c r="B97" s="345"/>
      <c r="C97" s="346"/>
      <c r="D97" s="346"/>
      <c r="E97" s="347"/>
      <c r="F97" s="346"/>
      <c r="G97" s="346"/>
      <c r="H97" s="361"/>
      <c r="I97" s="358"/>
      <c r="J97" s="358"/>
      <c r="K97" s="358"/>
      <c r="L97" s="340"/>
      <c r="M97" s="358"/>
      <c r="N97" s="340"/>
      <c r="O97" s="349"/>
      <c r="P97" s="303"/>
      <c r="Q97" s="350"/>
      <c r="R97" s="351"/>
      <c r="S97" s="354"/>
      <c r="T97" s="354"/>
      <c r="U97" s="354"/>
      <c r="V97" s="354"/>
      <c r="X97" s="548" t="s">
        <v>1907</v>
      </c>
      <c r="Y97" s="246" t="s">
        <v>1394</v>
      </c>
      <c r="Z97" s="235" t="s">
        <v>566</v>
      </c>
      <c r="AA97" s="235">
        <v>13</v>
      </c>
      <c r="AB97" s="442" t="s">
        <v>1908</v>
      </c>
      <c r="AC97" s="238"/>
      <c r="AD97" s="292">
        <f>AD98</f>
        <v>62473.4</v>
      </c>
      <c r="AE97" s="475">
        <f>AE98</f>
        <v>40692.300000000003</v>
      </c>
      <c r="AF97" s="475">
        <f>AF98</f>
        <v>30692.300000000003</v>
      </c>
      <c r="AG97" s="553"/>
      <c r="AH97" s="553"/>
      <c r="AI97" s="455"/>
    </row>
    <row r="98" spans="1:35" ht="31.5" x14ac:dyDescent="0.25">
      <c r="A98" s="360"/>
      <c r="B98" s="345"/>
      <c r="C98" s="346"/>
      <c r="D98" s="346"/>
      <c r="E98" s="347"/>
      <c r="F98" s="346"/>
      <c r="G98" s="346"/>
      <c r="H98" s="361"/>
      <c r="I98" s="358"/>
      <c r="J98" s="358"/>
      <c r="K98" s="358"/>
      <c r="L98" s="340"/>
      <c r="M98" s="358"/>
      <c r="N98" s="340"/>
      <c r="O98" s="349"/>
      <c r="P98" s="303"/>
      <c r="Q98" s="350"/>
      <c r="R98" s="351"/>
      <c r="S98" s="354"/>
      <c r="T98" s="354"/>
      <c r="U98" s="354"/>
      <c r="V98" s="354"/>
      <c r="X98" s="548" t="s">
        <v>1909</v>
      </c>
      <c r="Y98" s="246" t="s">
        <v>1394</v>
      </c>
      <c r="Z98" s="235" t="s">
        <v>566</v>
      </c>
      <c r="AA98" s="235">
        <v>13</v>
      </c>
      <c r="AB98" s="442" t="s">
        <v>1910</v>
      </c>
      <c r="AC98" s="238"/>
      <c r="AD98" s="292">
        <f>AD99+AD102</f>
        <v>62473.4</v>
      </c>
      <c r="AE98" s="475">
        <f>AE99+AE102</f>
        <v>40692.300000000003</v>
      </c>
      <c r="AF98" s="475">
        <f>AF99+AF102</f>
        <v>30692.300000000003</v>
      </c>
      <c r="AG98" s="553"/>
      <c r="AH98" s="553"/>
      <c r="AI98" s="455"/>
    </row>
    <row r="99" spans="1:35" x14ac:dyDescent="0.25">
      <c r="A99" s="356"/>
      <c r="B99" s="345"/>
      <c r="C99" s="346"/>
      <c r="D99" s="346"/>
      <c r="E99" s="347"/>
      <c r="F99" s="346"/>
      <c r="G99" s="348"/>
      <c r="H99" s="348"/>
      <c r="I99" s="348"/>
      <c r="J99" s="348"/>
      <c r="K99" s="348"/>
      <c r="L99" s="340"/>
      <c r="M99" s="348"/>
      <c r="N99" s="340"/>
      <c r="O99" s="349"/>
      <c r="P99" s="348"/>
      <c r="Q99" s="350"/>
      <c r="R99" s="354"/>
      <c r="S99" s="354"/>
      <c r="T99" s="354"/>
      <c r="U99" s="354"/>
      <c r="V99" s="354"/>
      <c r="W99" s="354"/>
      <c r="X99" s="531" t="s">
        <v>1943</v>
      </c>
      <c r="Y99" s="578" t="s">
        <v>1394</v>
      </c>
      <c r="Z99" s="235" t="s">
        <v>566</v>
      </c>
      <c r="AA99" s="235">
        <v>13</v>
      </c>
      <c r="AB99" s="471" t="s">
        <v>1944</v>
      </c>
      <c r="AC99" s="238"/>
      <c r="AD99" s="292">
        <f>AD101</f>
        <v>125</v>
      </c>
      <c r="AE99" s="475">
        <f>AE101</f>
        <v>125</v>
      </c>
      <c r="AF99" s="475">
        <f>AF101</f>
        <v>125</v>
      </c>
      <c r="AG99" s="553"/>
      <c r="AH99" s="553"/>
      <c r="AI99" s="455"/>
    </row>
    <row r="100" spans="1:35" x14ac:dyDescent="0.25">
      <c r="A100" s="356"/>
      <c r="B100" s="345"/>
      <c r="C100" s="346"/>
      <c r="D100" s="346"/>
      <c r="E100" s="347"/>
      <c r="F100" s="346"/>
      <c r="G100" s="348"/>
      <c r="H100" s="348"/>
      <c r="I100" s="348"/>
      <c r="J100" s="348"/>
      <c r="K100" s="348"/>
      <c r="L100" s="340"/>
      <c r="M100" s="348"/>
      <c r="N100" s="340"/>
      <c r="O100" s="349"/>
      <c r="P100" s="348"/>
      <c r="Q100" s="350"/>
      <c r="R100" s="354"/>
      <c r="S100" s="354"/>
      <c r="T100" s="354"/>
      <c r="U100" s="354"/>
      <c r="V100" s="354"/>
      <c r="W100" s="354"/>
      <c r="X100" s="519" t="s">
        <v>923</v>
      </c>
      <c r="Y100" s="246" t="s">
        <v>1394</v>
      </c>
      <c r="Z100" s="235" t="s">
        <v>566</v>
      </c>
      <c r="AA100" s="235">
        <v>13</v>
      </c>
      <c r="AB100" s="471" t="s">
        <v>1944</v>
      </c>
      <c r="AC100" s="238">
        <v>800</v>
      </c>
      <c r="AD100" s="292">
        <f>AD101</f>
        <v>125</v>
      </c>
      <c r="AE100" s="475">
        <f>AE101</f>
        <v>125</v>
      </c>
      <c r="AF100" s="475">
        <f>AF101</f>
        <v>125</v>
      </c>
      <c r="AG100" s="553"/>
      <c r="AH100" s="553"/>
      <c r="AI100" s="455"/>
    </row>
    <row r="101" spans="1:35" x14ac:dyDescent="0.25">
      <c r="A101" s="357"/>
      <c r="B101" s="345"/>
      <c r="C101" s="346"/>
      <c r="D101" s="346"/>
      <c r="E101" s="347"/>
      <c r="F101" s="346"/>
      <c r="G101" s="348"/>
      <c r="H101" s="300"/>
      <c r="I101" s="358"/>
      <c r="J101" s="358"/>
      <c r="K101" s="358"/>
      <c r="L101" s="340"/>
      <c r="M101" s="358"/>
      <c r="N101" s="340"/>
      <c r="O101" s="349"/>
      <c r="P101" s="348"/>
      <c r="Q101" s="350"/>
      <c r="R101" s="351"/>
      <c r="S101" s="354"/>
      <c r="T101" s="354"/>
      <c r="U101" s="354"/>
      <c r="V101" s="354"/>
      <c r="X101" s="519" t="s">
        <v>1319</v>
      </c>
      <c r="Y101" s="246" t="s">
        <v>1394</v>
      </c>
      <c r="Z101" s="235" t="s">
        <v>566</v>
      </c>
      <c r="AA101" s="235">
        <v>13</v>
      </c>
      <c r="AB101" s="471" t="s">
        <v>1944</v>
      </c>
      <c r="AC101" s="238">
        <v>850</v>
      </c>
      <c r="AD101" s="292">
        <v>125</v>
      </c>
      <c r="AE101" s="475">
        <v>125</v>
      </c>
      <c r="AF101" s="475">
        <v>125</v>
      </c>
      <c r="AG101" s="553"/>
      <c r="AH101" s="553"/>
      <c r="AI101" s="455"/>
    </row>
    <row r="102" spans="1:35" ht="31.5" x14ac:dyDescent="0.25">
      <c r="A102" s="360"/>
      <c r="B102" s="345"/>
      <c r="C102" s="346"/>
      <c r="D102" s="346"/>
      <c r="E102" s="347"/>
      <c r="F102" s="346"/>
      <c r="G102" s="346"/>
      <c r="H102" s="361"/>
      <c r="I102" s="358"/>
      <c r="J102" s="358"/>
      <c r="K102" s="358"/>
      <c r="L102" s="340"/>
      <c r="M102" s="358"/>
      <c r="N102" s="340"/>
      <c r="O102" s="349"/>
      <c r="P102" s="303"/>
      <c r="Q102" s="350"/>
      <c r="R102" s="351"/>
      <c r="S102" s="354"/>
      <c r="T102" s="354"/>
      <c r="U102" s="354"/>
      <c r="V102" s="354"/>
      <c r="X102" s="531" t="s">
        <v>1921</v>
      </c>
      <c r="Y102" s="246" t="s">
        <v>1394</v>
      </c>
      <c r="Z102" s="235" t="s">
        <v>566</v>
      </c>
      <c r="AA102" s="235">
        <v>13</v>
      </c>
      <c r="AB102" s="471" t="s">
        <v>1922</v>
      </c>
      <c r="AC102" s="238"/>
      <c r="AD102" s="292">
        <f>AD103+AD108+AD117</f>
        <v>62348.4</v>
      </c>
      <c r="AE102" s="475">
        <f>AE103+AE108+AE117</f>
        <v>40567.300000000003</v>
      </c>
      <c r="AF102" s="475">
        <f>AF103+AF108+AF117</f>
        <v>30567.300000000003</v>
      </c>
      <c r="AG102" s="553"/>
      <c r="AH102" s="553"/>
      <c r="AI102" s="455"/>
    </row>
    <row r="103" spans="1:35" ht="47.25" x14ac:dyDescent="0.25">
      <c r="A103" s="360"/>
      <c r="B103" s="345"/>
      <c r="C103" s="346"/>
      <c r="D103" s="346"/>
      <c r="E103" s="347"/>
      <c r="F103" s="346"/>
      <c r="G103" s="346"/>
      <c r="H103" s="361"/>
      <c r="I103" s="358"/>
      <c r="J103" s="358"/>
      <c r="K103" s="358"/>
      <c r="L103" s="340"/>
      <c r="M103" s="358"/>
      <c r="N103" s="340"/>
      <c r="O103" s="349"/>
      <c r="P103" s="303"/>
      <c r="Q103" s="350"/>
      <c r="R103" s="351"/>
      <c r="S103" s="354"/>
      <c r="T103" s="354"/>
      <c r="U103" s="354"/>
      <c r="V103" s="354"/>
      <c r="X103" s="531" t="s">
        <v>1937</v>
      </c>
      <c r="Y103" s="246" t="s">
        <v>1394</v>
      </c>
      <c r="Z103" s="235" t="s">
        <v>566</v>
      </c>
      <c r="AA103" s="235">
        <v>13</v>
      </c>
      <c r="AB103" s="471" t="s">
        <v>1938</v>
      </c>
      <c r="AC103" s="238"/>
      <c r="AD103" s="292">
        <f>AD104+AD106</f>
        <v>8775.0999999999985</v>
      </c>
      <c r="AE103" s="475">
        <f>AE104+AE106</f>
        <v>6396.2</v>
      </c>
      <c r="AF103" s="475">
        <f>AF104+AF106</f>
        <v>4951.2</v>
      </c>
      <c r="AG103" s="553"/>
      <c r="AH103" s="553"/>
      <c r="AI103" s="455"/>
    </row>
    <row r="104" spans="1:35" ht="47.25" x14ac:dyDescent="0.25">
      <c r="A104" s="360"/>
      <c r="B104" s="345"/>
      <c r="C104" s="346"/>
      <c r="D104" s="346"/>
      <c r="E104" s="347"/>
      <c r="F104" s="346"/>
      <c r="G104" s="346"/>
      <c r="H104" s="361"/>
      <c r="I104" s="358"/>
      <c r="J104" s="358"/>
      <c r="K104" s="358"/>
      <c r="L104" s="340"/>
      <c r="M104" s="358"/>
      <c r="N104" s="340"/>
      <c r="O104" s="349"/>
      <c r="P104" s="303"/>
      <c r="Q104" s="350"/>
      <c r="R104" s="351"/>
      <c r="S104" s="354"/>
      <c r="T104" s="354"/>
      <c r="U104" s="354"/>
      <c r="V104" s="354"/>
      <c r="X104" s="519" t="s">
        <v>921</v>
      </c>
      <c r="Y104" s="246" t="s">
        <v>1394</v>
      </c>
      <c r="Z104" s="235" t="s">
        <v>566</v>
      </c>
      <c r="AA104" s="235">
        <v>13</v>
      </c>
      <c r="AB104" s="471" t="s">
        <v>1938</v>
      </c>
      <c r="AC104" s="579" t="s">
        <v>1797</v>
      </c>
      <c r="AD104" s="292">
        <f>AD105</f>
        <v>7964.7999999999993</v>
      </c>
      <c r="AE104" s="475">
        <f>AE105</f>
        <v>5585.9</v>
      </c>
      <c r="AF104" s="475">
        <f>AF105</f>
        <v>4140.8999999999996</v>
      </c>
      <c r="AG104" s="553"/>
      <c r="AH104" s="553"/>
      <c r="AI104" s="455"/>
    </row>
    <row r="105" spans="1:35" x14ac:dyDescent="0.25">
      <c r="A105" s="360"/>
      <c r="B105" s="345"/>
      <c r="C105" s="346"/>
      <c r="D105" s="346"/>
      <c r="E105" s="347"/>
      <c r="F105" s="346"/>
      <c r="G105" s="346"/>
      <c r="H105" s="361"/>
      <c r="I105" s="358"/>
      <c r="J105" s="358"/>
      <c r="K105" s="358"/>
      <c r="L105" s="340"/>
      <c r="M105" s="358"/>
      <c r="N105" s="340"/>
      <c r="O105" s="349"/>
      <c r="P105" s="303"/>
      <c r="Q105" s="350"/>
      <c r="R105" s="351"/>
      <c r="S105" s="354"/>
      <c r="T105" s="354"/>
      <c r="U105" s="354"/>
      <c r="V105" s="354"/>
      <c r="X105" s="519" t="s">
        <v>1568</v>
      </c>
      <c r="Y105" s="246" t="s">
        <v>1394</v>
      </c>
      <c r="Z105" s="235" t="s">
        <v>566</v>
      </c>
      <c r="AA105" s="235">
        <v>13</v>
      </c>
      <c r="AB105" s="471" t="s">
        <v>1938</v>
      </c>
      <c r="AC105" s="579" t="s">
        <v>1798</v>
      </c>
      <c r="AD105" s="292">
        <f>7428.9+535.9</f>
        <v>7964.7999999999993</v>
      </c>
      <c r="AE105" s="475">
        <v>5585.9</v>
      </c>
      <c r="AF105" s="475">
        <v>4140.8999999999996</v>
      </c>
      <c r="AG105" s="553"/>
      <c r="AH105" s="553"/>
      <c r="AI105" s="455"/>
    </row>
    <row r="106" spans="1:35" x14ac:dyDescent="0.25">
      <c r="A106" s="360"/>
      <c r="B106" s="345"/>
      <c r="C106" s="346"/>
      <c r="D106" s="346"/>
      <c r="E106" s="347"/>
      <c r="F106" s="346"/>
      <c r="G106" s="346"/>
      <c r="H106" s="361"/>
      <c r="I106" s="358"/>
      <c r="J106" s="358"/>
      <c r="K106" s="358"/>
      <c r="L106" s="340"/>
      <c r="M106" s="358"/>
      <c r="N106" s="340"/>
      <c r="O106" s="349"/>
      <c r="P106" s="303"/>
      <c r="Q106" s="350"/>
      <c r="R106" s="351"/>
      <c r="S106" s="354"/>
      <c r="T106" s="354"/>
      <c r="U106" s="354"/>
      <c r="V106" s="354"/>
      <c r="X106" s="519" t="s">
        <v>1781</v>
      </c>
      <c r="Y106" s="246" t="s">
        <v>1394</v>
      </c>
      <c r="Z106" s="235" t="s">
        <v>566</v>
      </c>
      <c r="AA106" s="235">
        <v>13</v>
      </c>
      <c r="AB106" s="471" t="s">
        <v>1938</v>
      </c>
      <c r="AC106" s="579" t="s">
        <v>821</v>
      </c>
      <c r="AD106" s="292">
        <f>AD107</f>
        <v>810.3</v>
      </c>
      <c r="AE106" s="475">
        <f>AE107</f>
        <v>810.3</v>
      </c>
      <c r="AF106" s="475">
        <f>AF107</f>
        <v>810.3</v>
      </c>
      <c r="AG106" s="553"/>
      <c r="AH106" s="553"/>
      <c r="AI106" s="455"/>
    </row>
    <row r="107" spans="1:35" ht="31.5" x14ac:dyDescent="0.25">
      <c r="A107" s="360"/>
      <c r="B107" s="345"/>
      <c r="C107" s="346"/>
      <c r="D107" s="346"/>
      <c r="E107" s="347"/>
      <c r="F107" s="346"/>
      <c r="G107" s="346"/>
      <c r="H107" s="361"/>
      <c r="I107" s="358"/>
      <c r="J107" s="358"/>
      <c r="K107" s="358"/>
      <c r="L107" s="340"/>
      <c r="M107" s="358"/>
      <c r="N107" s="340"/>
      <c r="O107" s="349"/>
      <c r="P107" s="303"/>
      <c r="Q107" s="350"/>
      <c r="R107" s="351"/>
      <c r="S107" s="354"/>
      <c r="T107" s="354"/>
      <c r="U107" s="354"/>
      <c r="V107" s="354"/>
      <c r="X107" s="519" t="s">
        <v>1273</v>
      </c>
      <c r="Y107" s="246" t="s">
        <v>1394</v>
      </c>
      <c r="Z107" s="235" t="s">
        <v>566</v>
      </c>
      <c r="AA107" s="235">
        <v>13</v>
      </c>
      <c r="AB107" s="471" t="s">
        <v>1938</v>
      </c>
      <c r="AC107" s="579" t="s">
        <v>1479</v>
      </c>
      <c r="AD107" s="292">
        <v>810.3</v>
      </c>
      <c r="AE107" s="475">
        <v>810.3</v>
      </c>
      <c r="AF107" s="475">
        <v>810.3</v>
      </c>
      <c r="AG107" s="553"/>
      <c r="AH107" s="553"/>
      <c r="AI107" s="455"/>
    </row>
    <row r="108" spans="1:35" ht="47.25" x14ac:dyDescent="0.25">
      <c r="A108" s="360"/>
      <c r="B108" s="345"/>
      <c r="C108" s="346"/>
      <c r="D108" s="346"/>
      <c r="E108" s="347"/>
      <c r="F108" s="346"/>
      <c r="G108" s="346"/>
      <c r="H108" s="361"/>
      <c r="I108" s="358"/>
      <c r="J108" s="358"/>
      <c r="K108" s="358"/>
      <c r="L108" s="340"/>
      <c r="M108" s="358"/>
      <c r="N108" s="340"/>
      <c r="O108" s="349"/>
      <c r="P108" s="303"/>
      <c r="Q108" s="350"/>
      <c r="R108" s="351"/>
      <c r="S108" s="354"/>
      <c r="T108" s="354"/>
      <c r="U108" s="354"/>
      <c r="V108" s="354"/>
      <c r="X108" s="519" t="s">
        <v>1939</v>
      </c>
      <c r="Y108" s="246" t="s">
        <v>1394</v>
      </c>
      <c r="Z108" s="235" t="s">
        <v>566</v>
      </c>
      <c r="AA108" s="235">
        <v>13</v>
      </c>
      <c r="AB108" s="471" t="s">
        <v>1940</v>
      </c>
      <c r="AC108" s="579"/>
      <c r="AD108" s="292">
        <f>AD109+AD111+AD115+AD113</f>
        <v>43198.400000000001</v>
      </c>
      <c r="AE108" s="475">
        <f>AE109+AE111</f>
        <v>26212.2</v>
      </c>
      <c r="AF108" s="475">
        <f>AF109+AF111</f>
        <v>19567.2</v>
      </c>
      <c r="AG108" s="553"/>
      <c r="AH108" s="553"/>
      <c r="AI108" s="455"/>
    </row>
    <row r="109" spans="1:35" ht="47.25" x14ac:dyDescent="0.25">
      <c r="A109" s="360"/>
      <c r="B109" s="345"/>
      <c r="C109" s="346"/>
      <c r="D109" s="346"/>
      <c r="E109" s="347"/>
      <c r="F109" s="346"/>
      <c r="G109" s="346"/>
      <c r="H109" s="361"/>
      <c r="I109" s="358"/>
      <c r="J109" s="358"/>
      <c r="K109" s="358"/>
      <c r="L109" s="340"/>
      <c r="M109" s="358"/>
      <c r="N109" s="340"/>
      <c r="O109" s="349"/>
      <c r="P109" s="303"/>
      <c r="Q109" s="350"/>
      <c r="R109" s="351"/>
      <c r="S109" s="354"/>
      <c r="T109" s="354"/>
      <c r="U109" s="354"/>
      <c r="V109" s="354"/>
      <c r="X109" s="519" t="s">
        <v>921</v>
      </c>
      <c r="Y109" s="246" t="s">
        <v>1394</v>
      </c>
      <c r="Z109" s="235" t="s">
        <v>566</v>
      </c>
      <c r="AA109" s="235">
        <v>13</v>
      </c>
      <c r="AB109" s="471" t="s">
        <v>1940</v>
      </c>
      <c r="AC109" s="579" t="s">
        <v>1797</v>
      </c>
      <c r="AD109" s="292">
        <f>AD110</f>
        <v>42552.299999999996</v>
      </c>
      <c r="AE109" s="475">
        <f>AE110</f>
        <v>25611.5</v>
      </c>
      <c r="AF109" s="475">
        <f>AF110</f>
        <v>18966.5</v>
      </c>
      <c r="AG109" s="553"/>
      <c r="AH109" s="553"/>
      <c r="AI109" s="455"/>
    </row>
    <row r="110" spans="1:35" x14ac:dyDescent="0.25">
      <c r="A110" s="360"/>
      <c r="B110" s="345"/>
      <c r="C110" s="346"/>
      <c r="D110" s="346"/>
      <c r="E110" s="347"/>
      <c r="F110" s="346"/>
      <c r="G110" s="346"/>
      <c r="H110" s="361"/>
      <c r="I110" s="358"/>
      <c r="J110" s="358"/>
      <c r="K110" s="358"/>
      <c r="L110" s="340"/>
      <c r="M110" s="358"/>
      <c r="N110" s="340"/>
      <c r="O110" s="349"/>
      <c r="P110" s="303"/>
      <c r="Q110" s="350"/>
      <c r="R110" s="351"/>
      <c r="S110" s="354"/>
      <c r="T110" s="354"/>
      <c r="U110" s="354"/>
      <c r="V110" s="354"/>
      <c r="X110" s="519" t="s">
        <v>1568</v>
      </c>
      <c r="Y110" s="246" t="s">
        <v>1394</v>
      </c>
      <c r="Z110" s="235" t="s">
        <v>566</v>
      </c>
      <c r="AA110" s="235">
        <v>13</v>
      </c>
      <c r="AB110" s="471" t="s">
        <v>1940</v>
      </c>
      <c r="AC110" s="579" t="s">
        <v>1798</v>
      </c>
      <c r="AD110" s="292">
        <f>34034.6-20-3-60.3+5000+3601</f>
        <v>42552.299999999996</v>
      </c>
      <c r="AE110" s="475">
        <v>25611.5</v>
      </c>
      <c r="AF110" s="475">
        <v>18966.5</v>
      </c>
      <c r="AG110" s="553"/>
      <c r="AH110" s="553"/>
      <c r="AI110" s="455"/>
    </row>
    <row r="111" spans="1:35" x14ac:dyDescent="0.25">
      <c r="A111" s="360"/>
      <c r="B111" s="345"/>
      <c r="C111" s="346"/>
      <c r="D111" s="346"/>
      <c r="E111" s="347"/>
      <c r="F111" s="346"/>
      <c r="G111" s="346"/>
      <c r="H111" s="361"/>
      <c r="I111" s="358"/>
      <c r="J111" s="358"/>
      <c r="K111" s="358"/>
      <c r="L111" s="340"/>
      <c r="M111" s="358"/>
      <c r="N111" s="340"/>
      <c r="O111" s="349"/>
      <c r="P111" s="303"/>
      <c r="Q111" s="350"/>
      <c r="R111" s="351"/>
      <c r="S111" s="354"/>
      <c r="T111" s="354"/>
      <c r="U111" s="354"/>
      <c r="V111" s="354"/>
      <c r="X111" s="519" t="s">
        <v>1781</v>
      </c>
      <c r="Y111" s="246" t="s">
        <v>1394</v>
      </c>
      <c r="Z111" s="235" t="s">
        <v>566</v>
      </c>
      <c r="AA111" s="235">
        <v>13</v>
      </c>
      <c r="AB111" s="471" t="s">
        <v>1940</v>
      </c>
      <c r="AC111" s="579" t="s">
        <v>821</v>
      </c>
      <c r="AD111" s="292">
        <f>AD112</f>
        <v>562.80000000000007</v>
      </c>
      <c r="AE111" s="475">
        <f>AE112</f>
        <v>600.70000000000005</v>
      </c>
      <c r="AF111" s="475">
        <f>AF112</f>
        <v>600.70000000000005</v>
      </c>
      <c r="AG111" s="553"/>
      <c r="AH111" s="553"/>
      <c r="AI111" s="455"/>
    </row>
    <row r="112" spans="1:35" ht="31.5" x14ac:dyDescent="0.25">
      <c r="A112" s="360"/>
      <c r="B112" s="345"/>
      <c r="C112" s="346"/>
      <c r="D112" s="346"/>
      <c r="E112" s="347"/>
      <c r="F112" s="346"/>
      <c r="G112" s="346"/>
      <c r="H112" s="361"/>
      <c r="I112" s="358"/>
      <c r="J112" s="358"/>
      <c r="K112" s="358"/>
      <c r="L112" s="340"/>
      <c r="M112" s="358"/>
      <c r="N112" s="340"/>
      <c r="O112" s="349"/>
      <c r="P112" s="303"/>
      <c r="Q112" s="350"/>
      <c r="R112" s="351"/>
      <c r="S112" s="354"/>
      <c r="T112" s="354"/>
      <c r="U112" s="354"/>
      <c r="V112" s="354"/>
      <c r="X112" s="519" t="s">
        <v>1273</v>
      </c>
      <c r="Y112" s="246" t="s">
        <v>1394</v>
      </c>
      <c r="Z112" s="235" t="s">
        <v>566</v>
      </c>
      <c r="AA112" s="235">
        <v>13</v>
      </c>
      <c r="AB112" s="471" t="s">
        <v>1940</v>
      </c>
      <c r="AC112" s="579" t="s">
        <v>1479</v>
      </c>
      <c r="AD112" s="292">
        <f>600.7-37.9</f>
        <v>562.80000000000007</v>
      </c>
      <c r="AE112" s="475">
        <v>600.70000000000005</v>
      </c>
      <c r="AF112" s="475">
        <v>600.70000000000005</v>
      </c>
      <c r="AG112" s="553"/>
      <c r="AH112" s="553"/>
      <c r="AI112" s="455"/>
    </row>
    <row r="113" spans="1:35" x14ac:dyDescent="0.25">
      <c r="A113" s="360"/>
      <c r="B113" s="345"/>
      <c r="C113" s="346"/>
      <c r="D113" s="346"/>
      <c r="E113" s="347"/>
      <c r="F113" s="346"/>
      <c r="G113" s="346"/>
      <c r="H113" s="361"/>
      <c r="I113" s="358"/>
      <c r="J113" s="358"/>
      <c r="K113" s="358"/>
      <c r="L113" s="340"/>
      <c r="M113" s="358"/>
      <c r="N113" s="340"/>
      <c r="O113" s="349"/>
      <c r="P113" s="303"/>
      <c r="Q113" s="350"/>
      <c r="R113" s="351"/>
      <c r="S113" s="354"/>
      <c r="T113" s="354"/>
      <c r="U113" s="354"/>
      <c r="V113" s="354"/>
      <c r="X113" s="519" t="s">
        <v>1754</v>
      </c>
      <c r="Y113" s="246" t="s">
        <v>1394</v>
      </c>
      <c r="Z113" s="235" t="s">
        <v>566</v>
      </c>
      <c r="AA113" s="235">
        <v>13</v>
      </c>
      <c r="AB113" s="471" t="s">
        <v>1940</v>
      </c>
      <c r="AC113" s="579" t="s">
        <v>2431</v>
      </c>
      <c r="AD113" s="292">
        <f>AD114</f>
        <v>3</v>
      </c>
      <c r="AE113" s="292">
        <f t="shared" ref="AE113:AF113" si="16">AE114</f>
        <v>0</v>
      </c>
      <c r="AF113" s="292">
        <f t="shared" si="16"/>
        <v>0</v>
      </c>
      <c r="AG113" s="553"/>
      <c r="AH113" s="553"/>
      <c r="AI113" s="455"/>
    </row>
    <row r="114" spans="1:35" x14ac:dyDescent="0.25">
      <c r="A114" s="360"/>
      <c r="B114" s="345"/>
      <c r="C114" s="346"/>
      <c r="D114" s="346"/>
      <c r="E114" s="347"/>
      <c r="F114" s="346"/>
      <c r="G114" s="346"/>
      <c r="H114" s="361"/>
      <c r="I114" s="358"/>
      <c r="J114" s="358"/>
      <c r="K114" s="358"/>
      <c r="L114" s="340"/>
      <c r="M114" s="358"/>
      <c r="N114" s="340"/>
      <c r="O114" s="349"/>
      <c r="P114" s="303"/>
      <c r="Q114" s="350"/>
      <c r="R114" s="351"/>
      <c r="S114" s="354"/>
      <c r="T114" s="354"/>
      <c r="U114" s="354"/>
      <c r="V114" s="354"/>
      <c r="X114" s="519" t="s">
        <v>868</v>
      </c>
      <c r="Y114" s="246" t="s">
        <v>1394</v>
      </c>
      <c r="Z114" s="235" t="s">
        <v>566</v>
      </c>
      <c r="AA114" s="235">
        <v>13</v>
      </c>
      <c r="AB114" s="471" t="s">
        <v>1940</v>
      </c>
      <c r="AC114" s="579" t="s">
        <v>2432</v>
      </c>
      <c r="AD114" s="292">
        <v>3</v>
      </c>
      <c r="AE114" s="475">
        <v>0</v>
      </c>
      <c r="AF114" s="475">
        <v>0</v>
      </c>
      <c r="AG114" s="553"/>
      <c r="AH114" s="553"/>
      <c r="AI114" s="455"/>
    </row>
    <row r="115" spans="1:35" x14ac:dyDescent="0.25">
      <c r="A115" s="360"/>
      <c r="B115" s="345"/>
      <c r="C115" s="346"/>
      <c r="D115" s="346"/>
      <c r="E115" s="347"/>
      <c r="F115" s="346"/>
      <c r="G115" s="346"/>
      <c r="H115" s="361"/>
      <c r="I115" s="358"/>
      <c r="J115" s="358"/>
      <c r="K115" s="358"/>
      <c r="L115" s="340"/>
      <c r="M115" s="358"/>
      <c r="N115" s="340"/>
      <c r="O115" s="349"/>
      <c r="P115" s="303"/>
      <c r="Q115" s="350"/>
      <c r="R115" s="351"/>
      <c r="S115" s="354"/>
      <c r="T115" s="354"/>
      <c r="U115" s="354"/>
      <c r="V115" s="354"/>
      <c r="X115" s="519" t="s">
        <v>923</v>
      </c>
      <c r="Y115" s="246" t="s">
        <v>1394</v>
      </c>
      <c r="Z115" s="235" t="s">
        <v>566</v>
      </c>
      <c r="AA115" s="235">
        <v>13</v>
      </c>
      <c r="AB115" s="471" t="s">
        <v>1940</v>
      </c>
      <c r="AC115" s="579" t="s">
        <v>2240</v>
      </c>
      <c r="AD115" s="292">
        <f>AD116</f>
        <v>80.3</v>
      </c>
      <c r="AE115" s="475">
        <f>AE116</f>
        <v>0</v>
      </c>
      <c r="AF115" s="475">
        <f>AF116</f>
        <v>0</v>
      </c>
      <c r="AG115" s="553"/>
      <c r="AH115" s="553"/>
      <c r="AI115" s="455"/>
    </row>
    <row r="116" spans="1:35" x14ac:dyDescent="0.25">
      <c r="A116" s="360"/>
      <c r="B116" s="345"/>
      <c r="C116" s="346"/>
      <c r="D116" s="346"/>
      <c r="E116" s="347"/>
      <c r="F116" s="346"/>
      <c r="G116" s="346"/>
      <c r="H116" s="361"/>
      <c r="I116" s="358"/>
      <c r="J116" s="358"/>
      <c r="K116" s="358"/>
      <c r="L116" s="340"/>
      <c r="M116" s="358"/>
      <c r="N116" s="340"/>
      <c r="O116" s="349"/>
      <c r="P116" s="303"/>
      <c r="Q116" s="350"/>
      <c r="R116" s="351"/>
      <c r="S116" s="354"/>
      <c r="T116" s="354"/>
      <c r="U116" s="354"/>
      <c r="V116" s="354"/>
      <c r="X116" s="519" t="s">
        <v>1319</v>
      </c>
      <c r="Y116" s="246" t="s">
        <v>1394</v>
      </c>
      <c r="Z116" s="235" t="s">
        <v>566</v>
      </c>
      <c r="AA116" s="235">
        <v>13</v>
      </c>
      <c r="AB116" s="471" t="s">
        <v>1940</v>
      </c>
      <c r="AC116" s="579" t="s">
        <v>2391</v>
      </c>
      <c r="AD116" s="292">
        <f>20+60.3</f>
        <v>80.3</v>
      </c>
      <c r="AE116" s="475">
        <v>0</v>
      </c>
      <c r="AF116" s="475">
        <v>0</v>
      </c>
      <c r="AG116" s="553"/>
      <c r="AH116" s="553"/>
      <c r="AI116" s="455"/>
    </row>
    <row r="117" spans="1:35" ht="47.25" x14ac:dyDescent="0.25">
      <c r="A117" s="360"/>
      <c r="B117" s="345"/>
      <c r="C117" s="346"/>
      <c r="D117" s="346"/>
      <c r="E117" s="347"/>
      <c r="F117" s="346"/>
      <c r="G117" s="346"/>
      <c r="H117" s="361"/>
      <c r="I117" s="358"/>
      <c r="J117" s="358"/>
      <c r="K117" s="358"/>
      <c r="L117" s="340"/>
      <c r="M117" s="358"/>
      <c r="N117" s="340"/>
      <c r="O117" s="349"/>
      <c r="P117" s="303"/>
      <c r="Q117" s="350"/>
      <c r="R117" s="351"/>
      <c r="S117" s="354"/>
      <c r="T117" s="354"/>
      <c r="U117" s="354"/>
      <c r="V117" s="354"/>
      <c r="X117" s="519" t="s">
        <v>2381</v>
      </c>
      <c r="Y117" s="246" t="s">
        <v>1394</v>
      </c>
      <c r="Z117" s="235" t="s">
        <v>566</v>
      </c>
      <c r="AA117" s="235">
        <v>13</v>
      </c>
      <c r="AB117" s="471" t="s">
        <v>2382</v>
      </c>
      <c r="AC117" s="580"/>
      <c r="AD117" s="292">
        <f>AD118+AD120+AD122</f>
        <v>10374.9</v>
      </c>
      <c r="AE117" s="475">
        <f>AE118+AE120</f>
        <v>7958.9000000000005</v>
      </c>
      <c r="AF117" s="475">
        <f>AF118+AF120</f>
        <v>6048.9000000000005</v>
      </c>
      <c r="AG117" s="553"/>
      <c r="AH117" s="553"/>
      <c r="AI117" s="455"/>
    </row>
    <row r="118" spans="1:35" ht="47.25" x14ac:dyDescent="0.25">
      <c r="A118" s="360"/>
      <c r="B118" s="345"/>
      <c r="C118" s="346"/>
      <c r="D118" s="346"/>
      <c r="E118" s="347"/>
      <c r="F118" s="346"/>
      <c r="G118" s="346"/>
      <c r="H118" s="361"/>
      <c r="I118" s="358"/>
      <c r="J118" s="358"/>
      <c r="K118" s="358"/>
      <c r="L118" s="340"/>
      <c r="M118" s="358"/>
      <c r="N118" s="340"/>
      <c r="O118" s="349"/>
      <c r="P118" s="303"/>
      <c r="Q118" s="350"/>
      <c r="R118" s="351"/>
      <c r="S118" s="354"/>
      <c r="T118" s="354"/>
      <c r="U118" s="354"/>
      <c r="V118" s="354"/>
      <c r="X118" s="519" t="s">
        <v>921</v>
      </c>
      <c r="Y118" s="246" t="s">
        <v>1394</v>
      </c>
      <c r="Z118" s="235" t="s">
        <v>566</v>
      </c>
      <c r="AA118" s="235">
        <v>13</v>
      </c>
      <c r="AB118" s="471" t="s">
        <v>2382</v>
      </c>
      <c r="AC118" s="579" t="s">
        <v>1797</v>
      </c>
      <c r="AD118" s="292">
        <f>AD119</f>
        <v>9775.6</v>
      </c>
      <c r="AE118" s="475">
        <f>AE119</f>
        <v>7359.6</v>
      </c>
      <c r="AF118" s="475">
        <f>AF119</f>
        <v>5449.6</v>
      </c>
      <c r="AG118" s="553"/>
      <c r="AH118" s="553"/>
      <c r="AI118" s="455"/>
    </row>
    <row r="119" spans="1:35" x14ac:dyDescent="0.25">
      <c r="A119" s="360"/>
      <c r="B119" s="345"/>
      <c r="C119" s="346"/>
      <c r="D119" s="346"/>
      <c r="E119" s="347"/>
      <c r="F119" s="346"/>
      <c r="G119" s="346"/>
      <c r="H119" s="361"/>
      <c r="I119" s="358"/>
      <c r="J119" s="358"/>
      <c r="K119" s="358"/>
      <c r="L119" s="340"/>
      <c r="M119" s="358"/>
      <c r="N119" s="340"/>
      <c r="O119" s="349"/>
      <c r="P119" s="303"/>
      <c r="Q119" s="350"/>
      <c r="R119" s="351"/>
      <c r="S119" s="354"/>
      <c r="T119" s="354"/>
      <c r="U119" s="354"/>
      <c r="V119" s="354"/>
      <c r="X119" s="519" t="s">
        <v>1568</v>
      </c>
      <c r="Y119" s="246" t="s">
        <v>1394</v>
      </c>
      <c r="Z119" s="235" t="s">
        <v>566</v>
      </c>
      <c r="AA119" s="235">
        <v>13</v>
      </c>
      <c r="AB119" s="471" t="s">
        <v>2382</v>
      </c>
      <c r="AC119" s="579" t="s">
        <v>1798</v>
      </c>
      <c r="AD119" s="292">
        <v>9775.6</v>
      </c>
      <c r="AE119" s="475">
        <v>7359.6</v>
      </c>
      <c r="AF119" s="475">
        <v>5449.6</v>
      </c>
      <c r="AG119" s="553"/>
      <c r="AH119" s="553"/>
      <c r="AI119" s="455"/>
    </row>
    <row r="120" spans="1:35" x14ac:dyDescent="0.25">
      <c r="A120" s="360"/>
      <c r="B120" s="345"/>
      <c r="C120" s="346"/>
      <c r="D120" s="346"/>
      <c r="E120" s="347"/>
      <c r="F120" s="346"/>
      <c r="G120" s="346"/>
      <c r="H120" s="361"/>
      <c r="I120" s="358"/>
      <c r="J120" s="358"/>
      <c r="K120" s="358"/>
      <c r="L120" s="340"/>
      <c r="M120" s="358"/>
      <c r="N120" s="340"/>
      <c r="O120" s="349"/>
      <c r="P120" s="303"/>
      <c r="Q120" s="350"/>
      <c r="R120" s="351"/>
      <c r="S120" s="354"/>
      <c r="T120" s="354"/>
      <c r="U120" s="354"/>
      <c r="V120" s="354"/>
      <c r="X120" s="519" t="s">
        <v>1781</v>
      </c>
      <c r="Y120" s="246" t="s">
        <v>1394</v>
      </c>
      <c r="Z120" s="235" t="s">
        <v>566</v>
      </c>
      <c r="AA120" s="235">
        <v>13</v>
      </c>
      <c r="AB120" s="471" t="s">
        <v>2382</v>
      </c>
      <c r="AC120" s="579" t="s">
        <v>821</v>
      </c>
      <c r="AD120" s="292">
        <f>AD121</f>
        <v>521.9</v>
      </c>
      <c r="AE120" s="475">
        <f>AE121</f>
        <v>599.29999999999995</v>
      </c>
      <c r="AF120" s="475">
        <f>AF121</f>
        <v>599.29999999999995</v>
      </c>
      <c r="AG120" s="553"/>
      <c r="AH120" s="553"/>
      <c r="AI120" s="455"/>
    </row>
    <row r="121" spans="1:35" ht="31.5" x14ac:dyDescent="0.25">
      <c r="A121" s="360"/>
      <c r="B121" s="345"/>
      <c r="C121" s="346"/>
      <c r="D121" s="346"/>
      <c r="E121" s="347"/>
      <c r="F121" s="346"/>
      <c r="G121" s="346"/>
      <c r="H121" s="361"/>
      <c r="I121" s="358"/>
      <c r="J121" s="358"/>
      <c r="K121" s="358"/>
      <c r="L121" s="340"/>
      <c r="M121" s="358"/>
      <c r="N121" s="340"/>
      <c r="O121" s="349"/>
      <c r="P121" s="303"/>
      <c r="Q121" s="350"/>
      <c r="R121" s="351"/>
      <c r="S121" s="354"/>
      <c r="T121" s="354"/>
      <c r="U121" s="354"/>
      <c r="V121" s="354"/>
      <c r="X121" s="519" t="s">
        <v>1273</v>
      </c>
      <c r="Y121" s="246" t="s">
        <v>1394</v>
      </c>
      <c r="Z121" s="235" t="s">
        <v>566</v>
      </c>
      <c r="AA121" s="235">
        <v>13</v>
      </c>
      <c r="AB121" s="471" t="s">
        <v>2382</v>
      </c>
      <c r="AC121" s="579" t="s">
        <v>1479</v>
      </c>
      <c r="AD121" s="292">
        <f>599.3-16.6-18.9-0.6-3-3.9-7-7.4-20</f>
        <v>521.9</v>
      </c>
      <c r="AE121" s="475">
        <v>599.29999999999995</v>
      </c>
      <c r="AF121" s="475">
        <v>599.29999999999995</v>
      </c>
      <c r="AG121" s="553"/>
      <c r="AH121" s="553"/>
      <c r="AI121" s="455"/>
    </row>
    <row r="122" spans="1:35" x14ac:dyDescent="0.25">
      <c r="A122" s="360"/>
      <c r="B122" s="345"/>
      <c r="C122" s="346"/>
      <c r="D122" s="346"/>
      <c r="E122" s="347"/>
      <c r="F122" s="346"/>
      <c r="G122" s="346"/>
      <c r="H122" s="361"/>
      <c r="I122" s="358"/>
      <c r="J122" s="358"/>
      <c r="K122" s="358"/>
      <c r="L122" s="340"/>
      <c r="M122" s="358"/>
      <c r="N122" s="340"/>
      <c r="O122" s="349"/>
      <c r="P122" s="303"/>
      <c r="Q122" s="350"/>
      <c r="R122" s="351"/>
      <c r="S122" s="354"/>
      <c r="T122" s="354"/>
      <c r="U122" s="354"/>
      <c r="V122" s="354"/>
      <c r="X122" s="519" t="s">
        <v>923</v>
      </c>
      <c r="Y122" s="246" t="s">
        <v>1394</v>
      </c>
      <c r="Z122" s="235" t="s">
        <v>566</v>
      </c>
      <c r="AA122" s="235">
        <v>13</v>
      </c>
      <c r="AB122" s="471" t="s">
        <v>2382</v>
      </c>
      <c r="AC122" s="579" t="s">
        <v>2240</v>
      </c>
      <c r="AD122" s="292">
        <f>AD123</f>
        <v>77.400000000000006</v>
      </c>
      <c r="AE122" s="292">
        <f t="shared" ref="AE122:AF122" si="17">AE123</f>
        <v>0</v>
      </c>
      <c r="AF122" s="292">
        <f t="shared" si="17"/>
        <v>0</v>
      </c>
      <c r="AG122" s="553"/>
      <c r="AH122" s="553"/>
      <c r="AI122" s="455"/>
    </row>
    <row r="123" spans="1:35" x14ac:dyDescent="0.25">
      <c r="A123" s="360"/>
      <c r="B123" s="345"/>
      <c r="C123" s="346"/>
      <c r="D123" s="346"/>
      <c r="E123" s="347"/>
      <c r="F123" s="346"/>
      <c r="G123" s="346"/>
      <c r="H123" s="361"/>
      <c r="I123" s="358"/>
      <c r="J123" s="358"/>
      <c r="K123" s="358"/>
      <c r="L123" s="340"/>
      <c r="M123" s="358"/>
      <c r="N123" s="340"/>
      <c r="O123" s="349"/>
      <c r="P123" s="303"/>
      <c r="Q123" s="350"/>
      <c r="R123" s="351"/>
      <c r="S123" s="354"/>
      <c r="T123" s="354"/>
      <c r="U123" s="354"/>
      <c r="V123" s="354"/>
      <c r="X123" s="519" t="s">
        <v>1319</v>
      </c>
      <c r="Y123" s="246" t="s">
        <v>1394</v>
      </c>
      <c r="Z123" s="235" t="s">
        <v>566</v>
      </c>
      <c r="AA123" s="235">
        <v>13</v>
      </c>
      <c r="AB123" s="471" t="s">
        <v>2382</v>
      </c>
      <c r="AC123" s="579" t="s">
        <v>2391</v>
      </c>
      <c r="AD123" s="292">
        <f>16.6+18.9+0.6+3+3.9+7+7.4+20</f>
        <v>77.400000000000006</v>
      </c>
      <c r="AE123" s="475">
        <v>0</v>
      </c>
      <c r="AF123" s="475">
        <v>0</v>
      </c>
      <c r="AG123" s="553"/>
      <c r="AH123" s="553"/>
      <c r="AI123" s="455"/>
    </row>
    <row r="124" spans="1:35" ht="31.5" x14ac:dyDescent="0.25">
      <c r="A124" s="357"/>
      <c r="B124" s="345"/>
      <c r="C124" s="346"/>
      <c r="D124" s="346"/>
      <c r="E124" s="347"/>
      <c r="F124" s="346"/>
      <c r="G124" s="348"/>
      <c r="H124" s="300"/>
      <c r="I124" s="358"/>
      <c r="J124" s="358"/>
      <c r="K124" s="358"/>
      <c r="L124" s="340"/>
      <c r="M124" s="358"/>
      <c r="N124" s="340"/>
      <c r="O124" s="349"/>
      <c r="P124" s="348"/>
      <c r="Q124" s="350"/>
      <c r="R124" s="351"/>
      <c r="S124" s="354"/>
      <c r="T124" s="354"/>
      <c r="U124" s="354"/>
      <c r="V124" s="354"/>
      <c r="X124" s="520" t="s">
        <v>2102</v>
      </c>
      <c r="Y124" s="246" t="s">
        <v>1394</v>
      </c>
      <c r="Z124" s="235" t="s">
        <v>566</v>
      </c>
      <c r="AA124" s="235">
        <v>13</v>
      </c>
      <c r="AB124" s="442" t="s">
        <v>1805</v>
      </c>
      <c r="AC124" s="238"/>
      <c r="AD124" s="292">
        <f>AD125+AD130</f>
        <v>776.5</v>
      </c>
      <c r="AE124" s="475">
        <f>AE125+AE130</f>
        <v>437.5</v>
      </c>
      <c r="AF124" s="475">
        <f>AF125+AF130</f>
        <v>53.5</v>
      </c>
      <c r="AG124" s="553"/>
      <c r="AH124" s="553"/>
      <c r="AI124" s="455"/>
    </row>
    <row r="125" spans="1:35" ht="47.25" x14ac:dyDescent="0.25">
      <c r="A125" s="357"/>
      <c r="B125" s="345"/>
      <c r="C125" s="346"/>
      <c r="D125" s="346"/>
      <c r="E125" s="347"/>
      <c r="F125" s="346"/>
      <c r="G125" s="348"/>
      <c r="H125" s="300"/>
      <c r="I125" s="358"/>
      <c r="J125" s="358"/>
      <c r="K125" s="358"/>
      <c r="L125" s="340"/>
      <c r="M125" s="358"/>
      <c r="N125" s="340"/>
      <c r="O125" s="349"/>
      <c r="P125" s="348"/>
      <c r="Q125" s="350"/>
      <c r="R125" s="351"/>
      <c r="S125" s="354"/>
      <c r="T125" s="354"/>
      <c r="U125" s="354"/>
      <c r="V125" s="354"/>
      <c r="X125" s="520" t="s">
        <v>2103</v>
      </c>
      <c r="Y125" s="246" t="s">
        <v>1394</v>
      </c>
      <c r="Z125" s="235" t="s">
        <v>566</v>
      </c>
      <c r="AA125" s="235">
        <v>13</v>
      </c>
      <c r="AB125" s="442" t="s">
        <v>2104</v>
      </c>
      <c r="AC125" s="238"/>
      <c r="AD125" s="292">
        <f t="shared" ref="AD125:AF126" si="18">AD126</f>
        <v>13.5</v>
      </c>
      <c r="AE125" s="475">
        <f t="shared" si="18"/>
        <v>13.5</v>
      </c>
      <c r="AF125" s="475">
        <f t="shared" si="18"/>
        <v>13.5</v>
      </c>
      <c r="AG125" s="553"/>
      <c r="AH125" s="553"/>
      <c r="AI125" s="455"/>
    </row>
    <row r="126" spans="1:35" ht="31.5" x14ac:dyDescent="0.25">
      <c r="A126" s="357"/>
      <c r="B126" s="345"/>
      <c r="C126" s="346"/>
      <c r="D126" s="346"/>
      <c r="E126" s="347"/>
      <c r="F126" s="346"/>
      <c r="G126" s="348"/>
      <c r="H126" s="300"/>
      <c r="I126" s="358"/>
      <c r="J126" s="358"/>
      <c r="K126" s="358"/>
      <c r="L126" s="340"/>
      <c r="M126" s="358"/>
      <c r="N126" s="340"/>
      <c r="O126" s="349"/>
      <c r="P126" s="348"/>
      <c r="Q126" s="350"/>
      <c r="R126" s="351"/>
      <c r="S126" s="354"/>
      <c r="T126" s="354"/>
      <c r="U126" s="354"/>
      <c r="V126" s="354"/>
      <c r="X126" s="528" t="s">
        <v>2105</v>
      </c>
      <c r="Y126" s="246" t="s">
        <v>1394</v>
      </c>
      <c r="Z126" s="235" t="s">
        <v>566</v>
      </c>
      <c r="AA126" s="235">
        <v>13</v>
      </c>
      <c r="AB126" s="442" t="s">
        <v>2106</v>
      </c>
      <c r="AC126" s="238"/>
      <c r="AD126" s="292">
        <f t="shared" si="18"/>
        <v>13.5</v>
      </c>
      <c r="AE126" s="475">
        <f t="shared" si="18"/>
        <v>13.5</v>
      </c>
      <c r="AF126" s="475">
        <f t="shared" si="18"/>
        <v>13.5</v>
      </c>
      <c r="AG126" s="553"/>
      <c r="AH126" s="553"/>
      <c r="AI126" s="455"/>
    </row>
    <row r="127" spans="1:35" ht="94.5" x14ac:dyDescent="0.25">
      <c r="A127" s="357"/>
      <c r="B127" s="345"/>
      <c r="C127" s="346"/>
      <c r="D127" s="346"/>
      <c r="E127" s="347"/>
      <c r="F127" s="346"/>
      <c r="G127" s="348"/>
      <c r="H127" s="300"/>
      <c r="I127" s="358"/>
      <c r="J127" s="358"/>
      <c r="K127" s="358"/>
      <c r="L127" s="340"/>
      <c r="M127" s="358"/>
      <c r="N127" s="340"/>
      <c r="O127" s="349"/>
      <c r="P127" s="348"/>
      <c r="Q127" s="350"/>
      <c r="R127" s="351"/>
      <c r="S127" s="354"/>
      <c r="T127" s="354"/>
      <c r="U127" s="354"/>
      <c r="V127" s="354"/>
      <c r="X127" s="528" t="s">
        <v>2242</v>
      </c>
      <c r="Y127" s="246" t="s">
        <v>1394</v>
      </c>
      <c r="Z127" s="235" t="s">
        <v>566</v>
      </c>
      <c r="AA127" s="235">
        <v>13</v>
      </c>
      <c r="AB127" s="471" t="s">
        <v>2107</v>
      </c>
      <c r="AC127" s="238"/>
      <c r="AD127" s="292">
        <f t="shared" ref="AD127:AF128" si="19">AD128</f>
        <v>13.5</v>
      </c>
      <c r="AE127" s="475">
        <f t="shared" si="19"/>
        <v>13.5</v>
      </c>
      <c r="AF127" s="475">
        <f t="shared" si="19"/>
        <v>13.5</v>
      </c>
      <c r="AG127" s="553"/>
      <c r="AH127" s="553"/>
      <c r="AI127" s="455"/>
    </row>
    <row r="128" spans="1:35" x14ac:dyDescent="0.25">
      <c r="A128" s="357"/>
      <c r="B128" s="345"/>
      <c r="C128" s="346"/>
      <c r="D128" s="346"/>
      <c r="E128" s="347"/>
      <c r="F128" s="346"/>
      <c r="G128" s="348"/>
      <c r="H128" s="300"/>
      <c r="I128" s="358"/>
      <c r="J128" s="358"/>
      <c r="K128" s="358"/>
      <c r="L128" s="340"/>
      <c r="M128" s="358"/>
      <c r="N128" s="340"/>
      <c r="O128" s="349"/>
      <c r="P128" s="348"/>
      <c r="Q128" s="350"/>
      <c r="R128" s="351"/>
      <c r="S128" s="354"/>
      <c r="T128" s="354"/>
      <c r="U128" s="354"/>
      <c r="V128" s="354"/>
      <c r="X128" s="519" t="s">
        <v>1781</v>
      </c>
      <c r="Y128" s="246" t="s">
        <v>1394</v>
      </c>
      <c r="Z128" s="235" t="s">
        <v>566</v>
      </c>
      <c r="AA128" s="235">
        <v>13</v>
      </c>
      <c r="AB128" s="471" t="s">
        <v>2107</v>
      </c>
      <c r="AC128" s="238">
        <v>200</v>
      </c>
      <c r="AD128" s="292">
        <f t="shared" si="19"/>
        <v>13.5</v>
      </c>
      <c r="AE128" s="475">
        <f t="shared" si="19"/>
        <v>13.5</v>
      </c>
      <c r="AF128" s="475">
        <f t="shared" si="19"/>
        <v>13.5</v>
      </c>
      <c r="AG128" s="553"/>
      <c r="AH128" s="553"/>
      <c r="AI128" s="455"/>
    </row>
    <row r="129" spans="1:35" ht="31.5" x14ac:dyDescent="0.25">
      <c r="A129" s="357"/>
      <c r="B129" s="345"/>
      <c r="C129" s="346"/>
      <c r="D129" s="346"/>
      <c r="E129" s="347"/>
      <c r="F129" s="346"/>
      <c r="G129" s="348"/>
      <c r="H129" s="300"/>
      <c r="I129" s="358"/>
      <c r="J129" s="358"/>
      <c r="K129" s="358"/>
      <c r="L129" s="340"/>
      <c r="M129" s="358"/>
      <c r="N129" s="340"/>
      <c r="O129" s="349"/>
      <c r="P129" s="348"/>
      <c r="Q129" s="350"/>
      <c r="R129" s="351"/>
      <c r="S129" s="354"/>
      <c r="T129" s="354"/>
      <c r="U129" s="354"/>
      <c r="V129" s="354"/>
      <c r="X129" s="519" t="s">
        <v>1273</v>
      </c>
      <c r="Y129" s="246" t="s">
        <v>1394</v>
      </c>
      <c r="Z129" s="235" t="s">
        <v>566</v>
      </c>
      <c r="AA129" s="235">
        <v>13</v>
      </c>
      <c r="AB129" s="471" t="s">
        <v>2107</v>
      </c>
      <c r="AC129" s="238">
        <v>240</v>
      </c>
      <c r="AD129" s="292">
        <v>13.5</v>
      </c>
      <c r="AE129" s="475">
        <v>13.5</v>
      </c>
      <c r="AF129" s="475">
        <v>13.5</v>
      </c>
      <c r="AG129" s="553"/>
      <c r="AH129" s="553"/>
      <c r="AI129" s="455"/>
    </row>
    <row r="130" spans="1:35" x14ac:dyDescent="0.25">
      <c r="A130" s="357"/>
      <c r="B130" s="345"/>
      <c r="C130" s="346"/>
      <c r="D130" s="346"/>
      <c r="E130" s="347"/>
      <c r="F130" s="346"/>
      <c r="G130" s="348"/>
      <c r="H130" s="300"/>
      <c r="I130" s="358"/>
      <c r="J130" s="358"/>
      <c r="K130" s="358"/>
      <c r="L130" s="340"/>
      <c r="M130" s="358"/>
      <c r="N130" s="340"/>
      <c r="O130" s="349"/>
      <c r="P130" s="348"/>
      <c r="Q130" s="350"/>
      <c r="R130" s="351"/>
      <c r="S130" s="354"/>
      <c r="T130" s="354"/>
      <c r="U130" s="354"/>
      <c r="V130" s="354"/>
      <c r="X130" s="520" t="s">
        <v>1160</v>
      </c>
      <c r="Y130" s="246" t="s">
        <v>1394</v>
      </c>
      <c r="Z130" s="235" t="s">
        <v>566</v>
      </c>
      <c r="AA130" s="235">
        <v>13</v>
      </c>
      <c r="AB130" s="442" t="s">
        <v>2117</v>
      </c>
      <c r="AC130" s="238"/>
      <c r="AD130" s="292">
        <f>AD131+AD135</f>
        <v>763</v>
      </c>
      <c r="AE130" s="475">
        <f>AE131+AE135</f>
        <v>424</v>
      </c>
      <c r="AF130" s="475">
        <f>AF131+AF135</f>
        <v>40</v>
      </c>
      <c r="AG130" s="553"/>
      <c r="AH130" s="553"/>
      <c r="AI130" s="455"/>
    </row>
    <row r="131" spans="1:35" ht="31.5" x14ac:dyDescent="0.25">
      <c r="A131" s="357"/>
      <c r="B131" s="345"/>
      <c r="C131" s="346"/>
      <c r="D131" s="346"/>
      <c r="E131" s="347"/>
      <c r="F131" s="346"/>
      <c r="G131" s="348"/>
      <c r="H131" s="300"/>
      <c r="I131" s="358"/>
      <c r="J131" s="358"/>
      <c r="K131" s="358"/>
      <c r="L131" s="340"/>
      <c r="M131" s="358"/>
      <c r="N131" s="340"/>
      <c r="O131" s="349"/>
      <c r="P131" s="348"/>
      <c r="Q131" s="350"/>
      <c r="R131" s="351"/>
      <c r="S131" s="354"/>
      <c r="T131" s="354"/>
      <c r="U131" s="354"/>
      <c r="V131" s="354"/>
      <c r="X131" s="528" t="s">
        <v>2121</v>
      </c>
      <c r="Y131" s="246" t="s">
        <v>1394</v>
      </c>
      <c r="Z131" s="235" t="s">
        <v>566</v>
      </c>
      <c r="AA131" s="235">
        <v>13</v>
      </c>
      <c r="AB131" s="442" t="s">
        <v>2122</v>
      </c>
      <c r="AC131" s="238"/>
      <c r="AD131" s="292">
        <f t="shared" ref="AD131:AF133" si="20">AD132</f>
        <v>2</v>
      </c>
      <c r="AE131" s="475">
        <f t="shared" si="20"/>
        <v>424</v>
      </c>
      <c r="AF131" s="475">
        <f t="shared" si="20"/>
        <v>40</v>
      </c>
      <c r="AG131" s="553"/>
      <c r="AH131" s="553"/>
      <c r="AI131" s="455"/>
    </row>
    <row r="132" spans="1:35" ht="31.5" x14ac:dyDescent="0.25">
      <c r="A132" s="357"/>
      <c r="B132" s="345"/>
      <c r="C132" s="346"/>
      <c r="D132" s="346"/>
      <c r="E132" s="347"/>
      <c r="F132" s="346"/>
      <c r="G132" s="348"/>
      <c r="H132" s="300"/>
      <c r="I132" s="358"/>
      <c r="J132" s="358"/>
      <c r="K132" s="358"/>
      <c r="L132" s="340"/>
      <c r="M132" s="358"/>
      <c r="N132" s="340"/>
      <c r="O132" s="349"/>
      <c r="P132" s="348"/>
      <c r="Q132" s="350"/>
      <c r="R132" s="351"/>
      <c r="S132" s="354"/>
      <c r="T132" s="354"/>
      <c r="U132" s="354"/>
      <c r="V132" s="354"/>
      <c r="X132" s="520" t="s">
        <v>2123</v>
      </c>
      <c r="Y132" s="246" t="s">
        <v>1394</v>
      </c>
      <c r="Z132" s="235" t="s">
        <v>566</v>
      </c>
      <c r="AA132" s="235">
        <v>13</v>
      </c>
      <c r="AB132" s="442" t="s">
        <v>2124</v>
      </c>
      <c r="AC132" s="238"/>
      <c r="AD132" s="292">
        <f t="shared" si="20"/>
        <v>2</v>
      </c>
      <c r="AE132" s="475">
        <f t="shared" si="20"/>
        <v>424</v>
      </c>
      <c r="AF132" s="475">
        <f t="shared" si="20"/>
        <v>40</v>
      </c>
      <c r="AG132" s="553"/>
      <c r="AH132" s="553"/>
      <c r="AI132" s="455"/>
    </row>
    <row r="133" spans="1:35" x14ac:dyDescent="0.25">
      <c r="A133" s="357"/>
      <c r="B133" s="345"/>
      <c r="C133" s="346"/>
      <c r="D133" s="346"/>
      <c r="E133" s="347"/>
      <c r="F133" s="346"/>
      <c r="G133" s="348"/>
      <c r="H133" s="300"/>
      <c r="I133" s="358"/>
      <c r="J133" s="358"/>
      <c r="K133" s="358"/>
      <c r="L133" s="340"/>
      <c r="M133" s="358"/>
      <c r="N133" s="340"/>
      <c r="O133" s="349"/>
      <c r="P133" s="348"/>
      <c r="Q133" s="350"/>
      <c r="R133" s="351"/>
      <c r="S133" s="354"/>
      <c r="T133" s="354"/>
      <c r="U133" s="354"/>
      <c r="V133" s="354"/>
      <c r="X133" s="519" t="s">
        <v>1781</v>
      </c>
      <c r="Y133" s="246" t="s">
        <v>1394</v>
      </c>
      <c r="Z133" s="235" t="s">
        <v>566</v>
      </c>
      <c r="AA133" s="235">
        <v>13</v>
      </c>
      <c r="AB133" s="442" t="s">
        <v>2124</v>
      </c>
      <c r="AC133" s="238">
        <v>200</v>
      </c>
      <c r="AD133" s="292">
        <f t="shared" si="20"/>
        <v>2</v>
      </c>
      <c r="AE133" s="475">
        <f t="shared" si="20"/>
        <v>424</v>
      </c>
      <c r="AF133" s="475">
        <f t="shared" si="20"/>
        <v>40</v>
      </c>
      <c r="AG133" s="553"/>
      <c r="AH133" s="553"/>
      <c r="AI133" s="455"/>
    </row>
    <row r="134" spans="1:35" ht="31.5" x14ac:dyDescent="0.25">
      <c r="A134" s="357"/>
      <c r="B134" s="345"/>
      <c r="C134" s="346"/>
      <c r="D134" s="346"/>
      <c r="E134" s="347"/>
      <c r="F134" s="346"/>
      <c r="G134" s="348"/>
      <c r="H134" s="300"/>
      <c r="I134" s="358"/>
      <c r="J134" s="358"/>
      <c r="K134" s="358"/>
      <c r="L134" s="340"/>
      <c r="M134" s="358"/>
      <c r="N134" s="340"/>
      <c r="O134" s="349"/>
      <c r="P134" s="348"/>
      <c r="Q134" s="350"/>
      <c r="R134" s="351"/>
      <c r="S134" s="354"/>
      <c r="T134" s="354"/>
      <c r="U134" s="354"/>
      <c r="V134" s="354"/>
      <c r="X134" s="519" t="s">
        <v>1273</v>
      </c>
      <c r="Y134" s="246" t="s">
        <v>1394</v>
      </c>
      <c r="Z134" s="235" t="s">
        <v>566</v>
      </c>
      <c r="AA134" s="235">
        <v>13</v>
      </c>
      <c r="AB134" s="442" t="s">
        <v>2124</v>
      </c>
      <c r="AC134" s="238">
        <v>240</v>
      </c>
      <c r="AD134" s="292">
        <f>6-4</f>
        <v>2</v>
      </c>
      <c r="AE134" s="475">
        <v>424</v>
      </c>
      <c r="AF134" s="475">
        <v>40</v>
      </c>
      <c r="AG134" s="553"/>
      <c r="AH134" s="553"/>
      <c r="AI134" s="455"/>
    </row>
    <row r="135" spans="1:35" x14ac:dyDescent="0.25">
      <c r="A135" s="357"/>
      <c r="B135" s="345"/>
      <c r="C135" s="346"/>
      <c r="D135" s="346"/>
      <c r="E135" s="347"/>
      <c r="F135" s="346"/>
      <c r="G135" s="348"/>
      <c r="H135" s="300"/>
      <c r="I135" s="358"/>
      <c r="J135" s="358"/>
      <c r="K135" s="358"/>
      <c r="L135" s="340"/>
      <c r="M135" s="358"/>
      <c r="N135" s="340"/>
      <c r="O135" s="349"/>
      <c r="P135" s="348"/>
      <c r="Q135" s="350"/>
      <c r="R135" s="351"/>
      <c r="S135" s="354"/>
      <c r="T135" s="354"/>
      <c r="U135" s="354"/>
      <c r="V135" s="354"/>
      <c r="X135" s="519" t="s">
        <v>2243</v>
      </c>
      <c r="Y135" s="246" t="s">
        <v>1394</v>
      </c>
      <c r="Z135" s="235" t="s">
        <v>566</v>
      </c>
      <c r="AA135" s="235">
        <v>13</v>
      </c>
      <c r="AB135" s="442" t="s">
        <v>2160</v>
      </c>
      <c r="AC135" s="238"/>
      <c r="AD135" s="292">
        <f t="shared" ref="AD135:AF137" si="21">AD136</f>
        <v>761</v>
      </c>
      <c r="AE135" s="475">
        <f t="shared" si="21"/>
        <v>0</v>
      </c>
      <c r="AF135" s="475">
        <f t="shared" si="21"/>
        <v>0</v>
      </c>
      <c r="AG135" s="553"/>
      <c r="AH135" s="553"/>
      <c r="AI135" s="455"/>
    </row>
    <row r="136" spans="1:35" x14ac:dyDescent="0.25">
      <c r="A136" s="357"/>
      <c r="B136" s="345"/>
      <c r="C136" s="346"/>
      <c r="D136" s="346"/>
      <c r="E136" s="347"/>
      <c r="F136" s="346"/>
      <c r="G136" s="348"/>
      <c r="H136" s="300"/>
      <c r="I136" s="358"/>
      <c r="J136" s="358"/>
      <c r="K136" s="358"/>
      <c r="L136" s="340"/>
      <c r="M136" s="358"/>
      <c r="N136" s="340"/>
      <c r="O136" s="349"/>
      <c r="P136" s="348"/>
      <c r="Q136" s="350"/>
      <c r="R136" s="351"/>
      <c r="S136" s="354"/>
      <c r="T136" s="354"/>
      <c r="U136" s="354"/>
      <c r="V136" s="354"/>
      <c r="X136" s="519" t="s">
        <v>2261</v>
      </c>
      <c r="Y136" s="246" t="s">
        <v>1394</v>
      </c>
      <c r="Z136" s="235" t="s">
        <v>566</v>
      </c>
      <c r="AA136" s="235">
        <v>13</v>
      </c>
      <c r="AB136" s="442" t="s">
        <v>2159</v>
      </c>
      <c r="AC136" s="238"/>
      <c r="AD136" s="292">
        <f t="shared" si="21"/>
        <v>761</v>
      </c>
      <c r="AE136" s="475">
        <f t="shared" si="21"/>
        <v>0</v>
      </c>
      <c r="AF136" s="475">
        <f t="shared" si="21"/>
        <v>0</v>
      </c>
      <c r="AG136" s="553"/>
      <c r="AH136" s="553"/>
      <c r="AI136" s="455"/>
    </row>
    <row r="137" spans="1:35" x14ac:dyDescent="0.25">
      <c r="A137" s="357"/>
      <c r="B137" s="345"/>
      <c r="C137" s="346"/>
      <c r="D137" s="346"/>
      <c r="E137" s="347"/>
      <c r="F137" s="346"/>
      <c r="G137" s="348"/>
      <c r="H137" s="300"/>
      <c r="I137" s="358"/>
      <c r="J137" s="358"/>
      <c r="K137" s="358"/>
      <c r="L137" s="340"/>
      <c r="M137" s="358"/>
      <c r="N137" s="340"/>
      <c r="O137" s="349"/>
      <c r="P137" s="348"/>
      <c r="Q137" s="350"/>
      <c r="R137" s="351"/>
      <c r="S137" s="354"/>
      <c r="T137" s="354"/>
      <c r="U137" s="354"/>
      <c r="V137" s="354"/>
      <c r="X137" s="519" t="s">
        <v>1781</v>
      </c>
      <c r="Y137" s="246" t="s">
        <v>1394</v>
      </c>
      <c r="Z137" s="235" t="s">
        <v>566</v>
      </c>
      <c r="AA137" s="235">
        <v>13</v>
      </c>
      <c r="AB137" s="442" t="s">
        <v>2159</v>
      </c>
      <c r="AC137" s="238">
        <v>200</v>
      </c>
      <c r="AD137" s="292">
        <f t="shared" si="21"/>
        <v>761</v>
      </c>
      <c r="AE137" s="475">
        <f t="shared" si="21"/>
        <v>0</v>
      </c>
      <c r="AF137" s="475">
        <f t="shared" si="21"/>
        <v>0</v>
      </c>
      <c r="AG137" s="553"/>
      <c r="AH137" s="553"/>
      <c r="AI137" s="455"/>
    </row>
    <row r="138" spans="1:35" ht="31.5" x14ac:dyDescent="0.25">
      <c r="A138" s="357"/>
      <c r="B138" s="345"/>
      <c r="C138" s="346"/>
      <c r="D138" s="346"/>
      <c r="E138" s="347"/>
      <c r="F138" s="346"/>
      <c r="G138" s="348"/>
      <c r="H138" s="300"/>
      <c r="I138" s="358"/>
      <c r="J138" s="358"/>
      <c r="K138" s="358"/>
      <c r="L138" s="340"/>
      <c r="M138" s="358"/>
      <c r="N138" s="340"/>
      <c r="O138" s="349"/>
      <c r="P138" s="348"/>
      <c r="Q138" s="350"/>
      <c r="R138" s="351"/>
      <c r="S138" s="354"/>
      <c r="T138" s="354"/>
      <c r="U138" s="354"/>
      <c r="V138" s="354"/>
      <c r="X138" s="519" t="s">
        <v>1273</v>
      </c>
      <c r="Y138" s="246" t="s">
        <v>1394</v>
      </c>
      <c r="Z138" s="235" t="s">
        <v>566</v>
      </c>
      <c r="AA138" s="235">
        <v>13</v>
      </c>
      <c r="AB138" s="442" t="s">
        <v>2159</v>
      </c>
      <c r="AC138" s="238">
        <v>240</v>
      </c>
      <c r="AD138" s="292">
        <f>1958-1197</f>
        <v>761</v>
      </c>
      <c r="AE138" s="475">
        <v>0</v>
      </c>
      <c r="AF138" s="475">
        <v>0</v>
      </c>
      <c r="AG138" s="553"/>
      <c r="AH138" s="553"/>
      <c r="AI138" s="455"/>
    </row>
    <row r="139" spans="1:35" x14ac:dyDescent="0.25">
      <c r="A139" s="357"/>
      <c r="B139" s="345"/>
      <c r="C139" s="346"/>
      <c r="D139" s="346"/>
      <c r="E139" s="347"/>
      <c r="F139" s="346"/>
      <c r="G139" s="348"/>
      <c r="H139" s="300"/>
      <c r="I139" s="358"/>
      <c r="J139" s="358"/>
      <c r="K139" s="358"/>
      <c r="L139" s="340"/>
      <c r="M139" s="358"/>
      <c r="N139" s="340"/>
      <c r="O139" s="349"/>
      <c r="P139" s="348"/>
      <c r="Q139" s="350"/>
      <c r="R139" s="351"/>
      <c r="S139" s="354"/>
      <c r="T139" s="354"/>
      <c r="U139" s="354"/>
      <c r="V139" s="354"/>
      <c r="X139" s="548" t="s">
        <v>1957</v>
      </c>
      <c r="Y139" s="246" t="s">
        <v>1394</v>
      </c>
      <c r="Z139" s="235" t="s">
        <v>566</v>
      </c>
      <c r="AA139" s="235">
        <v>13</v>
      </c>
      <c r="AB139" s="442" t="s">
        <v>1958</v>
      </c>
      <c r="AC139" s="238"/>
      <c r="AD139" s="292">
        <f>AD140</f>
        <v>35622.800000000003</v>
      </c>
      <c r="AE139" s="292">
        <f t="shared" ref="AE139:AF139" si="22">AE140</f>
        <v>26307</v>
      </c>
      <c r="AF139" s="292">
        <f t="shared" si="22"/>
        <v>26307</v>
      </c>
      <c r="AG139" s="553"/>
      <c r="AH139" s="553"/>
      <c r="AI139" s="455"/>
    </row>
    <row r="140" spans="1:35" ht="57" customHeight="1" x14ac:dyDescent="0.25">
      <c r="A140" s="357"/>
      <c r="B140" s="345"/>
      <c r="C140" s="346"/>
      <c r="D140" s="346"/>
      <c r="E140" s="347"/>
      <c r="F140" s="346"/>
      <c r="G140" s="348"/>
      <c r="H140" s="300"/>
      <c r="I140" s="358"/>
      <c r="J140" s="358"/>
      <c r="K140" s="358"/>
      <c r="L140" s="340"/>
      <c r="M140" s="358"/>
      <c r="N140" s="340"/>
      <c r="O140" s="349"/>
      <c r="P140" s="348"/>
      <c r="Q140" s="350"/>
      <c r="R140" s="351"/>
      <c r="S140" s="354"/>
      <c r="T140" s="354"/>
      <c r="U140" s="354"/>
      <c r="V140" s="354"/>
      <c r="X140" s="548" t="s">
        <v>2436</v>
      </c>
      <c r="Y140" s="246" t="s">
        <v>1394</v>
      </c>
      <c r="Z140" s="235" t="s">
        <v>566</v>
      </c>
      <c r="AA140" s="235">
        <v>13</v>
      </c>
      <c r="AB140" s="442" t="s">
        <v>1959</v>
      </c>
      <c r="AC140" s="238"/>
      <c r="AD140" s="292">
        <f>AD141+AD145</f>
        <v>35622.800000000003</v>
      </c>
      <c r="AE140" s="475">
        <f t="shared" ref="AD140:AF141" si="23">AE141</f>
        <v>26307</v>
      </c>
      <c r="AF140" s="475">
        <f t="shared" si="23"/>
        <v>26307</v>
      </c>
      <c r="AG140" s="553"/>
      <c r="AH140" s="553"/>
      <c r="AI140" s="455"/>
    </row>
    <row r="141" spans="1:35" ht="31.5" x14ac:dyDescent="0.25">
      <c r="A141" s="357"/>
      <c r="B141" s="345"/>
      <c r="C141" s="346"/>
      <c r="D141" s="346"/>
      <c r="E141" s="347"/>
      <c r="F141" s="346"/>
      <c r="G141" s="348"/>
      <c r="H141" s="300"/>
      <c r="I141" s="358"/>
      <c r="J141" s="358"/>
      <c r="K141" s="358"/>
      <c r="L141" s="340"/>
      <c r="M141" s="358"/>
      <c r="N141" s="340"/>
      <c r="O141" s="349"/>
      <c r="P141" s="348"/>
      <c r="Q141" s="350"/>
      <c r="R141" s="351"/>
      <c r="S141" s="354"/>
      <c r="T141" s="354"/>
      <c r="U141" s="354"/>
      <c r="V141" s="354"/>
      <c r="X141" s="548" t="s">
        <v>1960</v>
      </c>
      <c r="Y141" s="246" t="s">
        <v>1394</v>
      </c>
      <c r="Z141" s="235" t="s">
        <v>566</v>
      </c>
      <c r="AA141" s="235">
        <v>13</v>
      </c>
      <c r="AB141" s="442" t="s">
        <v>1961</v>
      </c>
      <c r="AC141" s="238"/>
      <c r="AD141" s="292">
        <f t="shared" si="23"/>
        <v>35401.800000000003</v>
      </c>
      <c r="AE141" s="475">
        <f t="shared" si="23"/>
        <v>26307</v>
      </c>
      <c r="AF141" s="475">
        <f t="shared" si="23"/>
        <v>26307</v>
      </c>
      <c r="AG141" s="553"/>
      <c r="AH141" s="553"/>
      <c r="AI141" s="455"/>
    </row>
    <row r="142" spans="1:35" ht="31.5" x14ac:dyDescent="0.25">
      <c r="A142" s="357"/>
      <c r="B142" s="345"/>
      <c r="C142" s="346"/>
      <c r="D142" s="346"/>
      <c r="E142" s="347"/>
      <c r="F142" s="346"/>
      <c r="G142" s="348"/>
      <c r="H142" s="300"/>
      <c r="I142" s="358"/>
      <c r="J142" s="358"/>
      <c r="K142" s="358"/>
      <c r="L142" s="340"/>
      <c r="M142" s="358"/>
      <c r="N142" s="340"/>
      <c r="O142" s="349"/>
      <c r="P142" s="348"/>
      <c r="Q142" s="350"/>
      <c r="R142" s="351"/>
      <c r="S142" s="354"/>
      <c r="T142" s="354"/>
      <c r="U142" s="354"/>
      <c r="V142" s="354"/>
      <c r="X142" s="529" t="s">
        <v>1962</v>
      </c>
      <c r="Y142" s="246" t="s">
        <v>1394</v>
      </c>
      <c r="Z142" s="235" t="s">
        <v>566</v>
      </c>
      <c r="AA142" s="235">
        <v>13</v>
      </c>
      <c r="AB142" s="442" t="s">
        <v>1963</v>
      </c>
      <c r="AC142" s="238"/>
      <c r="AD142" s="292">
        <f t="shared" ref="AD142:AF143" si="24">AD143</f>
        <v>35401.800000000003</v>
      </c>
      <c r="AE142" s="475">
        <f t="shared" si="24"/>
        <v>26307</v>
      </c>
      <c r="AF142" s="475">
        <f t="shared" si="24"/>
        <v>26307</v>
      </c>
      <c r="AG142" s="553"/>
      <c r="AH142" s="553"/>
      <c r="AI142" s="455"/>
    </row>
    <row r="143" spans="1:35" ht="31.5" x14ac:dyDescent="0.25">
      <c r="A143" s="357"/>
      <c r="B143" s="345"/>
      <c r="C143" s="346"/>
      <c r="D143" s="346"/>
      <c r="E143" s="347"/>
      <c r="F143" s="346"/>
      <c r="G143" s="348"/>
      <c r="H143" s="300"/>
      <c r="I143" s="358"/>
      <c r="J143" s="358"/>
      <c r="K143" s="358"/>
      <c r="L143" s="340"/>
      <c r="M143" s="358"/>
      <c r="N143" s="340"/>
      <c r="O143" s="349"/>
      <c r="P143" s="348"/>
      <c r="Q143" s="350"/>
      <c r="R143" s="351"/>
      <c r="S143" s="354"/>
      <c r="T143" s="354"/>
      <c r="U143" s="354"/>
      <c r="V143" s="354"/>
      <c r="X143" s="519" t="s">
        <v>1342</v>
      </c>
      <c r="Y143" s="246" t="s">
        <v>1394</v>
      </c>
      <c r="Z143" s="235" t="s">
        <v>566</v>
      </c>
      <c r="AA143" s="235">
        <v>13</v>
      </c>
      <c r="AB143" s="442" t="s">
        <v>1963</v>
      </c>
      <c r="AC143" s="238">
        <v>600</v>
      </c>
      <c r="AD143" s="292">
        <f t="shared" si="24"/>
        <v>35401.800000000003</v>
      </c>
      <c r="AE143" s="475">
        <f t="shared" si="24"/>
        <v>26307</v>
      </c>
      <c r="AF143" s="475">
        <f t="shared" si="24"/>
        <v>26307</v>
      </c>
      <c r="AG143" s="553"/>
      <c r="AH143" s="553"/>
      <c r="AI143" s="455"/>
    </row>
    <row r="144" spans="1:35" x14ac:dyDescent="0.25">
      <c r="A144" s="357"/>
      <c r="B144" s="345"/>
      <c r="C144" s="346"/>
      <c r="D144" s="346"/>
      <c r="E144" s="347"/>
      <c r="F144" s="346"/>
      <c r="G144" s="348"/>
      <c r="H144" s="300"/>
      <c r="I144" s="358"/>
      <c r="J144" s="358"/>
      <c r="K144" s="358"/>
      <c r="L144" s="340"/>
      <c r="M144" s="358"/>
      <c r="N144" s="340"/>
      <c r="O144" s="349"/>
      <c r="P144" s="348"/>
      <c r="Q144" s="350"/>
      <c r="R144" s="351"/>
      <c r="S144" s="354"/>
      <c r="T144" s="354"/>
      <c r="U144" s="354"/>
      <c r="V144" s="354"/>
      <c r="X144" s="519" t="s">
        <v>1343</v>
      </c>
      <c r="Y144" s="246" t="s">
        <v>1394</v>
      </c>
      <c r="Z144" s="235" t="s">
        <v>566</v>
      </c>
      <c r="AA144" s="235">
        <v>13</v>
      </c>
      <c r="AB144" s="442" t="s">
        <v>1963</v>
      </c>
      <c r="AC144" s="238">
        <v>610</v>
      </c>
      <c r="AD144" s="292">
        <f>32307+3094.8</f>
        <v>35401.800000000003</v>
      </c>
      <c r="AE144" s="475">
        <v>26307</v>
      </c>
      <c r="AF144" s="475">
        <v>26307</v>
      </c>
      <c r="AG144" s="553"/>
      <c r="AH144" s="553"/>
      <c r="AI144" s="455"/>
    </row>
    <row r="145" spans="1:35" ht="49.9" customHeight="1" x14ac:dyDescent="0.25">
      <c r="A145" s="357"/>
      <c r="B145" s="345"/>
      <c r="C145" s="346"/>
      <c r="D145" s="346"/>
      <c r="E145" s="347"/>
      <c r="F145" s="346"/>
      <c r="G145" s="348"/>
      <c r="H145" s="300"/>
      <c r="I145" s="358"/>
      <c r="J145" s="358"/>
      <c r="K145" s="358"/>
      <c r="L145" s="340"/>
      <c r="M145" s="358"/>
      <c r="N145" s="340"/>
      <c r="O145" s="349"/>
      <c r="P145" s="348"/>
      <c r="Q145" s="350"/>
      <c r="R145" s="351"/>
      <c r="S145" s="354"/>
      <c r="T145" s="354"/>
      <c r="U145" s="354"/>
      <c r="V145" s="354"/>
      <c r="X145" s="519" t="s">
        <v>2421</v>
      </c>
      <c r="Y145" s="246" t="s">
        <v>1394</v>
      </c>
      <c r="Z145" s="235" t="s">
        <v>566</v>
      </c>
      <c r="AA145" s="235">
        <v>13</v>
      </c>
      <c r="AB145" s="442" t="s">
        <v>2422</v>
      </c>
      <c r="AC145" s="238"/>
      <c r="AD145" s="292">
        <f>AD146</f>
        <v>221</v>
      </c>
      <c r="AE145" s="292">
        <f t="shared" ref="AE145:AF145" si="25">AE146</f>
        <v>0</v>
      </c>
      <c r="AF145" s="292">
        <f t="shared" si="25"/>
        <v>0</v>
      </c>
      <c r="AG145" s="553"/>
      <c r="AH145" s="553"/>
      <c r="AI145" s="455"/>
    </row>
    <row r="146" spans="1:35" ht="81.599999999999994" customHeight="1" x14ac:dyDescent="0.25">
      <c r="A146" s="357"/>
      <c r="B146" s="345"/>
      <c r="C146" s="346"/>
      <c r="D146" s="346"/>
      <c r="E146" s="347"/>
      <c r="F146" s="346"/>
      <c r="G146" s="348"/>
      <c r="H146" s="300"/>
      <c r="I146" s="358"/>
      <c r="J146" s="358"/>
      <c r="K146" s="358"/>
      <c r="L146" s="340"/>
      <c r="M146" s="358"/>
      <c r="N146" s="340"/>
      <c r="O146" s="349"/>
      <c r="P146" s="348"/>
      <c r="Q146" s="350"/>
      <c r="R146" s="351"/>
      <c r="S146" s="354"/>
      <c r="T146" s="354"/>
      <c r="U146" s="354"/>
      <c r="V146" s="354"/>
      <c r="X146" s="519" t="s">
        <v>2439</v>
      </c>
      <c r="Y146" s="246" t="s">
        <v>1394</v>
      </c>
      <c r="Z146" s="235" t="s">
        <v>566</v>
      </c>
      <c r="AA146" s="235">
        <v>13</v>
      </c>
      <c r="AB146" s="442" t="s">
        <v>2423</v>
      </c>
      <c r="AC146" s="238"/>
      <c r="AD146" s="292">
        <f>AD147</f>
        <v>221</v>
      </c>
      <c r="AE146" s="292">
        <f t="shared" ref="AE146:AF146" si="26">AE147</f>
        <v>0</v>
      </c>
      <c r="AF146" s="292">
        <f t="shared" si="26"/>
        <v>0</v>
      </c>
      <c r="AG146" s="553"/>
      <c r="AH146" s="553"/>
      <c r="AI146" s="455"/>
    </row>
    <row r="147" spans="1:35" ht="31.5" x14ac:dyDescent="0.25">
      <c r="A147" s="357"/>
      <c r="B147" s="345"/>
      <c r="C147" s="346"/>
      <c r="D147" s="346"/>
      <c r="E147" s="347"/>
      <c r="F147" s="346"/>
      <c r="G147" s="348"/>
      <c r="H147" s="300"/>
      <c r="I147" s="358"/>
      <c r="J147" s="358"/>
      <c r="K147" s="358"/>
      <c r="L147" s="340"/>
      <c r="M147" s="358"/>
      <c r="N147" s="340"/>
      <c r="O147" s="349"/>
      <c r="P147" s="348"/>
      <c r="Q147" s="350"/>
      <c r="R147" s="351"/>
      <c r="S147" s="354"/>
      <c r="T147" s="354"/>
      <c r="U147" s="354"/>
      <c r="V147" s="354"/>
      <c r="X147" s="519" t="s">
        <v>1342</v>
      </c>
      <c r="Y147" s="246" t="s">
        <v>1394</v>
      </c>
      <c r="Z147" s="235" t="s">
        <v>566</v>
      </c>
      <c r="AA147" s="235">
        <v>13</v>
      </c>
      <c r="AB147" s="442" t="s">
        <v>2423</v>
      </c>
      <c r="AC147" s="238">
        <v>600</v>
      </c>
      <c r="AD147" s="292">
        <f>AD148</f>
        <v>221</v>
      </c>
      <c r="AE147" s="292">
        <f t="shared" ref="AE147:AF147" si="27">AE148</f>
        <v>0</v>
      </c>
      <c r="AF147" s="292">
        <f t="shared" si="27"/>
        <v>0</v>
      </c>
      <c r="AG147" s="553"/>
      <c r="AH147" s="553"/>
      <c r="AI147" s="455"/>
    </row>
    <row r="148" spans="1:35" x14ac:dyDescent="0.25">
      <c r="A148" s="357"/>
      <c r="B148" s="345"/>
      <c r="C148" s="346"/>
      <c r="D148" s="346"/>
      <c r="E148" s="347"/>
      <c r="F148" s="346"/>
      <c r="G148" s="348"/>
      <c r="H148" s="300"/>
      <c r="I148" s="358"/>
      <c r="J148" s="358"/>
      <c r="K148" s="358"/>
      <c r="L148" s="340"/>
      <c r="M148" s="358"/>
      <c r="N148" s="340"/>
      <c r="O148" s="349"/>
      <c r="P148" s="348"/>
      <c r="Q148" s="350"/>
      <c r="R148" s="351"/>
      <c r="S148" s="354"/>
      <c r="T148" s="354"/>
      <c r="U148" s="354"/>
      <c r="V148" s="354"/>
      <c r="X148" s="519" t="s">
        <v>1343</v>
      </c>
      <c r="Y148" s="246" t="s">
        <v>1394</v>
      </c>
      <c r="Z148" s="235" t="s">
        <v>566</v>
      </c>
      <c r="AA148" s="235">
        <v>13</v>
      </c>
      <c r="AB148" s="442" t="s">
        <v>2423</v>
      </c>
      <c r="AC148" s="238">
        <v>610</v>
      </c>
      <c r="AD148" s="292">
        <v>221</v>
      </c>
      <c r="AE148" s="475">
        <v>0</v>
      </c>
      <c r="AF148" s="475">
        <v>0</v>
      </c>
      <c r="AG148" s="553"/>
      <c r="AH148" s="553"/>
      <c r="AI148" s="455"/>
    </row>
    <row r="149" spans="1:35" x14ac:dyDescent="0.25">
      <c r="A149" s="357"/>
      <c r="B149" s="345"/>
      <c r="C149" s="346"/>
      <c r="D149" s="346"/>
      <c r="E149" s="347"/>
      <c r="F149" s="346"/>
      <c r="G149" s="348"/>
      <c r="H149" s="300"/>
      <c r="I149" s="358"/>
      <c r="J149" s="358"/>
      <c r="K149" s="358"/>
      <c r="L149" s="340"/>
      <c r="M149" s="358"/>
      <c r="N149" s="340"/>
      <c r="O149" s="349"/>
      <c r="P149" s="348"/>
      <c r="Q149" s="350"/>
      <c r="R149" s="351"/>
      <c r="S149" s="354"/>
      <c r="T149" s="354"/>
      <c r="U149" s="354"/>
      <c r="V149" s="354"/>
      <c r="X149" s="548" t="s">
        <v>1945</v>
      </c>
      <c r="Y149" s="246" t="s">
        <v>1394</v>
      </c>
      <c r="Z149" s="235" t="s">
        <v>566</v>
      </c>
      <c r="AA149" s="235">
        <v>13</v>
      </c>
      <c r="AB149" s="442" t="s">
        <v>1815</v>
      </c>
      <c r="AC149" s="579"/>
      <c r="AD149" s="292">
        <f>AD150+AD153</f>
        <v>689</v>
      </c>
      <c r="AE149" s="475">
        <f>AE150+AE153</f>
        <v>100</v>
      </c>
      <c r="AF149" s="475">
        <f>AF150+AF153</f>
        <v>100</v>
      </c>
      <c r="AG149" s="553"/>
      <c r="AH149" s="553"/>
      <c r="AI149" s="455"/>
    </row>
    <row r="150" spans="1:35" x14ac:dyDescent="0.25">
      <c r="A150" s="357"/>
      <c r="B150" s="345"/>
      <c r="C150" s="346"/>
      <c r="D150" s="346"/>
      <c r="E150" s="347"/>
      <c r="F150" s="346"/>
      <c r="G150" s="348"/>
      <c r="H150" s="300"/>
      <c r="I150" s="358"/>
      <c r="J150" s="358"/>
      <c r="K150" s="358"/>
      <c r="L150" s="340"/>
      <c r="M150" s="358"/>
      <c r="N150" s="340"/>
      <c r="O150" s="349"/>
      <c r="P150" s="348"/>
      <c r="Q150" s="350"/>
      <c r="R150" s="351"/>
      <c r="S150" s="354"/>
      <c r="T150" s="354"/>
      <c r="U150" s="354"/>
      <c r="V150" s="354"/>
      <c r="X150" s="531" t="s">
        <v>1946</v>
      </c>
      <c r="Y150" s="246" t="s">
        <v>1394</v>
      </c>
      <c r="Z150" s="242" t="s">
        <v>566</v>
      </c>
      <c r="AA150" s="242">
        <v>13</v>
      </c>
      <c r="AB150" s="442" t="s">
        <v>1947</v>
      </c>
      <c r="AC150" s="581"/>
      <c r="AD150" s="292">
        <f t="shared" ref="AD150:AF151" si="28">AD151</f>
        <v>111</v>
      </c>
      <c r="AE150" s="475">
        <f t="shared" si="28"/>
        <v>100</v>
      </c>
      <c r="AF150" s="475">
        <f t="shared" si="28"/>
        <v>100</v>
      </c>
      <c r="AG150" s="553"/>
      <c r="AH150" s="553"/>
      <c r="AI150" s="455"/>
    </row>
    <row r="151" spans="1:35" x14ac:dyDescent="0.25">
      <c r="A151" s="357"/>
      <c r="B151" s="345"/>
      <c r="C151" s="346"/>
      <c r="D151" s="346"/>
      <c r="E151" s="347"/>
      <c r="F151" s="346"/>
      <c r="G151" s="348"/>
      <c r="H151" s="300"/>
      <c r="I151" s="358"/>
      <c r="J151" s="358"/>
      <c r="K151" s="358"/>
      <c r="L151" s="340"/>
      <c r="M151" s="358"/>
      <c r="N151" s="340"/>
      <c r="O151" s="349"/>
      <c r="P151" s="348"/>
      <c r="Q151" s="350"/>
      <c r="R151" s="351"/>
      <c r="S151" s="354"/>
      <c r="T151" s="354"/>
      <c r="U151" s="354"/>
      <c r="V151" s="354"/>
      <c r="X151" s="523" t="s">
        <v>923</v>
      </c>
      <c r="Y151" s="578" t="s">
        <v>1394</v>
      </c>
      <c r="Z151" s="242" t="s">
        <v>566</v>
      </c>
      <c r="AA151" s="242">
        <v>13</v>
      </c>
      <c r="AB151" s="442" t="s">
        <v>1947</v>
      </c>
      <c r="AC151" s="581">
        <v>800</v>
      </c>
      <c r="AD151" s="292">
        <f t="shared" si="28"/>
        <v>111</v>
      </c>
      <c r="AE151" s="475">
        <f t="shared" si="28"/>
        <v>100</v>
      </c>
      <c r="AF151" s="475">
        <f t="shared" si="28"/>
        <v>100</v>
      </c>
      <c r="AG151" s="553"/>
      <c r="AH151" s="553"/>
      <c r="AI151" s="455"/>
    </row>
    <row r="152" spans="1:35" x14ac:dyDescent="0.25">
      <c r="A152" s="357"/>
      <c r="B152" s="345"/>
      <c r="C152" s="346"/>
      <c r="D152" s="346"/>
      <c r="E152" s="347"/>
      <c r="F152" s="346"/>
      <c r="G152" s="348"/>
      <c r="H152" s="300"/>
      <c r="I152" s="358"/>
      <c r="J152" s="358"/>
      <c r="K152" s="358"/>
      <c r="L152" s="340"/>
      <c r="M152" s="358"/>
      <c r="N152" s="340"/>
      <c r="O152" s="349"/>
      <c r="P152" s="348"/>
      <c r="Q152" s="350"/>
      <c r="R152" s="351"/>
      <c r="S152" s="354"/>
      <c r="T152" s="354"/>
      <c r="U152" s="354"/>
      <c r="V152" s="354"/>
      <c r="X152" s="523" t="s">
        <v>1810</v>
      </c>
      <c r="Y152" s="578" t="s">
        <v>1394</v>
      </c>
      <c r="Z152" s="242" t="s">
        <v>566</v>
      </c>
      <c r="AA152" s="242">
        <v>13</v>
      </c>
      <c r="AB152" s="442" t="s">
        <v>1947</v>
      </c>
      <c r="AC152" s="581">
        <v>830</v>
      </c>
      <c r="AD152" s="292">
        <f>100+11</f>
        <v>111</v>
      </c>
      <c r="AE152" s="475">
        <v>100</v>
      </c>
      <c r="AF152" s="475">
        <v>100</v>
      </c>
      <c r="AG152" s="553"/>
      <c r="AH152" s="553"/>
      <c r="AI152" s="455"/>
    </row>
    <row r="153" spans="1:35" x14ac:dyDescent="0.25">
      <c r="A153" s="357"/>
      <c r="B153" s="345"/>
      <c r="C153" s="346"/>
      <c r="D153" s="346"/>
      <c r="E153" s="347"/>
      <c r="F153" s="346"/>
      <c r="G153" s="348"/>
      <c r="H153" s="300"/>
      <c r="I153" s="358"/>
      <c r="J153" s="358"/>
      <c r="K153" s="358"/>
      <c r="L153" s="340"/>
      <c r="M153" s="358"/>
      <c r="N153" s="340"/>
      <c r="O153" s="349"/>
      <c r="P153" s="348"/>
      <c r="Q153" s="350"/>
      <c r="R153" s="351"/>
      <c r="S153" s="354"/>
      <c r="T153" s="354"/>
      <c r="U153" s="354"/>
      <c r="V153" s="354"/>
      <c r="X153" s="554" t="s">
        <v>2257</v>
      </c>
      <c r="Y153" s="543" t="s">
        <v>1394</v>
      </c>
      <c r="Z153" s="242" t="s">
        <v>566</v>
      </c>
      <c r="AA153" s="242">
        <v>13</v>
      </c>
      <c r="AB153" s="547" t="s">
        <v>2258</v>
      </c>
      <c r="AC153" s="581"/>
      <c r="AD153" s="292">
        <f>AD154</f>
        <v>578</v>
      </c>
      <c r="AE153" s="475">
        <f t="shared" ref="AE153:AF155" si="29">AE154</f>
        <v>0</v>
      </c>
      <c r="AF153" s="475">
        <f t="shared" si="29"/>
        <v>0</v>
      </c>
      <c r="AG153" s="553"/>
      <c r="AH153" s="553"/>
      <c r="AI153" s="455"/>
    </row>
    <row r="154" spans="1:35" x14ac:dyDescent="0.25">
      <c r="A154" s="357"/>
      <c r="B154" s="345"/>
      <c r="C154" s="346"/>
      <c r="D154" s="346"/>
      <c r="E154" s="347"/>
      <c r="F154" s="346"/>
      <c r="G154" s="348"/>
      <c r="H154" s="300"/>
      <c r="I154" s="358"/>
      <c r="J154" s="358"/>
      <c r="K154" s="358"/>
      <c r="L154" s="340"/>
      <c r="M154" s="358"/>
      <c r="N154" s="340"/>
      <c r="O154" s="349"/>
      <c r="P154" s="348"/>
      <c r="Q154" s="350"/>
      <c r="R154" s="351"/>
      <c r="S154" s="354"/>
      <c r="T154" s="354"/>
      <c r="U154" s="354"/>
      <c r="V154" s="354"/>
      <c r="X154" s="523" t="s">
        <v>2396</v>
      </c>
      <c r="Y154" s="543" t="s">
        <v>1394</v>
      </c>
      <c r="Z154" s="242" t="s">
        <v>566</v>
      </c>
      <c r="AA154" s="242">
        <v>13</v>
      </c>
      <c r="AB154" s="547" t="s">
        <v>2397</v>
      </c>
      <c r="AC154" s="581"/>
      <c r="AD154" s="292">
        <f>AD155</f>
        <v>578</v>
      </c>
      <c r="AE154" s="475">
        <f t="shared" si="29"/>
        <v>0</v>
      </c>
      <c r="AF154" s="475">
        <f t="shared" si="29"/>
        <v>0</v>
      </c>
      <c r="AG154" s="553"/>
      <c r="AH154" s="553"/>
      <c r="AI154" s="455"/>
    </row>
    <row r="155" spans="1:35" x14ac:dyDescent="0.25">
      <c r="A155" s="357"/>
      <c r="B155" s="345"/>
      <c r="C155" s="346"/>
      <c r="D155" s="346"/>
      <c r="E155" s="347"/>
      <c r="F155" s="346"/>
      <c r="G155" s="348"/>
      <c r="H155" s="300"/>
      <c r="I155" s="358"/>
      <c r="J155" s="358"/>
      <c r="K155" s="358"/>
      <c r="L155" s="340"/>
      <c r="M155" s="358"/>
      <c r="N155" s="340"/>
      <c r="O155" s="349"/>
      <c r="P155" s="348"/>
      <c r="Q155" s="350"/>
      <c r="R155" s="351"/>
      <c r="S155" s="354"/>
      <c r="T155" s="354"/>
      <c r="U155" s="354"/>
      <c r="V155" s="354"/>
      <c r="X155" s="519" t="s">
        <v>923</v>
      </c>
      <c r="Y155" s="543" t="s">
        <v>1394</v>
      </c>
      <c r="Z155" s="242" t="s">
        <v>566</v>
      </c>
      <c r="AA155" s="242">
        <v>13</v>
      </c>
      <c r="AB155" s="547" t="s">
        <v>2397</v>
      </c>
      <c r="AC155" s="581">
        <v>800</v>
      </c>
      <c r="AD155" s="292">
        <f>AD156</f>
        <v>578</v>
      </c>
      <c r="AE155" s="475">
        <f t="shared" si="29"/>
        <v>0</v>
      </c>
      <c r="AF155" s="475">
        <f t="shared" si="29"/>
        <v>0</v>
      </c>
      <c r="AG155" s="553"/>
      <c r="AH155" s="553"/>
      <c r="AI155" s="455"/>
    </row>
    <row r="156" spans="1:35" x14ac:dyDescent="0.25">
      <c r="A156" s="357"/>
      <c r="B156" s="345"/>
      <c r="C156" s="346"/>
      <c r="D156" s="346"/>
      <c r="E156" s="347"/>
      <c r="F156" s="346"/>
      <c r="G156" s="348"/>
      <c r="H156" s="300"/>
      <c r="I156" s="358"/>
      <c r="J156" s="358"/>
      <c r="K156" s="358"/>
      <c r="L156" s="340"/>
      <c r="M156" s="358"/>
      <c r="N156" s="340"/>
      <c r="O156" s="349"/>
      <c r="P156" s="348"/>
      <c r="Q156" s="350"/>
      <c r="R156" s="351"/>
      <c r="S156" s="354"/>
      <c r="T156" s="354"/>
      <c r="U156" s="354"/>
      <c r="V156" s="354"/>
      <c r="X156" s="519" t="s">
        <v>1319</v>
      </c>
      <c r="Y156" s="543" t="s">
        <v>1394</v>
      </c>
      <c r="Z156" s="242" t="s">
        <v>566</v>
      </c>
      <c r="AA156" s="242">
        <v>13</v>
      </c>
      <c r="AB156" s="547" t="s">
        <v>2397</v>
      </c>
      <c r="AC156" s="581">
        <v>850</v>
      </c>
      <c r="AD156" s="292">
        <f>293+150+135</f>
        <v>578</v>
      </c>
      <c r="AE156" s="475">
        <v>0</v>
      </c>
      <c r="AF156" s="475">
        <v>0</v>
      </c>
      <c r="AG156" s="553"/>
      <c r="AH156" s="553"/>
      <c r="AI156" s="455"/>
    </row>
    <row r="157" spans="1:35" s="363" customFormat="1" x14ac:dyDescent="0.25">
      <c r="A157" s="335"/>
      <c r="B157" s="336"/>
      <c r="C157" s="338"/>
      <c r="D157" s="338"/>
      <c r="E157" s="339"/>
      <c r="F157" s="339"/>
      <c r="G157" s="340"/>
      <c r="H157" s="340"/>
      <c r="I157" s="340"/>
      <c r="J157" s="340"/>
      <c r="K157" s="340"/>
      <c r="L157" s="340"/>
      <c r="M157" s="340"/>
      <c r="N157" s="340"/>
      <c r="O157" s="340"/>
      <c r="P157" s="340"/>
      <c r="Q157" s="342"/>
      <c r="R157" s="362"/>
      <c r="S157" s="362"/>
      <c r="T157" s="362"/>
      <c r="U157" s="362"/>
      <c r="V157" s="362"/>
      <c r="W157" s="362"/>
      <c r="X157" s="558" t="s">
        <v>271</v>
      </c>
      <c r="Y157" s="574" t="s">
        <v>1394</v>
      </c>
      <c r="Z157" s="247" t="s">
        <v>567</v>
      </c>
      <c r="AA157" s="247"/>
      <c r="AB157" s="271"/>
      <c r="AC157" s="575"/>
      <c r="AD157" s="733">
        <f>AD158+AD165</f>
        <v>4078.7</v>
      </c>
      <c r="AE157" s="478">
        <f>AE158+AE165</f>
        <v>3973</v>
      </c>
      <c r="AF157" s="478">
        <f>AF158+AF165</f>
        <v>3973</v>
      </c>
      <c r="AG157" s="640"/>
      <c r="AH157" s="640"/>
      <c r="AI157" s="455"/>
    </row>
    <row r="158" spans="1:35" x14ac:dyDescent="0.25">
      <c r="A158" s="364"/>
      <c r="B158" s="345"/>
      <c r="C158" s="346"/>
      <c r="D158" s="346"/>
      <c r="E158" s="347"/>
      <c r="F158" s="347"/>
      <c r="G158" s="348"/>
      <c r="H158" s="348"/>
      <c r="I158" s="348"/>
      <c r="J158" s="348"/>
      <c r="K158" s="348"/>
      <c r="L158" s="340"/>
      <c r="M158" s="348"/>
      <c r="N158" s="340"/>
      <c r="O158" s="348"/>
      <c r="P158" s="348"/>
      <c r="Q158" s="350"/>
      <c r="R158" s="354"/>
      <c r="S158" s="354"/>
      <c r="T158" s="354"/>
      <c r="U158" s="354"/>
      <c r="V158" s="354"/>
      <c r="X158" s="519" t="s">
        <v>281</v>
      </c>
      <c r="Y158" s="246" t="s">
        <v>1394</v>
      </c>
      <c r="Z158" s="235" t="s">
        <v>567</v>
      </c>
      <c r="AA158" s="235" t="s">
        <v>193</v>
      </c>
      <c r="AB158" s="249"/>
      <c r="AC158" s="576"/>
      <c r="AD158" s="292">
        <f>AD159</f>
        <v>3773</v>
      </c>
      <c r="AE158" s="475">
        <f>AE159</f>
        <v>3773</v>
      </c>
      <c r="AF158" s="475">
        <f>AF159</f>
        <v>3773</v>
      </c>
      <c r="AG158" s="553"/>
      <c r="AH158" s="553"/>
      <c r="AI158" s="455"/>
    </row>
    <row r="159" spans="1:35" ht="31.5" x14ac:dyDescent="0.25">
      <c r="A159" s="311"/>
      <c r="B159" s="345"/>
      <c r="C159" s="346"/>
      <c r="D159" s="346"/>
      <c r="E159" s="347"/>
      <c r="F159" s="347"/>
      <c r="G159" s="348"/>
      <c r="H159" s="348"/>
      <c r="I159" s="348"/>
      <c r="J159" s="348"/>
      <c r="K159" s="348"/>
      <c r="L159" s="340"/>
      <c r="M159" s="348"/>
      <c r="N159" s="340"/>
      <c r="O159" s="348"/>
      <c r="P159" s="348"/>
      <c r="Q159" s="350"/>
      <c r="R159" s="354"/>
      <c r="S159" s="354"/>
      <c r="T159" s="354"/>
      <c r="U159" s="354"/>
      <c r="V159" s="354"/>
      <c r="X159" s="520" t="s">
        <v>2102</v>
      </c>
      <c r="Y159" s="246" t="s">
        <v>1394</v>
      </c>
      <c r="Z159" s="235" t="s">
        <v>567</v>
      </c>
      <c r="AA159" s="235" t="s">
        <v>193</v>
      </c>
      <c r="AB159" s="442" t="s">
        <v>1805</v>
      </c>
      <c r="AC159" s="576"/>
      <c r="AD159" s="292">
        <f t="shared" ref="AD159:AF162" si="30">AD160</f>
        <v>3773</v>
      </c>
      <c r="AE159" s="475">
        <f t="shared" si="30"/>
        <v>3773</v>
      </c>
      <c r="AF159" s="475">
        <f t="shared" si="30"/>
        <v>3773</v>
      </c>
      <c r="AG159" s="553"/>
      <c r="AH159" s="553"/>
      <c r="AI159" s="455"/>
    </row>
    <row r="160" spans="1:35" x14ac:dyDescent="0.25">
      <c r="A160" s="311"/>
      <c r="B160" s="345"/>
      <c r="C160" s="346"/>
      <c r="D160" s="346"/>
      <c r="E160" s="347"/>
      <c r="F160" s="347"/>
      <c r="G160" s="348"/>
      <c r="H160" s="348"/>
      <c r="I160" s="348"/>
      <c r="J160" s="348"/>
      <c r="K160" s="348"/>
      <c r="L160" s="340"/>
      <c r="M160" s="348"/>
      <c r="N160" s="340"/>
      <c r="O160" s="348"/>
      <c r="P160" s="348"/>
      <c r="Q160" s="350"/>
      <c r="R160" s="354"/>
      <c r="S160" s="354"/>
      <c r="T160" s="354"/>
      <c r="U160" s="354"/>
      <c r="V160" s="354"/>
      <c r="X160" s="520" t="s">
        <v>1160</v>
      </c>
      <c r="Y160" s="246" t="s">
        <v>1394</v>
      </c>
      <c r="Z160" s="235" t="s">
        <v>567</v>
      </c>
      <c r="AA160" s="235" t="s">
        <v>193</v>
      </c>
      <c r="AB160" s="442" t="s">
        <v>2117</v>
      </c>
      <c r="AC160" s="576"/>
      <c r="AD160" s="292">
        <f t="shared" si="30"/>
        <v>3773</v>
      </c>
      <c r="AE160" s="475">
        <f t="shared" si="30"/>
        <v>3773</v>
      </c>
      <c r="AF160" s="475">
        <f t="shared" si="30"/>
        <v>3773</v>
      </c>
      <c r="AG160" s="553"/>
      <c r="AH160" s="553"/>
      <c r="AI160" s="455"/>
    </row>
    <row r="161" spans="1:35" ht="31.5" x14ac:dyDescent="0.25">
      <c r="A161" s="311"/>
      <c r="B161" s="345"/>
      <c r="C161" s="346"/>
      <c r="D161" s="346"/>
      <c r="E161" s="347"/>
      <c r="F161" s="347"/>
      <c r="G161" s="348"/>
      <c r="H161" s="348"/>
      <c r="I161" s="348"/>
      <c r="J161" s="348"/>
      <c r="K161" s="348"/>
      <c r="L161" s="340"/>
      <c r="M161" s="348"/>
      <c r="N161" s="340"/>
      <c r="O161" s="348"/>
      <c r="P161" s="348"/>
      <c r="Q161" s="350"/>
      <c r="R161" s="354"/>
      <c r="S161" s="354"/>
      <c r="T161" s="354"/>
      <c r="U161" s="354"/>
      <c r="V161" s="354"/>
      <c r="X161" s="528" t="s">
        <v>2118</v>
      </c>
      <c r="Y161" s="246" t="s">
        <v>1394</v>
      </c>
      <c r="Z161" s="235" t="s">
        <v>567</v>
      </c>
      <c r="AA161" s="235" t="s">
        <v>193</v>
      </c>
      <c r="AB161" s="442" t="s">
        <v>2119</v>
      </c>
      <c r="AC161" s="576"/>
      <c r="AD161" s="292">
        <f t="shared" si="30"/>
        <v>3773</v>
      </c>
      <c r="AE161" s="475">
        <f t="shared" si="30"/>
        <v>3773</v>
      </c>
      <c r="AF161" s="475">
        <f t="shared" si="30"/>
        <v>3773</v>
      </c>
      <c r="AG161" s="553"/>
      <c r="AH161" s="553"/>
      <c r="AI161" s="455"/>
    </row>
    <row r="162" spans="1:35" s="367" customFormat="1" ht="31.5" x14ac:dyDescent="0.25">
      <c r="A162" s="365"/>
      <c r="B162" s="336"/>
      <c r="C162" s="338"/>
      <c r="D162" s="338"/>
      <c r="E162" s="339"/>
      <c r="F162" s="366"/>
      <c r="G162" s="340"/>
      <c r="H162" s="340"/>
      <c r="I162" s="340"/>
      <c r="J162" s="340"/>
      <c r="K162" s="340"/>
      <c r="L162" s="340"/>
      <c r="M162" s="340"/>
      <c r="N162" s="340"/>
      <c r="O162" s="341"/>
      <c r="P162" s="340"/>
      <c r="Q162" s="342"/>
      <c r="R162" s="362"/>
      <c r="S162" s="362"/>
      <c r="T162" s="362"/>
      <c r="U162" s="362"/>
      <c r="V162" s="362"/>
      <c r="W162" s="366"/>
      <c r="X162" s="520" t="s">
        <v>494</v>
      </c>
      <c r="Y162" s="246" t="s">
        <v>1394</v>
      </c>
      <c r="Z162" s="235" t="s">
        <v>567</v>
      </c>
      <c r="AA162" s="235" t="s">
        <v>193</v>
      </c>
      <c r="AB162" s="442" t="s">
        <v>2120</v>
      </c>
      <c r="AC162" s="582"/>
      <c r="AD162" s="292">
        <f t="shared" si="30"/>
        <v>3773</v>
      </c>
      <c r="AE162" s="475">
        <f t="shared" si="30"/>
        <v>3773</v>
      </c>
      <c r="AF162" s="475">
        <f t="shared" si="30"/>
        <v>3773</v>
      </c>
      <c r="AG162" s="553"/>
      <c r="AH162" s="553"/>
      <c r="AI162" s="455"/>
    </row>
    <row r="163" spans="1:35" s="300" customFormat="1" ht="47.25" x14ac:dyDescent="0.25">
      <c r="A163" s="368"/>
      <c r="B163" s="345"/>
      <c r="C163" s="346"/>
      <c r="D163" s="346"/>
      <c r="E163" s="347"/>
      <c r="F163" s="369"/>
      <c r="G163" s="348"/>
      <c r="H163" s="348"/>
      <c r="I163" s="348"/>
      <c r="J163" s="348"/>
      <c r="K163" s="348"/>
      <c r="L163" s="340"/>
      <c r="M163" s="348"/>
      <c r="N163" s="340"/>
      <c r="O163" s="359"/>
      <c r="P163" s="348"/>
      <c r="Q163" s="350"/>
      <c r="R163" s="354"/>
      <c r="S163" s="354"/>
      <c r="T163" s="354"/>
      <c r="U163" s="354"/>
      <c r="V163" s="354"/>
      <c r="W163" s="369"/>
      <c r="X163" s="519" t="s">
        <v>921</v>
      </c>
      <c r="Y163" s="246" t="s">
        <v>1394</v>
      </c>
      <c r="Z163" s="235" t="s">
        <v>567</v>
      </c>
      <c r="AA163" s="235" t="s">
        <v>193</v>
      </c>
      <c r="AB163" s="442" t="s">
        <v>2120</v>
      </c>
      <c r="AC163" s="238">
        <v>100</v>
      </c>
      <c r="AD163" s="292">
        <f>AD164</f>
        <v>3773</v>
      </c>
      <c r="AE163" s="475">
        <f>AE164</f>
        <v>3773</v>
      </c>
      <c r="AF163" s="475">
        <f>AF164</f>
        <v>3773</v>
      </c>
      <c r="AG163" s="553"/>
      <c r="AH163" s="553"/>
      <c r="AI163" s="455"/>
    </row>
    <row r="164" spans="1:35" x14ac:dyDescent="0.25">
      <c r="A164" s="357"/>
      <c r="B164" s="345"/>
      <c r="C164" s="346"/>
      <c r="D164" s="346"/>
      <c r="E164" s="347"/>
      <c r="F164" s="346"/>
      <c r="G164" s="348"/>
      <c r="H164" s="369"/>
      <c r="I164" s="369"/>
      <c r="J164" s="369"/>
      <c r="K164" s="369"/>
      <c r="L164" s="340"/>
      <c r="M164" s="369"/>
      <c r="N164" s="340"/>
      <c r="O164" s="359"/>
      <c r="P164" s="348"/>
      <c r="Q164" s="350"/>
      <c r="R164" s="351"/>
      <c r="S164" s="354"/>
      <c r="T164" s="354"/>
      <c r="U164" s="354"/>
      <c r="V164" s="354"/>
      <c r="W164" s="369"/>
      <c r="X164" s="519" t="s">
        <v>1747</v>
      </c>
      <c r="Y164" s="246" t="s">
        <v>1394</v>
      </c>
      <c r="Z164" s="235" t="s">
        <v>567</v>
      </c>
      <c r="AA164" s="235" t="s">
        <v>193</v>
      </c>
      <c r="AB164" s="442" t="s">
        <v>2120</v>
      </c>
      <c r="AC164" s="238">
        <v>120</v>
      </c>
      <c r="AD164" s="292">
        <v>3773</v>
      </c>
      <c r="AE164" s="475">
        <v>3773</v>
      </c>
      <c r="AF164" s="475">
        <v>3773</v>
      </c>
      <c r="AG164" s="553"/>
      <c r="AH164" s="553"/>
      <c r="AI164" s="455"/>
    </row>
    <row r="165" spans="1:35" x14ac:dyDescent="0.25">
      <c r="A165" s="357"/>
      <c r="B165" s="345"/>
      <c r="C165" s="346"/>
      <c r="D165" s="346"/>
      <c r="E165" s="347"/>
      <c r="F165" s="346"/>
      <c r="G165" s="348"/>
      <c r="H165" s="369"/>
      <c r="I165" s="369"/>
      <c r="J165" s="369"/>
      <c r="K165" s="369"/>
      <c r="L165" s="340"/>
      <c r="M165" s="369"/>
      <c r="N165" s="340"/>
      <c r="O165" s="359"/>
      <c r="P165" s="348"/>
      <c r="Q165" s="350"/>
      <c r="R165" s="351"/>
      <c r="S165" s="354"/>
      <c r="T165" s="354"/>
      <c r="U165" s="354"/>
      <c r="V165" s="354"/>
      <c r="W165" s="369"/>
      <c r="X165" s="519" t="s">
        <v>1156</v>
      </c>
      <c r="Y165" s="246" t="s">
        <v>1394</v>
      </c>
      <c r="Z165" s="235" t="s">
        <v>567</v>
      </c>
      <c r="AA165" s="235" t="s">
        <v>1181</v>
      </c>
      <c r="AB165" s="249"/>
      <c r="AC165" s="238"/>
      <c r="AD165" s="292">
        <f t="shared" ref="AD165:AF170" si="31">AD166</f>
        <v>305.7</v>
      </c>
      <c r="AE165" s="475">
        <f t="shared" si="31"/>
        <v>200</v>
      </c>
      <c r="AF165" s="475">
        <f t="shared" si="31"/>
        <v>200</v>
      </c>
      <c r="AG165" s="553"/>
      <c r="AH165" s="553"/>
      <c r="AI165" s="455"/>
    </row>
    <row r="166" spans="1:35" x14ac:dyDescent="0.25">
      <c r="A166" s="357"/>
      <c r="B166" s="345"/>
      <c r="C166" s="346"/>
      <c r="D166" s="346"/>
      <c r="E166" s="347"/>
      <c r="F166" s="346"/>
      <c r="G166" s="348"/>
      <c r="H166" s="369"/>
      <c r="I166" s="369"/>
      <c r="J166" s="369"/>
      <c r="K166" s="369"/>
      <c r="L166" s="340"/>
      <c r="M166" s="369"/>
      <c r="N166" s="340"/>
      <c r="O166" s="359"/>
      <c r="P166" s="348"/>
      <c r="Q166" s="350"/>
      <c r="R166" s="351"/>
      <c r="S166" s="354"/>
      <c r="T166" s="354"/>
      <c r="U166" s="354"/>
      <c r="V166" s="354"/>
      <c r="W166" s="369"/>
      <c r="X166" s="548" t="s">
        <v>1898</v>
      </c>
      <c r="Y166" s="246" t="s">
        <v>1394</v>
      </c>
      <c r="Z166" s="235" t="s">
        <v>567</v>
      </c>
      <c r="AA166" s="235" t="s">
        <v>1181</v>
      </c>
      <c r="AB166" s="442" t="s">
        <v>1771</v>
      </c>
      <c r="AC166" s="238"/>
      <c r="AD166" s="292">
        <f t="shared" si="31"/>
        <v>305.7</v>
      </c>
      <c r="AE166" s="475">
        <f t="shared" si="31"/>
        <v>200</v>
      </c>
      <c r="AF166" s="475">
        <f t="shared" si="31"/>
        <v>200</v>
      </c>
      <c r="AG166" s="553"/>
      <c r="AH166" s="553"/>
      <c r="AI166" s="455"/>
    </row>
    <row r="167" spans="1:35" x14ac:dyDescent="0.25">
      <c r="A167" s="357"/>
      <c r="B167" s="345"/>
      <c r="C167" s="346"/>
      <c r="D167" s="346"/>
      <c r="E167" s="347"/>
      <c r="F167" s="346"/>
      <c r="G167" s="348"/>
      <c r="H167" s="369"/>
      <c r="I167" s="369"/>
      <c r="J167" s="369"/>
      <c r="K167" s="369"/>
      <c r="L167" s="340"/>
      <c r="M167" s="369"/>
      <c r="N167" s="340"/>
      <c r="O167" s="359"/>
      <c r="P167" s="348"/>
      <c r="Q167" s="350"/>
      <c r="R167" s="351"/>
      <c r="S167" s="354"/>
      <c r="T167" s="354"/>
      <c r="U167" s="354"/>
      <c r="V167" s="354"/>
      <c r="W167" s="369"/>
      <c r="X167" s="548" t="s">
        <v>1907</v>
      </c>
      <c r="Y167" s="246" t="s">
        <v>1394</v>
      </c>
      <c r="Z167" s="235" t="s">
        <v>567</v>
      </c>
      <c r="AA167" s="235" t="s">
        <v>1181</v>
      </c>
      <c r="AB167" s="442" t="s">
        <v>1908</v>
      </c>
      <c r="AC167" s="238"/>
      <c r="AD167" s="292">
        <f t="shared" ref="AD167:AF168" si="32">AD168</f>
        <v>305.7</v>
      </c>
      <c r="AE167" s="475">
        <f t="shared" si="32"/>
        <v>200</v>
      </c>
      <c r="AF167" s="475">
        <f t="shared" si="32"/>
        <v>200</v>
      </c>
      <c r="AG167" s="553"/>
      <c r="AH167" s="553"/>
      <c r="AI167" s="455"/>
    </row>
    <row r="168" spans="1:35" ht="31.5" x14ac:dyDescent="0.25">
      <c r="A168" s="357"/>
      <c r="B168" s="345"/>
      <c r="C168" s="346"/>
      <c r="D168" s="346"/>
      <c r="E168" s="347"/>
      <c r="F168" s="346"/>
      <c r="G168" s="348"/>
      <c r="H168" s="369"/>
      <c r="I168" s="369"/>
      <c r="J168" s="369"/>
      <c r="K168" s="369"/>
      <c r="L168" s="340"/>
      <c r="M168" s="369"/>
      <c r="N168" s="340"/>
      <c r="O168" s="359"/>
      <c r="P168" s="348"/>
      <c r="Q168" s="350"/>
      <c r="R168" s="351"/>
      <c r="S168" s="354"/>
      <c r="T168" s="354"/>
      <c r="U168" s="354"/>
      <c r="V168" s="354"/>
      <c r="W168" s="369"/>
      <c r="X168" s="548" t="s">
        <v>1909</v>
      </c>
      <c r="Y168" s="246" t="s">
        <v>1394</v>
      </c>
      <c r="Z168" s="235" t="s">
        <v>567</v>
      </c>
      <c r="AA168" s="235" t="s">
        <v>1181</v>
      </c>
      <c r="AB168" s="442" t="s">
        <v>1910</v>
      </c>
      <c r="AC168" s="238"/>
      <c r="AD168" s="292">
        <f t="shared" si="32"/>
        <v>305.7</v>
      </c>
      <c r="AE168" s="475">
        <f t="shared" si="32"/>
        <v>200</v>
      </c>
      <c r="AF168" s="475">
        <f t="shared" si="32"/>
        <v>200</v>
      </c>
      <c r="AG168" s="553"/>
      <c r="AH168" s="553"/>
      <c r="AI168" s="455"/>
    </row>
    <row r="169" spans="1:35" x14ac:dyDescent="0.25">
      <c r="A169" s="356"/>
      <c r="B169" s="345"/>
      <c r="C169" s="346"/>
      <c r="D169" s="346"/>
      <c r="E169" s="347"/>
      <c r="F169" s="339"/>
      <c r="G169" s="348"/>
      <c r="H169" s="348"/>
      <c r="I169" s="348"/>
      <c r="J169" s="348"/>
      <c r="K169" s="348"/>
      <c r="L169" s="340"/>
      <c r="M169" s="348"/>
      <c r="N169" s="340"/>
      <c r="O169" s="349"/>
      <c r="P169" s="348"/>
      <c r="Q169" s="350"/>
      <c r="R169" s="354"/>
      <c r="S169" s="354"/>
      <c r="T169" s="354"/>
      <c r="U169" s="354"/>
      <c r="V169" s="354"/>
      <c r="W169" s="354"/>
      <c r="X169" s="531" t="s">
        <v>1941</v>
      </c>
      <c r="Y169" s="246" t="s">
        <v>1394</v>
      </c>
      <c r="Z169" s="235" t="s">
        <v>567</v>
      </c>
      <c r="AA169" s="235" t="s">
        <v>1181</v>
      </c>
      <c r="AB169" s="471" t="s">
        <v>1942</v>
      </c>
      <c r="AC169" s="575"/>
      <c r="AD169" s="292">
        <f t="shared" si="31"/>
        <v>305.7</v>
      </c>
      <c r="AE169" s="475">
        <f t="shared" si="31"/>
        <v>200</v>
      </c>
      <c r="AF169" s="475">
        <f t="shared" si="31"/>
        <v>200</v>
      </c>
      <c r="AG169" s="553"/>
      <c r="AH169" s="553"/>
      <c r="AI169" s="455"/>
    </row>
    <row r="170" spans="1:35" x14ac:dyDescent="0.25">
      <c r="A170" s="356"/>
      <c r="B170" s="345"/>
      <c r="C170" s="346"/>
      <c r="D170" s="346"/>
      <c r="E170" s="347"/>
      <c r="F170" s="339"/>
      <c r="G170" s="348"/>
      <c r="H170" s="348"/>
      <c r="I170" s="348"/>
      <c r="J170" s="348"/>
      <c r="K170" s="348"/>
      <c r="L170" s="340"/>
      <c r="M170" s="348"/>
      <c r="N170" s="340"/>
      <c r="O170" s="349"/>
      <c r="P170" s="348"/>
      <c r="Q170" s="350"/>
      <c r="R170" s="354"/>
      <c r="S170" s="354"/>
      <c r="T170" s="354"/>
      <c r="U170" s="354"/>
      <c r="V170" s="354"/>
      <c r="W170" s="354"/>
      <c r="X170" s="519" t="s">
        <v>1781</v>
      </c>
      <c r="Y170" s="246" t="s">
        <v>1394</v>
      </c>
      <c r="Z170" s="235" t="s">
        <v>567</v>
      </c>
      <c r="AA170" s="235" t="s">
        <v>1181</v>
      </c>
      <c r="AB170" s="471" t="s">
        <v>1942</v>
      </c>
      <c r="AC170" s="583">
        <v>200</v>
      </c>
      <c r="AD170" s="292">
        <f t="shared" si="31"/>
        <v>305.7</v>
      </c>
      <c r="AE170" s="475">
        <f t="shared" si="31"/>
        <v>200</v>
      </c>
      <c r="AF170" s="475">
        <f t="shared" si="31"/>
        <v>200</v>
      </c>
      <c r="AG170" s="553"/>
      <c r="AH170" s="553"/>
      <c r="AI170" s="455"/>
    </row>
    <row r="171" spans="1:35" ht="31.5" x14ac:dyDescent="0.25">
      <c r="A171" s="356"/>
      <c r="B171" s="345"/>
      <c r="C171" s="346"/>
      <c r="D171" s="346"/>
      <c r="E171" s="347"/>
      <c r="F171" s="339"/>
      <c r="G171" s="348"/>
      <c r="H171" s="348"/>
      <c r="I171" s="348"/>
      <c r="J171" s="348"/>
      <c r="K171" s="348"/>
      <c r="L171" s="340"/>
      <c r="M171" s="348"/>
      <c r="N171" s="340"/>
      <c r="O171" s="349"/>
      <c r="P171" s="348"/>
      <c r="Q171" s="350"/>
      <c r="R171" s="354"/>
      <c r="S171" s="354"/>
      <c r="T171" s="354"/>
      <c r="U171" s="354"/>
      <c r="V171" s="354"/>
      <c r="W171" s="354"/>
      <c r="X171" s="519" t="s">
        <v>1273</v>
      </c>
      <c r="Y171" s="246" t="s">
        <v>1394</v>
      </c>
      <c r="Z171" s="235" t="s">
        <v>567</v>
      </c>
      <c r="AA171" s="235" t="s">
        <v>1181</v>
      </c>
      <c r="AB171" s="471" t="s">
        <v>1942</v>
      </c>
      <c r="AC171" s="583">
        <v>240</v>
      </c>
      <c r="AD171" s="292">
        <f>200+105.7</f>
        <v>305.7</v>
      </c>
      <c r="AE171" s="475">
        <v>200</v>
      </c>
      <c r="AF171" s="475">
        <v>200</v>
      </c>
      <c r="AG171" s="553"/>
      <c r="AH171" s="553"/>
      <c r="AI171" s="455"/>
    </row>
    <row r="172" spans="1:35" s="344" customFormat="1" x14ac:dyDescent="0.25">
      <c r="A172" s="335"/>
      <c r="B172" s="336"/>
      <c r="C172" s="338"/>
      <c r="D172" s="338"/>
      <c r="E172" s="339"/>
      <c r="F172" s="339"/>
      <c r="G172" s="340"/>
      <c r="H172" s="340"/>
      <c r="I172" s="340"/>
      <c r="J172" s="340"/>
      <c r="K172" s="340"/>
      <c r="L172" s="340"/>
      <c r="M172" s="340"/>
      <c r="N172" s="340"/>
      <c r="O172" s="340"/>
      <c r="P172" s="340"/>
      <c r="Q172" s="342"/>
      <c r="R172" s="362"/>
      <c r="S172" s="362"/>
      <c r="T172" s="362"/>
      <c r="U172" s="362"/>
      <c r="V172" s="362"/>
      <c r="W172" s="362"/>
      <c r="X172" s="558" t="s">
        <v>1049</v>
      </c>
      <c r="Y172" s="574" t="s">
        <v>1394</v>
      </c>
      <c r="Z172" s="247" t="s">
        <v>193</v>
      </c>
      <c r="AA172" s="247"/>
      <c r="AB172" s="271"/>
      <c r="AC172" s="575"/>
      <c r="AD172" s="733">
        <f>AD173+AD185+AD218</f>
        <v>38486.1</v>
      </c>
      <c r="AE172" s="478">
        <f>AE173+AE185+AE218</f>
        <v>27440.400000000001</v>
      </c>
      <c r="AF172" s="478">
        <f>AF173+AF185+AF218</f>
        <v>27440.400000000001</v>
      </c>
      <c r="AG172" s="640"/>
      <c r="AH172" s="640"/>
      <c r="AI172" s="455"/>
    </row>
    <row r="173" spans="1:35" s="370" customFormat="1" x14ac:dyDescent="0.25">
      <c r="A173" s="360"/>
      <c r="B173" s="345"/>
      <c r="C173" s="346"/>
      <c r="D173" s="346"/>
      <c r="E173" s="347"/>
      <c r="F173" s="347"/>
      <c r="G173" s="348"/>
      <c r="H173" s="348"/>
      <c r="I173" s="348"/>
      <c r="J173" s="348"/>
      <c r="K173" s="348"/>
      <c r="L173" s="340"/>
      <c r="M173" s="348"/>
      <c r="N173" s="340"/>
      <c r="O173" s="348"/>
      <c r="P173" s="348"/>
      <c r="Q173" s="350"/>
      <c r="R173" s="354"/>
      <c r="S173" s="354"/>
      <c r="T173" s="354"/>
      <c r="U173" s="354"/>
      <c r="V173" s="354"/>
      <c r="W173" s="354"/>
      <c r="X173" s="519" t="s">
        <v>2313</v>
      </c>
      <c r="Y173" s="246" t="s">
        <v>1394</v>
      </c>
      <c r="Z173" s="235" t="s">
        <v>193</v>
      </c>
      <c r="AA173" s="235" t="s">
        <v>406</v>
      </c>
      <c r="AB173" s="249"/>
      <c r="AC173" s="576"/>
      <c r="AD173" s="292">
        <f>AD174</f>
        <v>1208.5</v>
      </c>
      <c r="AE173" s="475">
        <f>AE174</f>
        <v>1290</v>
      </c>
      <c r="AF173" s="475">
        <f>AF174</f>
        <v>1290</v>
      </c>
      <c r="AG173" s="553"/>
      <c r="AH173" s="553"/>
      <c r="AI173" s="455"/>
    </row>
    <row r="174" spans="1:35" s="370" customFormat="1" ht="31.5" x14ac:dyDescent="0.25">
      <c r="A174" s="360"/>
      <c r="B174" s="345"/>
      <c r="C174" s="346"/>
      <c r="D174" s="346"/>
      <c r="E174" s="347"/>
      <c r="F174" s="347"/>
      <c r="G174" s="348"/>
      <c r="H174" s="348"/>
      <c r="I174" s="348"/>
      <c r="J174" s="348"/>
      <c r="K174" s="348"/>
      <c r="L174" s="340"/>
      <c r="M174" s="348"/>
      <c r="N174" s="340"/>
      <c r="O174" s="348"/>
      <c r="P174" s="348"/>
      <c r="Q174" s="350"/>
      <c r="R174" s="354"/>
      <c r="S174" s="354"/>
      <c r="T174" s="354"/>
      <c r="U174" s="354"/>
      <c r="V174" s="354"/>
      <c r="W174" s="354"/>
      <c r="X174" s="548" t="s">
        <v>1853</v>
      </c>
      <c r="Y174" s="246" t="s">
        <v>1394</v>
      </c>
      <c r="Z174" s="235" t="s">
        <v>193</v>
      </c>
      <c r="AA174" s="235" t="s">
        <v>406</v>
      </c>
      <c r="AB174" s="249" t="s">
        <v>1761</v>
      </c>
      <c r="AC174" s="576"/>
      <c r="AD174" s="292">
        <f>AD175+AD180</f>
        <v>1208.5</v>
      </c>
      <c r="AE174" s="475">
        <f>AE175+AE180</f>
        <v>1290</v>
      </c>
      <c r="AF174" s="475">
        <f>AF175+AF180</f>
        <v>1290</v>
      </c>
      <c r="AG174" s="553"/>
      <c r="AH174" s="553"/>
      <c r="AI174" s="455"/>
    </row>
    <row r="175" spans="1:35" s="370" customFormat="1" ht="31.5" x14ac:dyDescent="0.25">
      <c r="A175" s="360"/>
      <c r="B175" s="345"/>
      <c r="C175" s="346"/>
      <c r="D175" s="346"/>
      <c r="E175" s="347"/>
      <c r="F175" s="347"/>
      <c r="G175" s="348"/>
      <c r="H175" s="348"/>
      <c r="I175" s="348"/>
      <c r="J175" s="348"/>
      <c r="K175" s="348"/>
      <c r="L175" s="340"/>
      <c r="M175" s="348"/>
      <c r="N175" s="340"/>
      <c r="O175" s="348"/>
      <c r="P175" s="348"/>
      <c r="Q175" s="350"/>
      <c r="R175" s="354"/>
      <c r="S175" s="354"/>
      <c r="T175" s="354"/>
      <c r="U175" s="354"/>
      <c r="V175" s="354"/>
      <c r="W175" s="354"/>
      <c r="X175" s="548" t="s">
        <v>2274</v>
      </c>
      <c r="Y175" s="246" t="s">
        <v>1394</v>
      </c>
      <c r="Z175" s="235" t="s">
        <v>193</v>
      </c>
      <c r="AA175" s="235" t="s">
        <v>406</v>
      </c>
      <c r="AB175" s="442" t="s">
        <v>1762</v>
      </c>
      <c r="AC175" s="576"/>
      <c r="AD175" s="292">
        <f t="shared" ref="AD175:AF178" si="33">AD176</f>
        <v>803.5</v>
      </c>
      <c r="AE175" s="475">
        <f t="shared" si="33"/>
        <v>593</v>
      </c>
      <c r="AF175" s="475">
        <f t="shared" si="33"/>
        <v>593</v>
      </c>
      <c r="AG175" s="553"/>
      <c r="AH175" s="553"/>
      <c r="AI175" s="455"/>
    </row>
    <row r="176" spans="1:35" s="370" customFormat="1" ht="78.75" x14ac:dyDescent="0.25">
      <c r="A176" s="360"/>
      <c r="B176" s="345"/>
      <c r="C176" s="346"/>
      <c r="D176" s="346"/>
      <c r="E176" s="347"/>
      <c r="F176" s="347"/>
      <c r="G176" s="348"/>
      <c r="H176" s="348"/>
      <c r="I176" s="348"/>
      <c r="J176" s="348"/>
      <c r="K176" s="348"/>
      <c r="L176" s="340"/>
      <c r="M176" s="348"/>
      <c r="N176" s="340"/>
      <c r="O176" s="348"/>
      <c r="P176" s="348"/>
      <c r="Q176" s="350"/>
      <c r="R176" s="354"/>
      <c r="S176" s="354"/>
      <c r="T176" s="354"/>
      <c r="U176" s="354"/>
      <c r="V176" s="354"/>
      <c r="W176" s="354"/>
      <c r="X176" s="526" t="s">
        <v>2277</v>
      </c>
      <c r="Y176" s="246" t="s">
        <v>1394</v>
      </c>
      <c r="Z176" s="235" t="s">
        <v>193</v>
      </c>
      <c r="AA176" s="235" t="s">
        <v>406</v>
      </c>
      <c r="AB176" s="442" t="s">
        <v>1788</v>
      </c>
      <c r="AC176" s="576"/>
      <c r="AD176" s="292">
        <f t="shared" si="33"/>
        <v>803.5</v>
      </c>
      <c r="AE176" s="475">
        <f t="shared" si="33"/>
        <v>593</v>
      </c>
      <c r="AF176" s="475">
        <f t="shared" si="33"/>
        <v>593</v>
      </c>
      <c r="AG176" s="553"/>
      <c r="AH176" s="553"/>
      <c r="AI176" s="455"/>
    </row>
    <row r="177" spans="1:35" s="370" customFormat="1" ht="31.5" x14ac:dyDescent="0.25">
      <c r="A177" s="360"/>
      <c r="B177" s="345"/>
      <c r="C177" s="346"/>
      <c r="D177" s="346"/>
      <c r="E177" s="347"/>
      <c r="F177" s="347"/>
      <c r="G177" s="348"/>
      <c r="H177" s="348"/>
      <c r="I177" s="348"/>
      <c r="J177" s="348"/>
      <c r="K177" s="348"/>
      <c r="L177" s="340"/>
      <c r="M177" s="348"/>
      <c r="N177" s="340"/>
      <c r="O177" s="348"/>
      <c r="P177" s="348"/>
      <c r="Q177" s="350"/>
      <c r="R177" s="354"/>
      <c r="S177" s="354"/>
      <c r="T177" s="354"/>
      <c r="U177" s="354"/>
      <c r="V177" s="354"/>
      <c r="W177" s="354"/>
      <c r="X177" s="529" t="s">
        <v>1878</v>
      </c>
      <c r="Y177" s="246" t="s">
        <v>1394</v>
      </c>
      <c r="Z177" s="235" t="s">
        <v>193</v>
      </c>
      <c r="AA177" s="235" t="s">
        <v>406</v>
      </c>
      <c r="AB177" s="442" t="s">
        <v>1879</v>
      </c>
      <c r="AC177" s="576"/>
      <c r="AD177" s="292">
        <f t="shared" si="33"/>
        <v>803.5</v>
      </c>
      <c r="AE177" s="475">
        <f t="shared" si="33"/>
        <v>593</v>
      </c>
      <c r="AF177" s="475">
        <f t="shared" si="33"/>
        <v>593</v>
      </c>
      <c r="AG177" s="553"/>
      <c r="AH177" s="553"/>
      <c r="AI177" s="455"/>
    </row>
    <row r="178" spans="1:35" s="370" customFormat="1" x14ac:dyDescent="0.25">
      <c r="A178" s="360"/>
      <c r="B178" s="345"/>
      <c r="C178" s="346"/>
      <c r="D178" s="346"/>
      <c r="E178" s="347"/>
      <c r="F178" s="347"/>
      <c r="G178" s="348"/>
      <c r="H178" s="348"/>
      <c r="I178" s="348"/>
      <c r="J178" s="348"/>
      <c r="K178" s="348"/>
      <c r="L178" s="340"/>
      <c r="M178" s="348"/>
      <c r="N178" s="340"/>
      <c r="O178" s="348"/>
      <c r="P178" s="348"/>
      <c r="Q178" s="350"/>
      <c r="R178" s="354"/>
      <c r="S178" s="354"/>
      <c r="T178" s="354"/>
      <c r="U178" s="354"/>
      <c r="V178" s="354"/>
      <c r="W178" s="354"/>
      <c r="X178" s="519" t="s">
        <v>1781</v>
      </c>
      <c r="Y178" s="246" t="s">
        <v>1394</v>
      </c>
      <c r="Z178" s="235" t="s">
        <v>193</v>
      </c>
      <c r="AA178" s="235" t="s">
        <v>406</v>
      </c>
      <c r="AB178" s="442" t="s">
        <v>1879</v>
      </c>
      <c r="AC178" s="576">
        <v>200</v>
      </c>
      <c r="AD178" s="292">
        <f t="shared" si="33"/>
        <v>803.5</v>
      </c>
      <c r="AE178" s="475">
        <f t="shared" si="33"/>
        <v>593</v>
      </c>
      <c r="AF178" s="475">
        <f t="shared" si="33"/>
        <v>593</v>
      </c>
      <c r="AG178" s="553"/>
      <c r="AH178" s="553"/>
      <c r="AI178" s="455"/>
    </row>
    <row r="179" spans="1:35" s="370" customFormat="1" ht="31.5" x14ac:dyDescent="0.25">
      <c r="A179" s="360"/>
      <c r="B179" s="345"/>
      <c r="C179" s="346"/>
      <c r="D179" s="346"/>
      <c r="E179" s="347"/>
      <c r="F179" s="347"/>
      <c r="G179" s="348"/>
      <c r="H179" s="348"/>
      <c r="I179" s="348"/>
      <c r="J179" s="348"/>
      <c r="K179" s="348"/>
      <c r="L179" s="340"/>
      <c r="M179" s="348"/>
      <c r="N179" s="340"/>
      <c r="O179" s="348"/>
      <c r="P179" s="348"/>
      <c r="Q179" s="350"/>
      <c r="R179" s="354"/>
      <c r="S179" s="354"/>
      <c r="T179" s="354"/>
      <c r="U179" s="354"/>
      <c r="V179" s="354"/>
      <c r="W179" s="354"/>
      <c r="X179" s="519" t="s">
        <v>1273</v>
      </c>
      <c r="Y179" s="246" t="s">
        <v>1394</v>
      </c>
      <c r="Z179" s="235" t="s">
        <v>193</v>
      </c>
      <c r="AA179" s="235" t="s">
        <v>406</v>
      </c>
      <c r="AB179" s="442" t="s">
        <v>1879</v>
      </c>
      <c r="AC179" s="576">
        <v>240</v>
      </c>
      <c r="AD179" s="292">
        <f>593+200-15+29.9-4.4</f>
        <v>803.5</v>
      </c>
      <c r="AE179" s="475">
        <v>593</v>
      </c>
      <c r="AF179" s="475">
        <v>593</v>
      </c>
      <c r="AG179" s="553"/>
      <c r="AH179" s="553"/>
      <c r="AI179" s="455"/>
    </row>
    <row r="180" spans="1:35" s="370" customFormat="1" ht="31.5" x14ac:dyDescent="0.25">
      <c r="A180" s="360"/>
      <c r="B180" s="345"/>
      <c r="C180" s="346"/>
      <c r="D180" s="346"/>
      <c r="E180" s="347"/>
      <c r="F180" s="347"/>
      <c r="G180" s="348"/>
      <c r="H180" s="348"/>
      <c r="I180" s="348"/>
      <c r="J180" s="348"/>
      <c r="K180" s="348"/>
      <c r="L180" s="340"/>
      <c r="M180" s="348"/>
      <c r="N180" s="340"/>
      <c r="O180" s="348"/>
      <c r="P180" s="348"/>
      <c r="Q180" s="350"/>
      <c r="R180" s="354"/>
      <c r="S180" s="354"/>
      <c r="T180" s="354"/>
      <c r="U180" s="354"/>
      <c r="V180" s="354"/>
      <c r="W180" s="354"/>
      <c r="X180" s="548" t="s">
        <v>2276</v>
      </c>
      <c r="Y180" s="246" t="s">
        <v>1394</v>
      </c>
      <c r="Z180" s="235" t="s">
        <v>193</v>
      </c>
      <c r="AA180" s="235" t="s">
        <v>406</v>
      </c>
      <c r="AB180" s="442" t="s">
        <v>1767</v>
      </c>
      <c r="AC180" s="579"/>
      <c r="AD180" s="292">
        <f t="shared" ref="AD180:AF181" si="34">AD181</f>
        <v>405</v>
      </c>
      <c r="AE180" s="475">
        <f t="shared" si="34"/>
        <v>697</v>
      </c>
      <c r="AF180" s="475">
        <f t="shared" si="34"/>
        <v>697</v>
      </c>
      <c r="AG180" s="553"/>
      <c r="AH180" s="553"/>
      <c r="AI180" s="455"/>
    </row>
    <row r="181" spans="1:35" s="370" customFormat="1" ht="47.25" x14ac:dyDescent="0.25">
      <c r="A181" s="360"/>
      <c r="B181" s="345"/>
      <c r="C181" s="346"/>
      <c r="D181" s="346"/>
      <c r="E181" s="347"/>
      <c r="F181" s="347"/>
      <c r="G181" s="348"/>
      <c r="H181" s="348"/>
      <c r="I181" s="348"/>
      <c r="J181" s="348"/>
      <c r="K181" s="348"/>
      <c r="L181" s="340"/>
      <c r="M181" s="348"/>
      <c r="N181" s="340"/>
      <c r="O181" s="348"/>
      <c r="P181" s="348"/>
      <c r="Q181" s="350"/>
      <c r="R181" s="354"/>
      <c r="S181" s="354"/>
      <c r="T181" s="354"/>
      <c r="U181" s="354"/>
      <c r="V181" s="354"/>
      <c r="W181" s="354"/>
      <c r="X181" s="529" t="s">
        <v>1881</v>
      </c>
      <c r="Y181" s="246" t="s">
        <v>1394</v>
      </c>
      <c r="Z181" s="235" t="s">
        <v>193</v>
      </c>
      <c r="AA181" s="235" t="s">
        <v>406</v>
      </c>
      <c r="AB181" s="442" t="s">
        <v>1790</v>
      </c>
      <c r="AC181" s="579"/>
      <c r="AD181" s="292">
        <f t="shared" si="34"/>
        <v>405</v>
      </c>
      <c r="AE181" s="475">
        <f t="shared" si="34"/>
        <v>697</v>
      </c>
      <c r="AF181" s="475">
        <f t="shared" si="34"/>
        <v>697</v>
      </c>
      <c r="AG181" s="553"/>
      <c r="AH181" s="553"/>
      <c r="AI181" s="455"/>
    </row>
    <row r="182" spans="1:35" s="370" customFormat="1" ht="31.5" x14ac:dyDescent="0.25">
      <c r="A182" s="360"/>
      <c r="B182" s="345"/>
      <c r="C182" s="346"/>
      <c r="D182" s="346"/>
      <c r="E182" s="347"/>
      <c r="F182" s="347"/>
      <c r="G182" s="348"/>
      <c r="H182" s="348"/>
      <c r="I182" s="348"/>
      <c r="J182" s="348"/>
      <c r="K182" s="348"/>
      <c r="L182" s="340"/>
      <c r="M182" s="348"/>
      <c r="N182" s="340"/>
      <c r="O182" s="348"/>
      <c r="P182" s="348"/>
      <c r="Q182" s="350"/>
      <c r="R182" s="354"/>
      <c r="S182" s="354"/>
      <c r="T182" s="354"/>
      <c r="U182" s="354"/>
      <c r="V182" s="354"/>
      <c r="W182" s="354"/>
      <c r="X182" s="531" t="s">
        <v>1882</v>
      </c>
      <c r="Y182" s="246" t="s">
        <v>1394</v>
      </c>
      <c r="Z182" s="235" t="s">
        <v>193</v>
      </c>
      <c r="AA182" s="235" t="s">
        <v>406</v>
      </c>
      <c r="AB182" s="442" t="s">
        <v>1883</v>
      </c>
      <c r="AC182" s="579"/>
      <c r="AD182" s="292">
        <f t="shared" ref="AD182:AF183" si="35">AD183</f>
        <v>405</v>
      </c>
      <c r="AE182" s="475">
        <f t="shared" si="35"/>
        <v>697</v>
      </c>
      <c r="AF182" s="475">
        <f t="shared" si="35"/>
        <v>697</v>
      </c>
      <c r="AG182" s="553"/>
      <c r="AH182" s="553"/>
      <c r="AI182" s="455"/>
    </row>
    <row r="183" spans="1:35" s="370" customFormat="1" x14ac:dyDescent="0.25">
      <c r="A183" s="360"/>
      <c r="B183" s="345"/>
      <c r="C183" s="346"/>
      <c r="D183" s="346"/>
      <c r="E183" s="347"/>
      <c r="F183" s="347"/>
      <c r="G183" s="348"/>
      <c r="H183" s="348"/>
      <c r="I183" s="348"/>
      <c r="J183" s="348"/>
      <c r="K183" s="348"/>
      <c r="L183" s="340"/>
      <c r="M183" s="348"/>
      <c r="N183" s="340"/>
      <c r="O183" s="348"/>
      <c r="P183" s="348"/>
      <c r="Q183" s="350"/>
      <c r="R183" s="354"/>
      <c r="S183" s="354"/>
      <c r="T183" s="354"/>
      <c r="U183" s="354"/>
      <c r="V183" s="354"/>
      <c r="W183" s="354"/>
      <c r="X183" s="519" t="s">
        <v>1781</v>
      </c>
      <c r="Y183" s="246" t="s">
        <v>1394</v>
      </c>
      <c r="Z183" s="235" t="s">
        <v>193</v>
      </c>
      <c r="AA183" s="235" t="s">
        <v>406</v>
      </c>
      <c r="AB183" s="442" t="s">
        <v>1883</v>
      </c>
      <c r="AC183" s="579" t="s">
        <v>821</v>
      </c>
      <c r="AD183" s="292">
        <f t="shared" si="35"/>
        <v>405</v>
      </c>
      <c r="AE183" s="475">
        <f t="shared" si="35"/>
        <v>697</v>
      </c>
      <c r="AF183" s="475">
        <f t="shared" si="35"/>
        <v>697</v>
      </c>
      <c r="AG183" s="553"/>
      <c r="AH183" s="553"/>
      <c r="AI183" s="455"/>
    </row>
    <row r="184" spans="1:35" s="370" customFormat="1" ht="31.5" x14ac:dyDescent="0.25">
      <c r="A184" s="360"/>
      <c r="B184" s="345"/>
      <c r="C184" s="346"/>
      <c r="D184" s="346"/>
      <c r="E184" s="347"/>
      <c r="F184" s="347"/>
      <c r="G184" s="348"/>
      <c r="H184" s="348"/>
      <c r="I184" s="348"/>
      <c r="J184" s="348"/>
      <c r="K184" s="348"/>
      <c r="L184" s="340"/>
      <c r="M184" s="348"/>
      <c r="N184" s="340"/>
      <c r="O184" s="348"/>
      <c r="P184" s="348"/>
      <c r="Q184" s="350"/>
      <c r="R184" s="354"/>
      <c r="S184" s="354"/>
      <c r="T184" s="354"/>
      <c r="U184" s="354"/>
      <c r="V184" s="354"/>
      <c r="W184" s="354"/>
      <c r="X184" s="519" t="s">
        <v>1273</v>
      </c>
      <c r="Y184" s="246" t="s">
        <v>1394</v>
      </c>
      <c r="Z184" s="235" t="s">
        <v>193</v>
      </c>
      <c r="AA184" s="235" t="s">
        <v>406</v>
      </c>
      <c r="AB184" s="442" t="s">
        <v>1883</v>
      </c>
      <c r="AC184" s="579" t="s">
        <v>1479</v>
      </c>
      <c r="AD184" s="292">
        <f>697-200+15-107</f>
        <v>405</v>
      </c>
      <c r="AE184" s="475">
        <v>697</v>
      </c>
      <c r="AF184" s="475">
        <v>697</v>
      </c>
      <c r="AG184" s="553"/>
      <c r="AH184" s="553"/>
      <c r="AI184" s="455"/>
    </row>
    <row r="185" spans="1:35" s="370" customFormat="1" ht="31.5" x14ac:dyDescent="0.25">
      <c r="A185" s="360"/>
      <c r="B185" s="345"/>
      <c r="C185" s="346"/>
      <c r="D185" s="346"/>
      <c r="E185" s="347"/>
      <c r="F185" s="347"/>
      <c r="G185" s="348"/>
      <c r="H185" s="348"/>
      <c r="I185" s="348"/>
      <c r="J185" s="348"/>
      <c r="K185" s="348"/>
      <c r="L185" s="340"/>
      <c r="M185" s="348"/>
      <c r="N185" s="340"/>
      <c r="O185" s="348"/>
      <c r="P185" s="348"/>
      <c r="Q185" s="350"/>
      <c r="R185" s="354"/>
      <c r="S185" s="354"/>
      <c r="T185" s="354"/>
      <c r="U185" s="354"/>
      <c r="V185" s="354"/>
      <c r="W185" s="354"/>
      <c r="X185" s="519" t="s">
        <v>2324</v>
      </c>
      <c r="Y185" s="246" t="s">
        <v>1394</v>
      </c>
      <c r="Z185" s="235" t="s">
        <v>193</v>
      </c>
      <c r="AA185" s="235" t="s">
        <v>768</v>
      </c>
      <c r="AB185" s="249"/>
      <c r="AC185" s="576"/>
      <c r="AD185" s="292">
        <f>AD186+AD212</f>
        <v>21336.099999999995</v>
      </c>
      <c r="AE185" s="475">
        <f>AE186+AE212</f>
        <v>18952.400000000001</v>
      </c>
      <c r="AF185" s="475">
        <f>AF186+AF212</f>
        <v>18952.400000000001</v>
      </c>
      <c r="AG185" s="553"/>
      <c r="AH185" s="553"/>
      <c r="AI185" s="455"/>
    </row>
    <row r="186" spans="1:35" s="370" customFormat="1" ht="31.5" x14ac:dyDescent="0.25">
      <c r="A186" s="360"/>
      <c r="B186" s="345"/>
      <c r="C186" s="346"/>
      <c r="D186" s="346"/>
      <c r="E186" s="347"/>
      <c r="F186" s="347"/>
      <c r="G186" s="348"/>
      <c r="H186" s="348"/>
      <c r="I186" s="348"/>
      <c r="J186" s="348"/>
      <c r="K186" s="348"/>
      <c r="L186" s="340"/>
      <c r="M186" s="348"/>
      <c r="N186" s="340"/>
      <c r="O186" s="348"/>
      <c r="P186" s="348"/>
      <c r="Q186" s="350"/>
      <c r="R186" s="354"/>
      <c r="S186" s="354"/>
      <c r="T186" s="354"/>
      <c r="U186" s="354"/>
      <c r="V186" s="354"/>
      <c r="W186" s="354"/>
      <c r="X186" s="548" t="s">
        <v>1853</v>
      </c>
      <c r="Y186" s="246" t="s">
        <v>1394</v>
      </c>
      <c r="Z186" s="235" t="s">
        <v>193</v>
      </c>
      <c r="AA186" s="235" t="s">
        <v>768</v>
      </c>
      <c r="AB186" s="249" t="s">
        <v>1761</v>
      </c>
      <c r="AC186" s="576"/>
      <c r="AD186" s="292">
        <f>AD187+AD198+AD203</f>
        <v>21331.599999999995</v>
      </c>
      <c r="AE186" s="475">
        <f>AE187+AE198+AE203</f>
        <v>18947.900000000001</v>
      </c>
      <c r="AF186" s="475">
        <f>AF187+AF198+AF203</f>
        <v>18947.900000000001</v>
      </c>
      <c r="AG186" s="553"/>
      <c r="AH186" s="553"/>
      <c r="AI186" s="455"/>
    </row>
    <row r="187" spans="1:35" s="370" customFormat="1" ht="47.25" x14ac:dyDescent="0.25">
      <c r="A187" s="311"/>
      <c r="B187" s="345"/>
      <c r="C187" s="346"/>
      <c r="D187" s="346"/>
      <c r="E187" s="347"/>
      <c r="F187" s="371"/>
      <c r="G187" s="348"/>
      <c r="H187" s="372"/>
      <c r="I187" s="313"/>
      <c r="J187" s="313"/>
      <c r="K187" s="313"/>
      <c r="L187" s="348"/>
      <c r="M187" s="313"/>
      <c r="N187" s="348"/>
      <c r="O187" s="349"/>
      <c r="P187" s="348"/>
      <c r="Q187" s="350"/>
      <c r="R187" s="354"/>
      <c r="S187" s="354"/>
      <c r="T187" s="354"/>
      <c r="U187" s="354"/>
      <c r="V187" s="354"/>
      <c r="W187" s="354"/>
      <c r="X187" s="548" t="s">
        <v>2336</v>
      </c>
      <c r="Y187" s="246" t="s">
        <v>1394</v>
      </c>
      <c r="Z187" s="235" t="s">
        <v>193</v>
      </c>
      <c r="AA187" s="235" t="s">
        <v>768</v>
      </c>
      <c r="AB187" s="442" t="s">
        <v>1766</v>
      </c>
      <c r="AC187" s="579"/>
      <c r="AD187" s="292">
        <f>AD188+AD192</f>
        <v>958.7</v>
      </c>
      <c r="AE187" s="475">
        <f>AE188+AE192</f>
        <v>780</v>
      </c>
      <c r="AF187" s="475">
        <f>AF188+AF192</f>
        <v>780</v>
      </c>
      <c r="AG187" s="553"/>
      <c r="AH187" s="553"/>
      <c r="AI187" s="455"/>
    </row>
    <row r="188" spans="1:35" s="370" customFormat="1" ht="47.25" x14ac:dyDescent="0.25">
      <c r="A188" s="311"/>
      <c r="B188" s="345"/>
      <c r="C188" s="346"/>
      <c r="D188" s="346"/>
      <c r="E188" s="347"/>
      <c r="F188" s="371"/>
      <c r="G188" s="348"/>
      <c r="H188" s="372"/>
      <c r="I188" s="313"/>
      <c r="J188" s="313"/>
      <c r="K188" s="313"/>
      <c r="L188" s="348"/>
      <c r="M188" s="313"/>
      <c r="N188" s="348"/>
      <c r="O188" s="349"/>
      <c r="P188" s="348"/>
      <c r="Q188" s="350"/>
      <c r="R188" s="354"/>
      <c r="S188" s="354"/>
      <c r="T188" s="354"/>
      <c r="U188" s="354"/>
      <c r="V188" s="354"/>
      <c r="W188" s="354"/>
      <c r="X188" s="526" t="s">
        <v>2273</v>
      </c>
      <c r="Y188" s="246" t="s">
        <v>1394</v>
      </c>
      <c r="Z188" s="235" t="s">
        <v>193</v>
      </c>
      <c r="AA188" s="235" t="s">
        <v>768</v>
      </c>
      <c r="AB188" s="442" t="s">
        <v>1787</v>
      </c>
      <c r="AC188" s="579"/>
      <c r="AD188" s="292">
        <f t="shared" ref="AD188:AF190" si="36">AD189</f>
        <v>337.1</v>
      </c>
      <c r="AE188" s="475">
        <f t="shared" si="36"/>
        <v>710</v>
      </c>
      <c r="AF188" s="475">
        <f t="shared" si="36"/>
        <v>710</v>
      </c>
      <c r="AG188" s="553"/>
      <c r="AH188" s="553"/>
      <c r="AI188" s="455"/>
    </row>
    <row r="189" spans="1:35" s="370" customFormat="1" ht="31.5" x14ac:dyDescent="0.25">
      <c r="A189" s="311"/>
      <c r="B189" s="345"/>
      <c r="C189" s="346"/>
      <c r="D189" s="346"/>
      <c r="E189" s="347"/>
      <c r="F189" s="371"/>
      <c r="G189" s="348"/>
      <c r="H189" s="372"/>
      <c r="I189" s="313"/>
      <c r="J189" s="313"/>
      <c r="K189" s="313"/>
      <c r="L189" s="348"/>
      <c r="M189" s="313"/>
      <c r="N189" s="348"/>
      <c r="O189" s="349"/>
      <c r="P189" s="348"/>
      <c r="Q189" s="350"/>
      <c r="R189" s="354"/>
      <c r="S189" s="354"/>
      <c r="T189" s="354"/>
      <c r="U189" s="354"/>
      <c r="V189" s="354"/>
      <c r="W189" s="354"/>
      <c r="X189" s="529" t="s">
        <v>1871</v>
      </c>
      <c r="Y189" s="246" t="s">
        <v>1394</v>
      </c>
      <c r="Z189" s="235" t="s">
        <v>193</v>
      </c>
      <c r="AA189" s="235" t="s">
        <v>768</v>
      </c>
      <c r="AB189" s="442" t="s">
        <v>1872</v>
      </c>
      <c r="AC189" s="579"/>
      <c r="AD189" s="292">
        <f t="shared" si="36"/>
        <v>337.1</v>
      </c>
      <c r="AE189" s="475">
        <f t="shared" si="36"/>
        <v>710</v>
      </c>
      <c r="AF189" s="475">
        <f t="shared" si="36"/>
        <v>710</v>
      </c>
      <c r="AG189" s="553"/>
      <c r="AH189" s="553"/>
      <c r="AI189" s="455"/>
    </row>
    <row r="190" spans="1:35" s="370" customFormat="1" x14ac:dyDescent="0.25">
      <c r="A190" s="311"/>
      <c r="B190" s="345"/>
      <c r="C190" s="346"/>
      <c r="D190" s="346"/>
      <c r="E190" s="347"/>
      <c r="F190" s="371"/>
      <c r="G190" s="348"/>
      <c r="H190" s="372"/>
      <c r="I190" s="313"/>
      <c r="J190" s="313"/>
      <c r="K190" s="313"/>
      <c r="L190" s="348"/>
      <c r="M190" s="313"/>
      <c r="N190" s="348"/>
      <c r="O190" s="349"/>
      <c r="P190" s="348"/>
      <c r="Q190" s="350"/>
      <c r="R190" s="354"/>
      <c r="S190" s="354"/>
      <c r="T190" s="354"/>
      <c r="U190" s="354"/>
      <c r="V190" s="354"/>
      <c r="W190" s="354"/>
      <c r="X190" s="523" t="s">
        <v>1781</v>
      </c>
      <c r="Y190" s="578" t="s">
        <v>1394</v>
      </c>
      <c r="Z190" s="235" t="s">
        <v>193</v>
      </c>
      <c r="AA190" s="235" t="s">
        <v>768</v>
      </c>
      <c r="AB190" s="442" t="s">
        <v>1872</v>
      </c>
      <c r="AC190" s="584" t="s">
        <v>821</v>
      </c>
      <c r="AD190" s="292">
        <f t="shared" si="36"/>
        <v>337.1</v>
      </c>
      <c r="AE190" s="475">
        <f t="shared" si="36"/>
        <v>710</v>
      </c>
      <c r="AF190" s="475">
        <f t="shared" si="36"/>
        <v>710</v>
      </c>
      <c r="AG190" s="553"/>
      <c r="AH190" s="553"/>
      <c r="AI190" s="455"/>
    </row>
    <row r="191" spans="1:35" s="370" customFormat="1" ht="31.5" x14ac:dyDescent="0.25">
      <c r="A191" s="311"/>
      <c r="B191" s="345"/>
      <c r="C191" s="346"/>
      <c r="D191" s="346"/>
      <c r="E191" s="347"/>
      <c r="F191" s="371"/>
      <c r="G191" s="348"/>
      <c r="H191" s="372"/>
      <c r="I191" s="313"/>
      <c r="J191" s="313"/>
      <c r="K191" s="313"/>
      <c r="L191" s="348"/>
      <c r="M191" s="313"/>
      <c r="N191" s="348"/>
      <c r="O191" s="349"/>
      <c r="P191" s="348"/>
      <c r="Q191" s="350"/>
      <c r="R191" s="354"/>
      <c r="S191" s="354"/>
      <c r="T191" s="354"/>
      <c r="U191" s="354"/>
      <c r="V191" s="354"/>
      <c r="W191" s="354"/>
      <c r="X191" s="523" t="s">
        <v>1273</v>
      </c>
      <c r="Y191" s="578" t="s">
        <v>1394</v>
      </c>
      <c r="Z191" s="235" t="s">
        <v>193</v>
      </c>
      <c r="AA191" s="235" t="s">
        <v>768</v>
      </c>
      <c r="AB191" s="442" t="s">
        <v>1872</v>
      </c>
      <c r="AC191" s="584" t="s">
        <v>1479</v>
      </c>
      <c r="AD191" s="292">
        <f>710-66-306.9</f>
        <v>337.1</v>
      </c>
      <c r="AE191" s="475">
        <v>710</v>
      </c>
      <c r="AF191" s="475">
        <v>710</v>
      </c>
      <c r="AG191" s="553"/>
      <c r="AH191" s="553"/>
      <c r="AI191" s="455"/>
    </row>
    <row r="192" spans="1:35" s="370" customFormat="1" ht="47.25" x14ac:dyDescent="0.25">
      <c r="A192" s="311"/>
      <c r="B192" s="345"/>
      <c r="C192" s="346"/>
      <c r="D192" s="346"/>
      <c r="E192" s="347"/>
      <c r="F192" s="371"/>
      <c r="G192" s="348"/>
      <c r="H192" s="372"/>
      <c r="I192" s="313"/>
      <c r="J192" s="313"/>
      <c r="K192" s="313"/>
      <c r="L192" s="348"/>
      <c r="M192" s="313"/>
      <c r="N192" s="348"/>
      <c r="O192" s="349"/>
      <c r="P192" s="348"/>
      <c r="Q192" s="350"/>
      <c r="R192" s="354"/>
      <c r="S192" s="354"/>
      <c r="T192" s="354"/>
      <c r="U192" s="354"/>
      <c r="V192" s="354"/>
      <c r="W192" s="354"/>
      <c r="X192" s="529" t="s">
        <v>2272</v>
      </c>
      <c r="Y192" s="578" t="s">
        <v>1394</v>
      </c>
      <c r="Z192" s="235" t="s">
        <v>193</v>
      </c>
      <c r="AA192" s="235" t="s">
        <v>768</v>
      </c>
      <c r="AB192" s="442" t="s">
        <v>1873</v>
      </c>
      <c r="AC192" s="238"/>
      <c r="AD192" s="292">
        <f>AD193</f>
        <v>621.6</v>
      </c>
      <c r="AE192" s="475">
        <f>AE193</f>
        <v>70</v>
      </c>
      <c r="AF192" s="475">
        <f>AF193</f>
        <v>70</v>
      </c>
      <c r="AG192" s="553"/>
      <c r="AH192" s="553"/>
      <c r="AI192" s="455"/>
    </row>
    <row r="193" spans="1:37" s="370" customFormat="1" ht="31.5" x14ac:dyDescent="0.25">
      <c r="A193" s="311"/>
      <c r="B193" s="345"/>
      <c r="C193" s="346"/>
      <c r="D193" s="346"/>
      <c r="E193" s="347"/>
      <c r="F193" s="371"/>
      <c r="G193" s="348"/>
      <c r="H193" s="372"/>
      <c r="I193" s="313"/>
      <c r="J193" s="313"/>
      <c r="K193" s="313"/>
      <c r="L193" s="348"/>
      <c r="M193" s="313"/>
      <c r="N193" s="348"/>
      <c r="O193" s="349"/>
      <c r="P193" s="348"/>
      <c r="Q193" s="350"/>
      <c r="R193" s="354"/>
      <c r="S193" s="354"/>
      <c r="T193" s="354"/>
      <c r="U193" s="354"/>
      <c r="V193" s="354"/>
      <c r="W193" s="354"/>
      <c r="X193" s="529" t="s">
        <v>1874</v>
      </c>
      <c r="Y193" s="578" t="s">
        <v>1394</v>
      </c>
      <c r="Z193" s="235" t="s">
        <v>193</v>
      </c>
      <c r="AA193" s="235" t="s">
        <v>768</v>
      </c>
      <c r="AB193" s="442" t="s">
        <v>1875</v>
      </c>
      <c r="AC193" s="238"/>
      <c r="AD193" s="292">
        <f>AD194+AD196</f>
        <v>621.6</v>
      </c>
      <c r="AE193" s="292">
        <f>AE194+AE196</f>
        <v>70</v>
      </c>
      <c r="AF193" s="292">
        <f>AF194+AF196</f>
        <v>70</v>
      </c>
      <c r="AG193" s="553"/>
      <c r="AH193" s="553"/>
      <c r="AI193" s="455"/>
    </row>
    <row r="194" spans="1:37" s="370" customFormat="1" x14ac:dyDescent="0.25">
      <c r="A194" s="311"/>
      <c r="B194" s="345"/>
      <c r="C194" s="346"/>
      <c r="D194" s="346"/>
      <c r="E194" s="347"/>
      <c r="F194" s="371"/>
      <c r="G194" s="348"/>
      <c r="H194" s="372"/>
      <c r="I194" s="313"/>
      <c r="J194" s="313"/>
      <c r="K194" s="313"/>
      <c r="L194" s="348"/>
      <c r="M194" s="313"/>
      <c r="N194" s="348"/>
      <c r="O194" s="349"/>
      <c r="P194" s="348"/>
      <c r="Q194" s="350"/>
      <c r="R194" s="354"/>
      <c r="S194" s="354"/>
      <c r="T194" s="354"/>
      <c r="U194" s="354"/>
      <c r="V194" s="354"/>
      <c r="W194" s="354"/>
      <c r="X194" s="519" t="s">
        <v>1781</v>
      </c>
      <c r="Y194" s="246" t="s">
        <v>1394</v>
      </c>
      <c r="Z194" s="235" t="s">
        <v>193</v>
      </c>
      <c r="AA194" s="235" t="s">
        <v>768</v>
      </c>
      <c r="AB194" s="442" t="s">
        <v>1875</v>
      </c>
      <c r="AC194" s="579" t="s">
        <v>821</v>
      </c>
      <c r="AD194" s="292">
        <f>AD195</f>
        <v>40.1</v>
      </c>
      <c r="AE194" s="475">
        <f>AE195</f>
        <v>70</v>
      </c>
      <c r="AF194" s="475">
        <f>AF195</f>
        <v>70</v>
      </c>
      <c r="AG194" s="553"/>
      <c r="AH194" s="553"/>
      <c r="AI194" s="455"/>
    </row>
    <row r="195" spans="1:37" s="370" customFormat="1" ht="31.5" x14ac:dyDescent="0.25">
      <c r="A195" s="311"/>
      <c r="B195" s="345"/>
      <c r="C195" s="346"/>
      <c r="D195" s="346"/>
      <c r="E195" s="347"/>
      <c r="F195" s="371"/>
      <c r="G195" s="348"/>
      <c r="H195" s="372"/>
      <c r="I195" s="313"/>
      <c r="J195" s="313"/>
      <c r="K195" s="313"/>
      <c r="L195" s="348"/>
      <c r="M195" s="313"/>
      <c r="N195" s="348"/>
      <c r="O195" s="349"/>
      <c r="P195" s="348"/>
      <c r="Q195" s="350"/>
      <c r="R195" s="354"/>
      <c r="S195" s="354"/>
      <c r="T195" s="354"/>
      <c r="U195" s="354"/>
      <c r="V195" s="354"/>
      <c r="W195" s="354"/>
      <c r="X195" s="519" t="s">
        <v>1273</v>
      </c>
      <c r="Y195" s="246" t="s">
        <v>1394</v>
      </c>
      <c r="Z195" s="235" t="s">
        <v>193</v>
      </c>
      <c r="AA195" s="235" t="s">
        <v>768</v>
      </c>
      <c r="AB195" s="442" t="s">
        <v>1875</v>
      </c>
      <c r="AC195" s="579" t="s">
        <v>1479</v>
      </c>
      <c r="AD195" s="292">
        <f>70-29.9</f>
        <v>40.1</v>
      </c>
      <c r="AE195" s="475">
        <v>70</v>
      </c>
      <c r="AF195" s="475">
        <v>70</v>
      </c>
      <c r="AG195" s="553"/>
      <c r="AH195" s="553"/>
      <c r="AI195" s="455"/>
    </row>
    <row r="196" spans="1:37" s="370" customFormat="1" ht="31.5" x14ac:dyDescent="0.25">
      <c r="A196" s="311"/>
      <c r="B196" s="345"/>
      <c r="C196" s="346"/>
      <c r="D196" s="346"/>
      <c r="E196" s="347"/>
      <c r="F196" s="371"/>
      <c r="G196" s="348"/>
      <c r="H196" s="372"/>
      <c r="I196" s="313"/>
      <c r="J196" s="313"/>
      <c r="K196" s="313"/>
      <c r="L196" s="348"/>
      <c r="M196" s="313"/>
      <c r="N196" s="348"/>
      <c r="O196" s="349"/>
      <c r="P196" s="348"/>
      <c r="Q196" s="350"/>
      <c r="R196" s="354"/>
      <c r="S196" s="354"/>
      <c r="T196" s="354"/>
      <c r="U196" s="354"/>
      <c r="V196" s="354"/>
      <c r="W196" s="354"/>
      <c r="X196" s="519" t="s">
        <v>1342</v>
      </c>
      <c r="Y196" s="246" t="s">
        <v>1394</v>
      </c>
      <c r="Z196" s="235" t="s">
        <v>193</v>
      </c>
      <c r="AA196" s="235" t="s">
        <v>768</v>
      </c>
      <c r="AB196" s="442" t="s">
        <v>1875</v>
      </c>
      <c r="AC196" s="579" t="s">
        <v>2394</v>
      </c>
      <c r="AD196" s="292">
        <f>AD197</f>
        <v>581.5</v>
      </c>
      <c r="AE196" s="292">
        <f>AE197</f>
        <v>0</v>
      </c>
      <c r="AF196" s="292">
        <f>AF197</f>
        <v>0</v>
      </c>
      <c r="AG196" s="553"/>
      <c r="AH196" s="553"/>
      <c r="AI196" s="455"/>
    </row>
    <row r="197" spans="1:37" s="370" customFormat="1" x14ac:dyDescent="0.25">
      <c r="A197" s="311"/>
      <c r="B197" s="345"/>
      <c r="C197" s="346"/>
      <c r="D197" s="346"/>
      <c r="E197" s="347"/>
      <c r="F197" s="371"/>
      <c r="G197" s="348"/>
      <c r="H197" s="372"/>
      <c r="I197" s="313"/>
      <c r="J197" s="313"/>
      <c r="K197" s="313"/>
      <c r="L197" s="348"/>
      <c r="M197" s="313"/>
      <c r="N197" s="348"/>
      <c r="O197" s="349"/>
      <c r="P197" s="348"/>
      <c r="Q197" s="350"/>
      <c r="R197" s="354"/>
      <c r="S197" s="354"/>
      <c r="T197" s="354"/>
      <c r="U197" s="354"/>
      <c r="V197" s="354"/>
      <c r="W197" s="354"/>
      <c r="X197" s="519" t="s">
        <v>1343</v>
      </c>
      <c r="Y197" s="246" t="s">
        <v>1394</v>
      </c>
      <c r="Z197" s="235" t="s">
        <v>193</v>
      </c>
      <c r="AA197" s="235" t="s">
        <v>768</v>
      </c>
      <c r="AB197" s="442" t="s">
        <v>1875</v>
      </c>
      <c r="AC197" s="579" t="s">
        <v>2395</v>
      </c>
      <c r="AD197" s="292">
        <f>700-118.5</f>
        <v>581.5</v>
      </c>
      <c r="AE197" s="475">
        <v>0</v>
      </c>
      <c r="AF197" s="475">
        <v>0</v>
      </c>
      <c r="AG197" s="553"/>
      <c r="AH197" s="553"/>
      <c r="AI197" s="455"/>
    </row>
    <row r="198" spans="1:37" s="370" customFormat="1" ht="31.5" x14ac:dyDescent="0.25">
      <c r="A198" s="311"/>
      <c r="B198" s="345"/>
      <c r="C198" s="346"/>
      <c r="D198" s="346"/>
      <c r="E198" s="347"/>
      <c r="F198" s="371"/>
      <c r="G198" s="348"/>
      <c r="H198" s="348"/>
      <c r="I198" s="348"/>
      <c r="J198" s="348"/>
      <c r="K198" s="348"/>
      <c r="L198" s="340"/>
      <c r="M198" s="348"/>
      <c r="N198" s="340"/>
      <c r="O198" s="348"/>
      <c r="P198" s="348"/>
      <c r="Q198" s="350"/>
      <c r="R198" s="354"/>
      <c r="S198" s="354"/>
      <c r="T198" s="354"/>
      <c r="U198" s="354"/>
      <c r="V198" s="354"/>
      <c r="W198" s="354"/>
      <c r="X198" s="548" t="s">
        <v>2275</v>
      </c>
      <c r="Y198" s="246" t="s">
        <v>1394</v>
      </c>
      <c r="Z198" s="235" t="s">
        <v>193</v>
      </c>
      <c r="AA198" s="235" t="s">
        <v>768</v>
      </c>
      <c r="AB198" s="442" t="s">
        <v>1763</v>
      </c>
      <c r="AC198" s="238"/>
      <c r="AD198" s="292">
        <f t="shared" ref="AD198:AF200" si="37">AD199</f>
        <v>175.9</v>
      </c>
      <c r="AE198" s="475">
        <f t="shared" si="37"/>
        <v>656</v>
      </c>
      <c r="AF198" s="475">
        <f t="shared" si="37"/>
        <v>656</v>
      </c>
      <c r="AG198" s="553"/>
      <c r="AH198" s="553"/>
      <c r="AI198" s="455"/>
    </row>
    <row r="199" spans="1:37" s="370" customFormat="1" x14ac:dyDescent="0.25">
      <c r="A199" s="311"/>
      <c r="B199" s="345"/>
      <c r="C199" s="346"/>
      <c r="D199" s="346"/>
      <c r="E199" s="347"/>
      <c r="F199" s="371"/>
      <c r="G199" s="348"/>
      <c r="H199" s="348"/>
      <c r="I199" s="348"/>
      <c r="J199" s="348"/>
      <c r="K199" s="348"/>
      <c r="L199" s="340"/>
      <c r="M199" s="348"/>
      <c r="N199" s="340"/>
      <c r="O199" s="348"/>
      <c r="P199" s="348"/>
      <c r="Q199" s="350"/>
      <c r="R199" s="354"/>
      <c r="S199" s="354"/>
      <c r="T199" s="354"/>
      <c r="U199" s="354"/>
      <c r="V199" s="354"/>
      <c r="W199" s="354"/>
      <c r="X199" s="529" t="s">
        <v>1880</v>
      </c>
      <c r="Y199" s="246" t="s">
        <v>1394</v>
      </c>
      <c r="Z199" s="235" t="s">
        <v>193</v>
      </c>
      <c r="AA199" s="235" t="s">
        <v>768</v>
      </c>
      <c r="AB199" s="442" t="s">
        <v>1789</v>
      </c>
      <c r="AC199" s="579"/>
      <c r="AD199" s="292">
        <f t="shared" si="37"/>
        <v>175.9</v>
      </c>
      <c r="AE199" s="475">
        <f t="shared" si="37"/>
        <v>656</v>
      </c>
      <c r="AF199" s="475">
        <f t="shared" si="37"/>
        <v>656</v>
      </c>
      <c r="AG199" s="553"/>
      <c r="AH199" s="553"/>
      <c r="AI199" s="455"/>
    </row>
    <row r="200" spans="1:37" s="370" customFormat="1" x14ac:dyDescent="0.25">
      <c r="A200" s="311"/>
      <c r="B200" s="345"/>
      <c r="C200" s="346"/>
      <c r="D200" s="346"/>
      <c r="E200" s="347"/>
      <c r="F200" s="371"/>
      <c r="G200" s="348"/>
      <c r="H200" s="348"/>
      <c r="I200" s="348"/>
      <c r="J200" s="348"/>
      <c r="K200" s="348"/>
      <c r="L200" s="340"/>
      <c r="M200" s="348"/>
      <c r="N200" s="340"/>
      <c r="O200" s="348"/>
      <c r="P200" s="348"/>
      <c r="Q200" s="350"/>
      <c r="R200" s="354"/>
      <c r="S200" s="354"/>
      <c r="T200" s="354"/>
      <c r="U200" s="354"/>
      <c r="V200" s="354"/>
      <c r="W200" s="354"/>
      <c r="X200" s="519" t="s">
        <v>1876</v>
      </c>
      <c r="Y200" s="246" t="s">
        <v>1394</v>
      </c>
      <c r="Z200" s="235" t="s">
        <v>193</v>
      </c>
      <c r="AA200" s="235" t="s">
        <v>768</v>
      </c>
      <c r="AB200" s="442" t="s">
        <v>1877</v>
      </c>
      <c r="AC200" s="238"/>
      <c r="AD200" s="292">
        <f>AD201</f>
        <v>175.9</v>
      </c>
      <c r="AE200" s="292">
        <f t="shared" si="37"/>
        <v>656</v>
      </c>
      <c r="AF200" s="292">
        <f t="shared" si="37"/>
        <v>656</v>
      </c>
      <c r="AG200" s="553"/>
      <c r="AH200" s="553"/>
      <c r="AI200" s="455"/>
    </row>
    <row r="201" spans="1:37" s="370" customFormat="1" x14ac:dyDescent="0.25">
      <c r="A201" s="311"/>
      <c r="B201" s="345"/>
      <c r="C201" s="346"/>
      <c r="D201" s="346"/>
      <c r="E201" s="347"/>
      <c r="F201" s="371"/>
      <c r="G201" s="348"/>
      <c r="H201" s="348"/>
      <c r="I201" s="348"/>
      <c r="J201" s="348"/>
      <c r="K201" s="348"/>
      <c r="L201" s="340"/>
      <c r="M201" s="348"/>
      <c r="N201" s="340"/>
      <c r="O201" s="348"/>
      <c r="P201" s="348"/>
      <c r="Q201" s="350"/>
      <c r="R201" s="354"/>
      <c r="S201" s="354"/>
      <c r="T201" s="354"/>
      <c r="U201" s="354"/>
      <c r="V201" s="354"/>
      <c r="W201" s="354"/>
      <c r="X201" s="519" t="s">
        <v>1781</v>
      </c>
      <c r="Y201" s="246" t="s">
        <v>1394</v>
      </c>
      <c r="Z201" s="235" t="s">
        <v>193</v>
      </c>
      <c r="AA201" s="235" t="s">
        <v>768</v>
      </c>
      <c r="AB201" s="442" t="s">
        <v>1877</v>
      </c>
      <c r="AC201" s="579" t="s">
        <v>821</v>
      </c>
      <c r="AD201" s="292">
        <f>AD202</f>
        <v>175.9</v>
      </c>
      <c r="AE201" s="475">
        <f>AE202</f>
        <v>656</v>
      </c>
      <c r="AF201" s="475">
        <f>AF202</f>
        <v>656</v>
      </c>
      <c r="AG201" s="553"/>
      <c r="AH201" s="553"/>
      <c r="AI201" s="455"/>
    </row>
    <row r="202" spans="1:37" s="370" customFormat="1" ht="31.5" x14ac:dyDescent="0.25">
      <c r="A202" s="311"/>
      <c r="B202" s="345"/>
      <c r="C202" s="346"/>
      <c r="D202" s="346"/>
      <c r="E202" s="347"/>
      <c r="F202" s="371"/>
      <c r="G202" s="348"/>
      <c r="H202" s="348"/>
      <c r="I202" s="348"/>
      <c r="J202" s="348"/>
      <c r="K202" s="348"/>
      <c r="L202" s="340"/>
      <c r="M202" s="348"/>
      <c r="N202" s="340"/>
      <c r="O202" s="348"/>
      <c r="P202" s="348"/>
      <c r="Q202" s="350"/>
      <c r="R202" s="354"/>
      <c r="S202" s="354"/>
      <c r="T202" s="354"/>
      <c r="U202" s="354"/>
      <c r="V202" s="354"/>
      <c r="W202" s="354"/>
      <c r="X202" s="519" t="s">
        <v>1273</v>
      </c>
      <c r="Y202" s="246" t="s">
        <v>1394</v>
      </c>
      <c r="Z202" s="235" t="s">
        <v>193</v>
      </c>
      <c r="AA202" s="235" t="s">
        <v>768</v>
      </c>
      <c r="AB202" s="442" t="s">
        <v>1877</v>
      </c>
      <c r="AC202" s="579" t="s">
        <v>1479</v>
      </c>
      <c r="AD202" s="292">
        <f>656-30-120-27.7-70-232.4</f>
        <v>175.9</v>
      </c>
      <c r="AE202" s="475">
        <v>656</v>
      </c>
      <c r="AF202" s="475">
        <v>656</v>
      </c>
      <c r="AG202" s="553"/>
      <c r="AH202" s="553"/>
      <c r="AI202" s="455"/>
    </row>
    <row r="203" spans="1:37" s="370" customFormat="1" x14ac:dyDescent="0.25">
      <c r="A203" s="311"/>
      <c r="B203" s="345"/>
      <c r="C203" s="346"/>
      <c r="D203" s="346"/>
      <c r="E203" s="347"/>
      <c r="F203" s="371"/>
      <c r="G203" s="348"/>
      <c r="H203" s="348"/>
      <c r="I203" s="348"/>
      <c r="J203" s="348"/>
      <c r="K203" s="348"/>
      <c r="L203" s="340"/>
      <c r="M203" s="348"/>
      <c r="N203" s="340"/>
      <c r="O203" s="348"/>
      <c r="P203" s="348"/>
      <c r="Q203" s="350"/>
      <c r="R203" s="354"/>
      <c r="S203" s="354"/>
      <c r="T203" s="354"/>
      <c r="U203" s="354"/>
      <c r="V203" s="354"/>
      <c r="W203" s="354"/>
      <c r="X203" s="529" t="s">
        <v>1160</v>
      </c>
      <c r="Y203" s="246" t="s">
        <v>1394</v>
      </c>
      <c r="Z203" s="235" t="s">
        <v>193</v>
      </c>
      <c r="AA203" s="235" t="s">
        <v>768</v>
      </c>
      <c r="AB203" s="442" t="s">
        <v>1764</v>
      </c>
      <c r="AC203" s="579"/>
      <c r="AD203" s="292">
        <f t="shared" ref="AD203:AF204" si="38">AD204</f>
        <v>20196.999999999996</v>
      </c>
      <c r="AE203" s="475">
        <f t="shared" si="38"/>
        <v>17511.900000000001</v>
      </c>
      <c r="AF203" s="475">
        <f t="shared" si="38"/>
        <v>17511.900000000001</v>
      </c>
      <c r="AG203" s="553"/>
      <c r="AH203" s="553"/>
      <c r="AI203" s="455"/>
    </row>
    <row r="204" spans="1:37" s="370" customFormat="1" ht="31.5" x14ac:dyDescent="0.25">
      <c r="A204" s="311"/>
      <c r="B204" s="345"/>
      <c r="C204" s="346"/>
      <c r="D204" s="346"/>
      <c r="E204" s="347"/>
      <c r="F204" s="371"/>
      <c r="G204" s="348"/>
      <c r="H204" s="348"/>
      <c r="I204" s="348"/>
      <c r="J204" s="348"/>
      <c r="K204" s="348"/>
      <c r="L204" s="340"/>
      <c r="M204" s="348"/>
      <c r="N204" s="340"/>
      <c r="O204" s="348"/>
      <c r="P204" s="348"/>
      <c r="Q204" s="350"/>
      <c r="R204" s="354"/>
      <c r="S204" s="354"/>
      <c r="T204" s="354"/>
      <c r="U204" s="354"/>
      <c r="V204" s="354"/>
      <c r="W204" s="354"/>
      <c r="X204" s="529" t="s">
        <v>2042</v>
      </c>
      <c r="Y204" s="246" t="s">
        <v>1394</v>
      </c>
      <c r="Z204" s="235" t="s">
        <v>193</v>
      </c>
      <c r="AA204" s="235" t="s">
        <v>768</v>
      </c>
      <c r="AB204" s="442" t="s">
        <v>2246</v>
      </c>
      <c r="AC204" s="579"/>
      <c r="AD204" s="292">
        <f t="shared" si="38"/>
        <v>20196.999999999996</v>
      </c>
      <c r="AE204" s="475">
        <f t="shared" si="38"/>
        <v>17511.900000000001</v>
      </c>
      <c r="AF204" s="475">
        <f t="shared" si="38"/>
        <v>17511.900000000001</v>
      </c>
      <c r="AG204" s="553"/>
      <c r="AH204" s="553"/>
      <c r="AI204" s="455"/>
    </row>
    <row r="205" spans="1:37" s="370" customFormat="1" x14ac:dyDescent="0.25">
      <c r="A205" s="311"/>
      <c r="B205" s="345"/>
      <c r="C205" s="346"/>
      <c r="D205" s="346"/>
      <c r="E205" s="347"/>
      <c r="F205" s="371"/>
      <c r="G205" s="348"/>
      <c r="H205" s="348"/>
      <c r="I205" s="348"/>
      <c r="J205" s="348"/>
      <c r="K205" s="348"/>
      <c r="L205" s="340"/>
      <c r="M205" s="348"/>
      <c r="N205" s="340"/>
      <c r="O205" s="348"/>
      <c r="P205" s="348"/>
      <c r="Q205" s="350"/>
      <c r="R205" s="354"/>
      <c r="S205" s="354"/>
      <c r="T205" s="354"/>
      <c r="U205" s="354"/>
      <c r="V205" s="354"/>
      <c r="W205" s="354"/>
      <c r="X205" s="529" t="s">
        <v>1884</v>
      </c>
      <c r="Y205" s="246" t="s">
        <v>1394</v>
      </c>
      <c r="Z205" s="235" t="s">
        <v>193</v>
      </c>
      <c r="AA205" s="235" t="s">
        <v>768</v>
      </c>
      <c r="AB205" s="442" t="s">
        <v>1885</v>
      </c>
      <c r="AC205" s="579"/>
      <c r="AD205" s="292">
        <f>AD206+AD208+AD210</f>
        <v>20196.999999999996</v>
      </c>
      <c r="AE205" s="475">
        <f>AE206+AE208</f>
        <v>17511.900000000001</v>
      </c>
      <c r="AF205" s="475">
        <f>AF206+AF208</f>
        <v>17511.900000000001</v>
      </c>
      <c r="AG205" s="553"/>
      <c r="AH205" s="553"/>
      <c r="AI205" s="455"/>
    </row>
    <row r="206" spans="1:37" s="370" customFormat="1" ht="47.25" x14ac:dyDescent="0.25">
      <c r="A206" s="311"/>
      <c r="B206" s="345"/>
      <c r="C206" s="346"/>
      <c r="D206" s="346"/>
      <c r="E206" s="347"/>
      <c r="F206" s="371"/>
      <c r="G206" s="348"/>
      <c r="H206" s="348"/>
      <c r="I206" s="348"/>
      <c r="J206" s="348"/>
      <c r="K206" s="348"/>
      <c r="L206" s="340"/>
      <c r="M206" s="348"/>
      <c r="N206" s="340"/>
      <c r="O206" s="348"/>
      <c r="P206" s="348"/>
      <c r="Q206" s="350"/>
      <c r="R206" s="354"/>
      <c r="S206" s="354"/>
      <c r="T206" s="354"/>
      <c r="U206" s="354"/>
      <c r="V206" s="354"/>
      <c r="W206" s="354"/>
      <c r="X206" s="519" t="s">
        <v>1833</v>
      </c>
      <c r="Y206" s="246" t="s">
        <v>1394</v>
      </c>
      <c r="Z206" s="235" t="s">
        <v>193</v>
      </c>
      <c r="AA206" s="235" t="s">
        <v>768</v>
      </c>
      <c r="AB206" s="442" t="s">
        <v>1885</v>
      </c>
      <c r="AC206" s="579" t="s">
        <v>1797</v>
      </c>
      <c r="AD206" s="292">
        <f>AD207</f>
        <v>17768.899999999998</v>
      </c>
      <c r="AE206" s="475">
        <f>AE207</f>
        <v>15082.9</v>
      </c>
      <c r="AF206" s="475">
        <f>AF207</f>
        <v>15082.9</v>
      </c>
      <c r="AG206" s="553"/>
      <c r="AH206" s="553"/>
      <c r="AI206" s="455"/>
    </row>
    <row r="207" spans="1:37" s="370" customFormat="1" x14ac:dyDescent="0.25">
      <c r="A207" s="311"/>
      <c r="B207" s="345"/>
      <c r="C207" s="346"/>
      <c r="D207" s="346"/>
      <c r="E207" s="347"/>
      <c r="F207" s="371"/>
      <c r="G207" s="348"/>
      <c r="H207" s="348"/>
      <c r="I207" s="348"/>
      <c r="J207" s="348"/>
      <c r="K207" s="348"/>
      <c r="L207" s="340"/>
      <c r="M207" s="348"/>
      <c r="N207" s="340"/>
      <c r="O207" s="348"/>
      <c r="P207" s="348"/>
      <c r="Q207" s="350"/>
      <c r="R207" s="354"/>
      <c r="S207" s="354"/>
      <c r="T207" s="354"/>
      <c r="U207" s="354"/>
      <c r="V207" s="354"/>
      <c r="W207" s="354"/>
      <c r="X207" s="519" t="s">
        <v>1568</v>
      </c>
      <c r="Y207" s="246" t="s">
        <v>1394</v>
      </c>
      <c r="Z207" s="235" t="s">
        <v>193</v>
      </c>
      <c r="AA207" s="235" t="s">
        <v>768</v>
      </c>
      <c r="AB207" s="442" t="s">
        <v>1885</v>
      </c>
      <c r="AC207" s="579" t="s">
        <v>1798</v>
      </c>
      <c r="AD207" s="292">
        <f>15082.9+0.9+2685.1</f>
        <v>17768.899999999998</v>
      </c>
      <c r="AE207" s="475">
        <v>15082.9</v>
      </c>
      <c r="AF207" s="475">
        <v>15082.9</v>
      </c>
      <c r="AG207" s="553"/>
      <c r="AH207" s="553"/>
      <c r="AI207" s="880"/>
      <c r="AJ207" s="881"/>
      <c r="AK207" s="372"/>
    </row>
    <row r="208" spans="1:37" s="370" customFormat="1" x14ac:dyDescent="0.25">
      <c r="A208" s="311"/>
      <c r="B208" s="345"/>
      <c r="C208" s="346"/>
      <c r="D208" s="346"/>
      <c r="E208" s="347"/>
      <c r="F208" s="371"/>
      <c r="G208" s="348"/>
      <c r="H208" s="348"/>
      <c r="I208" s="348"/>
      <c r="J208" s="348"/>
      <c r="K208" s="348"/>
      <c r="L208" s="340"/>
      <c r="M208" s="348"/>
      <c r="N208" s="340"/>
      <c r="O208" s="348"/>
      <c r="P208" s="348"/>
      <c r="Q208" s="350"/>
      <c r="R208" s="354"/>
      <c r="S208" s="354"/>
      <c r="T208" s="354"/>
      <c r="U208" s="354"/>
      <c r="V208" s="354"/>
      <c r="W208" s="354"/>
      <c r="X208" s="519" t="s">
        <v>1781</v>
      </c>
      <c r="Y208" s="246" t="s">
        <v>1394</v>
      </c>
      <c r="Z208" s="235" t="s">
        <v>193</v>
      </c>
      <c r="AA208" s="235" t="s">
        <v>768</v>
      </c>
      <c r="AB208" s="442" t="s">
        <v>1885</v>
      </c>
      <c r="AC208" s="579" t="s">
        <v>821</v>
      </c>
      <c r="AD208" s="292">
        <f>AD209</f>
        <v>2428</v>
      </c>
      <c r="AE208" s="475">
        <f>AE209</f>
        <v>2429</v>
      </c>
      <c r="AF208" s="475">
        <f>AF209</f>
        <v>2429</v>
      </c>
      <c r="AG208" s="553"/>
      <c r="AH208" s="553"/>
      <c r="AI208" s="455"/>
    </row>
    <row r="209" spans="1:35" s="370" customFormat="1" ht="31.5" x14ac:dyDescent="0.25">
      <c r="A209" s="311"/>
      <c r="B209" s="345"/>
      <c r="C209" s="346"/>
      <c r="D209" s="346"/>
      <c r="E209" s="347"/>
      <c r="F209" s="371"/>
      <c r="G209" s="348"/>
      <c r="H209" s="348"/>
      <c r="I209" s="348"/>
      <c r="J209" s="348"/>
      <c r="K209" s="348"/>
      <c r="L209" s="340"/>
      <c r="M209" s="348"/>
      <c r="N209" s="340"/>
      <c r="O209" s="348"/>
      <c r="P209" s="348"/>
      <c r="Q209" s="350"/>
      <c r="R209" s="354"/>
      <c r="S209" s="354"/>
      <c r="T209" s="354"/>
      <c r="U209" s="354"/>
      <c r="V209" s="354"/>
      <c r="W209" s="354"/>
      <c r="X209" s="519" t="s">
        <v>1273</v>
      </c>
      <c r="Y209" s="246" t="s">
        <v>1394</v>
      </c>
      <c r="Z209" s="235" t="s">
        <v>193</v>
      </c>
      <c r="AA209" s="235" t="s">
        <v>768</v>
      </c>
      <c r="AB209" s="442" t="s">
        <v>1885</v>
      </c>
      <c r="AC209" s="579" t="s">
        <v>1479</v>
      </c>
      <c r="AD209" s="292">
        <f>2429-0.1-0.9</f>
        <v>2428</v>
      </c>
      <c r="AE209" s="475">
        <v>2429</v>
      </c>
      <c r="AF209" s="475">
        <v>2429</v>
      </c>
      <c r="AG209" s="553"/>
      <c r="AH209" s="553"/>
      <c r="AI209" s="622"/>
    </row>
    <row r="210" spans="1:35" s="370" customFormat="1" x14ac:dyDescent="0.25">
      <c r="A210" s="311"/>
      <c r="B210" s="345"/>
      <c r="C210" s="346"/>
      <c r="D210" s="346"/>
      <c r="E210" s="347"/>
      <c r="F210" s="371"/>
      <c r="G210" s="348"/>
      <c r="H210" s="348"/>
      <c r="I210" s="348"/>
      <c r="J210" s="348"/>
      <c r="K210" s="348"/>
      <c r="L210" s="340"/>
      <c r="M210" s="348"/>
      <c r="N210" s="340"/>
      <c r="O210" s="348"/>
      <c r="P210" s="348"/>
      <c r="Q210" s="350"/>
      <c r="R210" s="354"/>
      <c r="S210" s="354"/>
      <c r="T210" s="354"/>
      <c r="U210" s="354"/>
      <c r="V210" s="354"/>
      <c r="W210" s="354"/>
      <c r="X210" s="519" t="s">
        <v>923</v>
      </c>
      <c r="Y210" s="246" t="s">
        <v>1394</v>
      </c>
      <c r="Z210" s="235" t="s">
        <v>193</v>
      </c>
      <c r="AA210" s="235" t="s">
        <v>768</v>
      </c>
      <c r="AB210" s="442" t="s">
        <v>1885</v>
      </c>
      <c r="AC210" s="579" t="s">
        <v>2240</v>
      </c>
      <c r="AD210" s="292">
        <f>AD211</f>
        <v>0.1</v>
      </c>
      <c r="AE210" s="475">
        <f>AE211</f>
        <v>0</v>
      </c>
      <c r="AF210" s="475">
        <f>AF211</f>
        <v>0</v>
      </c>
      <c r="AG210" s="553"/>
      <c r="AH210" s="553"/>
      <c r="AI210" s="622"/>
    </row>
    <row r="211" spans="1:35" s="370" customFormat="1" x14ac:dyDescent="0.25">
      <c r="A211" s="311"/>
      <c r="B211" s="345"/>
      <c r="C211" s="346"/>
      <c r="D211" s="346"/>
      <c r="E211" s="347"/>
      <c r="F211" s="371"/>
      <c r="G211" s="348"/>
      <c r="H211" s="348"/>
      <c r="I211" s="348"/>
      <c r="J211" s="348"/>
      <c r="K211" s="348"/>
      <c r="L211" s="340"/>
      <c r="M211" s="348"/>
      <c r="N211" s="340"/>
      <c r="O211" s="348"/>
      <c r="P211" s="348"/>
      <c r="Q211" s="350"/>
      <c r="R211" s="354"/>
      <c r="S211" s="354"/>
      <c r="T211" s="354"/>
      <c r="U211" s="354"/>
      <c r="V211" s="354"/>
      <c r="W211" s="354"/>
      <c r="X211" s="519" t="s">
        <v>1319</v>
      </c>
      <c r="Y211" s="246" t="s">
        <v>1394</v>
      </c>
      <c r="Z211" s="235" t="s">
        <v>193</v>
      </c>
      <c r="AA211" s="235" t="s">
        <v>768</v>
      </c>
      <c r="AB211" s="442" t="s">
        <v>1885</v>
      </c>
      <c r="AC211" s="579" t="s">
        <v>2391</v>
      </c>
      <c r="AD211" s="292">
        <v>0.1</v>
      </c>
      <c r="AE211" s="475">
        <v>0</v>
      </c>
      <c r="AF211" s="475">
        <v>0</v>
      </c>
      <c r="AG211" s="553"/>
      <c r="AH211" s="553"/>
      <c r="AI211" s="622"/>
    </row>
    <row r="212" spans="1:35" s="370" customFormat="1" ht="31.5" x14ac:dyDescent="0.25">
      <c r="A212" s="311"/>
      <c r="B212" s="345"/>
      <c r="C212" s="346"/>
      <c r="D212" s="346"/>
      <c r="E212" s="347"/>
      <c r="F212" s="371"/>
      <c r="G212" s="348"/>
      <c r="H212" s="348"/>
      <c r="I212" s="348"/>
      <c r="J212" s="348"/>
      <c r="K212" s="348"/>
      <c r="L212" s="340"/>
      <c r="M212" s="348"/>
      <c r="N212" s="340"/>
      <c r="O212" s="348"/>
      <c r="P212" s="348"/>
      <c r="Q212" s="350"/>
      <c r="R212" s="354"/>
      <c r="S212" s="354"/>
      <c r="T212" s="354"/>
      <c r="U212" s="354"/>
      <c r="V212" s="354"/>
      <c r="W212" s="354"/>
      <c r="X212" s="520" t="s">
        <v>2102</v>
      </c>
      <c r="Y212" s="246" t="s">
        <v>1394</v>
      </c>
      <c r="Z212" s="235" t="s">
        <v>193</v>
      </c>
      <c r="AA212" s="235" t="s">
        <v>768</v>
      </c>
      <c r="AB212" s="442" t="s">
        <v>1805</v>
      </c>
      <c r="AC212" s="238"/>
      <c r="AD212" s="292">
        <f t="shared" ref="AD212:AF214" si="39">AD213</f>
        <v>4.5</v>
      </c>
      <c r="AE212" s="475">
        <f t="shared" si="39"/>
        <v>4.5</v>
      </c>
      <c r="AF212" s="475">
        <f t="shared" si="39"/>
        <v>4.5</v>
      </c>
      <c r="AG212" s="553"/>
      <c r="AH212" s="553"/>
      <c r="AI212" s="455"/>
    </row>
    <row r="213" spans="1:35" s="370" customFormat="1" ht="47.25" x14ac:dyDescent="0.25">
      <c r="A213" s="311"/>
      <c r="B213" s="345"/>
      <c r="C213" s="346"/>
      <c r="D213" s="346"/>
      <c r="E213" s="347"/>
      <c r="F213" s="371"/>
      <c r="G213" s="348"/>
      <c r="H213" s="348"/>
      <c r="I213" s="348"/>
      <c r="J213" s="348"/>
      <c r="K213" s="348"/>
      <c r="L213" s="340"/>
      <c r="M213" s="348"/>
      <c r="N213" s="340"/>
      <c r="O213" s="348"/>
      <c r="P213" s="348"/>
      <c r="Q213" s="350"/>
      <c r="R213" s="354"/>
      <c r="S213" s="354"/>
      <c r="T213" s="354"/>
      <c r="U213" s="354"/>
      <c r="V213" s="354"/>
      <c r="W213" s="354"/>
      <c r="X213" s="520" t="s">
        <v>2103</v>
      </c>
      <c r="Y213" s="246" t="s">
        <v>1394</v>
      </c>
      <c r="Z213" s="235" t="s">
        <v>193</v>
      </c>
      <c r="AA213" s="235" t="s">
        <v>768</v>
      </c>
      <c r="AB213" s="442" t="s">
        <v>2104</v>
      </c>
      <c r="AC213" s="238"/>
      <c r="AD213" s="292">
        <f t="shared" si="39"/>
        <v>4.5</v>
      </c>
      <c r="AE213" s="475">
        <f t="shared" si="39"/>
        <v>4.5</v>
      </c>
      <c r="AF213" s="475">
        <f t="shared" si="39"/>
        <v>4.5</v>
      </c>
      <c r="AG213" s="553"/>
      <c r="AH213" s="553"/>
      <c r="AI213" s="455"/>
    </row>
    <row r="214" spans="1:35" s="370" customFormat="1" ht="31.5" x14ac:dyDescent="0.25">
      <c r="A214" s="311"/>
      <c r="B214" s="345"/>
      <c r="C214" s="346"/>
      <c r="D214" s="346"/>
      <c r="E214" s="347"/>
      <c r="F214" s="371"/>
      <c r="G214" s="348"/>
      <c r="H214" s="348"/>
      <c r="I214" s="348"/>
      <c r="J214" s="348"/>
      <c r="K214" s="348"/>
      <c r="L214" s="340"/>
      <c r="M214" s="348"/>
      <c r="N214" s="340"/>
      <c r="O214" s="348"/>
      <c r="P214" s="348"/>
      <c r="Q214" s="350"/>
      <c r="R214" s="354"/>
      <c r="S214" s="354"/>
      <c r="T214" s="354"/>
      <c r="U214" s="354"/>
      <c r="V214" s="354"/>
      <c r="W214" s="354"/>
      <c r="X214" s="528" t="s">
        <v>2105</v>
      </c>
      <c r="Y214" s="246" t="s">
        <v>1394</v>
      </c>
      <c r="Z214" s="235" t="s">
        <v>193</v>
      </c>
      <c r="AA214" s="235" t="s">
        <v>768</v>
      </c>
      <c r="AB214" s="442" t="s">
        <v>2106</v>
      </c>
      <c r="AC214" s="238"/>
      <c r="AD214" s="292">
        <f t="shared" si="39"/>
        <v>4.5</v>
      </c>
      <c r="AE214" s="475">
        <f t="shared" si="39"/>
        <v>4.5</v>
      </c>
      <c r="AF214" s="475">
        <f t="shared" si="39"/>
        <v>4.5</v>
      </c>
      <c r="AG214" s="553"/>
      <c r="AH214" s="553"/>
      <c r="AI214" s="455"/>
    </row>
    <row r="215" spans="1:35" s="370" customFormat="1" ht="94.5" x14ac:dyDescent="0.25">
      <c r="A215" s="311"/>
      <c r="B215" s="345"/>
      <c r="C215" s="346"/>
      <c r="D215" s="346"/>
      <c r="E215" s="347"/>
      <c r="F215" s="371"/>
      <c r="G215" s="348"/>
      <c r="H215" s="348"/>
      <c r="I215" s="348"/>
      <c r="J215" s="348"/>
      <c r="K215" s="348"/>
      <c r="L215" s="340"/>
      <c r="M215" s="348"/>
      <c r="N215" s="340"/>
      <c r="O215" s="348"/>
      <c r="P215" s="348"/>
      <c r="Q215" s="350"/>
      <c r="R215" s="354"/>
      <c r="S215" s="354"/>
      <c r="T215" s="354"/>
      <c r="U215" s="354"/>
      <c r="V215" s="354"/>
      <c r="W215" s="354"/>
      <c r="X215" s="528" t="s">
        <v>2242</v>
      </c>
      <c r="Y215" s="246" t="s">
        <v>1394</v>
      </c>
      <c r="Z215" s="235" t="s">
        <v>193</v>
      </c>
      <c r="AA215" s="235" t="s">
        <v>768</v>
      </c>
      <c r="AB215" s="471" t="s">
        <v>2107</v>
      </c>
      <c r="AC215" s="238"/>
      <c r="AD215" s="292">
        <f t="shared" ref="AD215:AF216" si="40">AD216</f>
        <v>4.5</v>
      </c>
      <c r="AE215" s="475">
        <f t="shared" si="40"/>
        <v>4.5</v>
      </c>
      <c r="AF215" s="475">
        <f t="shared" si="40"/>
        <v>4.5</v>
      </c>
      <c r="AG215" s="553"/>
      <c r="AH215" s="553"/>
      <c r="AI215" s="455"/>
    </row>
    <row r="216" spans="1:35" s="370" customFormat="1" x14ac:dyDescent="0.25">
      <c r="A216" s="311"/>
      <c r="B216" s="345"/>
      <c r="C216" s="346"/>
      <c r="D216" s="346"/>
      <c r="E216" s="347"/>
      <c r="F216" s="371"/>
      <c r="G216" s="348"/>
      <c r="H216" s="348"/>
      <c r="I216" s="348"/>
      <c r="J216" s="348"/>
      <c r="K216" s="348"/>
      <c r="L216" s="340"/>
      <c r="M216" s="348"/>
      <c r="N216" s="340"/>
      <c r="O216" s="348"/>
      <c r="P216" s="348"/>
      <c r="Q216" s="350"/>
      <c r="R216" s="354"/>
      <c r="S216" s="354"/>
      <c r="T216" s="354"/>
      <c r="U216" s="354"/>
      <c r="V216" s="354"/>
      <c r="W216" s="354"/>
      <c r="X216" s="519" t="s">
        <v>1781</v>
      </c>
      <c r="Y216" s="246" t="s">
        <v>1394</v>
      </c>
      <c r="Z216" s="235" t="s">
        <v>193</v>
      </c>
      <c r="AA216" s="235" t="s">
        <v>768</v>
      </c>
      <c r="AB216" s="471" t="s">
        <v>2107</v>
      </c>
      <c r="AC216" s="238">
        <v>200</v>
      </c>
      <c r="AD216" s="292">
        <f t="shared" si="40"/>
        <v>4.5</v>
      </c>
      <c r="AE216" s="475">
        <f t="shared" si="40"/>
        <v>4.5</v>
      </c>
      <c r="AF216" s="475">
        <f t="shared" si="40"/>
        <v>4.5</v>
      </c>
      <c r="AG216" s="553"/>
      <c r="AH216" s="553"/>
      <c r="AI216" s="455"/>
    </row>
    <row r="217" spans="1:35" s="370" customFormat="1" ht="31.5" x14ac:dyDescent="0.25">
      <c r="A217" s="311"/>
      <c r="B217" s="345"/>
      <c r="C217" s="346"/>
      <c r="D217" s="346"/>
      <c r="E217" s="347"/>
      <c r="F217" s="371"/>
      <c r="G217" s="348"/>
      <c r="H217" s="348"/>
      <c r="I217" s="348"/>
      <c r="J217" s="348"/>
      <c r="K217" s="348"/>
      <c r="L217" s="340"/>
      <c r="M217" s="348"/>
      <c r="N217" s="340"/>
      <c r="O217" s="348"/>
      <c r="P217" s="348"/>
      <c r="Q217" s="350"/>
      <c r="R217" s="354"/>
      <c r="S217" s="354"/>
      <c r="T217" s="354"/>
      <c r="U217" s="354"/>
      <c r="V217" s="354"/>
      <c r="W217" s="354"/>
      <c r="X217" s="519" t="s">
        <v>1273</v>
      </c>
      <c r="Y217" s="246" t="s">
        <v>1394</v>
      </c>
      <c r="Z217" s="235" t="s">
        <v>193</v>
      </c>
      <c r="AA217" s="235" t="s">
        <v>768</v>
      </c>
      <c r="AB217" s="471" t="s">
        <v>2107</v>
      </c>
      <c r="AC217" s="238">
        <v>240</v>
      </c>
      <c r="AD217" s="292">
        <v>4.5</v>
      </c>
      <c r="AE217" s="475">
        <v>4.5</v>
      </c>
      <c r="AF217" s="475">
        <v>4.5</v>
      </c>
      <c r="AG217" s="553"/>
      <c r="AH217" s="553"/>
      <c r="AI217" s="455"/>
    </row>
    <row r="218" spans="1:35" s="370" customFormat="1" ht="31.5" x14ac:dyDescent="0.25">
      <c r="A218" s="311"/>
      <c r="B218" s="345"/>
      <c r="C218" s="346"/>
      <c r="D218" s="346"/>
      <c r="E218" s="347"/>
      <c r="F218" s="371"/>
      <c r="G218" s="348"/>
      <c r="H218" s="348"/>
      <c r="I218" s="348"/>
      <c r="J218" s="348"/>
      <c r="K218" s="340"/>
      <c r="L218" s="348"/>
      <c r="M218" s="340"/>
      <c r="N218" s="348"/>
      <c r="O218" s="348"/>
      <c r="P218" s="350"/>
      <c r="Q218" s="354"/>
      <c r="R218" s="354"/>
      <c r="S218" s="354"/>
      <c r="T218" s="354"/>
      <c r="U218" s="354"/>
      <c r="V218" s="354"/>
      <c r="W218" s="354"/>
      <c r="X218" s="519" t="s">
        <v>1834</v>
      </c>
      <c r="Y218" s="246" t="s">
        <v>1394</v>
      </c>
      <c r="Z218" s="235" t="s">
        <v>193</v>
      </c>
      <c r="AA218" s="235">
        <v>14</v>
      </c>
      <c r="AB218" s="249"/>
      <c r="AC218" s="579"/>
      <c r="AD218" s="292">
        <f t="shared" ref="AD218:AF219" si="41">AD219</f>
        <v>15941.500000000004</v>
      </c>
      <c r="AE218" s="475">
        <f t="shared" si="41"/>
        <v>7198</v>
      </c>
      <c r="AF218" s="475">
        <f t="shared" si="41"/>
        <v>7198</v>
      </c>
      <c r="AG218" s="553"/>
      <c r="AH218" s="553"/>
      <c r="AI218" s="455"/>
    </row>
    <row r="219" spans="1:35" s="370" customFormat="1" ht="31.5" x14ac:dyDescent="0.25">
      <c r="A219" s="311"/>
      <c r="B219" s="345"/>
      <c r="C219" s="346"/>
      <c r="D219" s="346"/>
      <c r="E219" s="347"/>
      <c r="F219" s="371"/>
      <c r="G219" s="348"/>
      <c r="H219" s="313"/>
      <c r="I219" s="313"/>
      <c r="J219" s="313"/>
      <c r="K219" s="348"/>
      <c r="L219" s="313"/>
      <c r="M219" s="348"/>
      <c r="N219" s="349"/>
      <c r="O219" s="348"/>
      <c r="P219" s="350"/>
      <c r="Q219" s="354"/>
      <c r="R219" s="354"/>
      <c r="S219" s="354"/>
      <c r="T219" s="354"/>
      <c r="U219" s="354"/>
      <c r="V219" s="354"/>
      <c r="W219" s="354"/>
      <c r="X219" s="548" t="s">
        <v>1853</v>
      </c>
      <c r="Y219" s="246" t="s">
        <v>1394</v>
      </c>
      <c r="Z219" s="235" t="s">
        <v>193</v>
      </c>
      <c r="AA219" s="235">
        <v>14</v>
      </c>
      <c r="AB219" s="249" t="s">
        <v>1761</v>
      </c>
      <c r="AC219" s="579"/>
      <c r="AD219" s="292">
        <f t="shared" si="41"/>
        <v>15941.500000000004</v>
      </c>
      <c r="AE219" s="475">
        <f t="shared" si="41"/>
        <v>7198</v>
      </c>
      <c r="AF219" s="475">
        <f t="shared" si="41"/>
        <v>7198</v>
      </c>
      <c r="AG219" s="553"/>
      <c r="AH219" s="553"/>
      <c r="AI219" s="455"/>
    </row>
    <row r="220" spans="1:35" s="370" customFormat="1" x14ac:dyDescent="0.25">
      <c r="A220" s="311"/>
      <c r="B220" s="345"/>
      <c r="C220" s="346"/>
      <c r="D220" s="346"/>
      <c r="E220" s="347"/>
      <c r="F220" s="371"/>
      <c r="G220" s="348"/>
      <c r="H220" s="313"/>
      <c r="I220" s="313"/>
      <c r="J220" s="313"/>
      <c r="K220" s="348"/>
      <c r="L220" s="313"/>
      <c r="M220" s="348"/>
      <c r="N220" s="349"/>
      <c r="O220" s="348"/>
      <c r="P220" s="350"/>
      <c r="Q220" s="354"/>
      <c r="R220" s="354"/>
      <c r="S220" s="354"/>
      <c r="T220" s="354"/>
      <c r="U220" s="354"/>
      <c r="V220" s="354"/>
      <c r="W220" s="354"/>
      <c r="X220" s="548" t="s">
        <v>1854</v>
      </c>
      <c r="Y220" s="246" t="s">
        <v>1394</v>
      </c>
      <c r="Z220" s="235" t="s">
        <v>193</v>
      </c>
      <c r="AA220" s="235">
        <v>14</v>
      </c>
      <c r="AB220" s="249" t="s">
        <v>1765</v>
      </c>
      <c r="AC220" s="579"/>
      <c r="AD220" s="292">
        <f>AD221+AD226+AD232+AD236</f>
        <v>15941.500000000004</v>
      </c>
      <c r="AE220" s="475">
        <f>AE221+AE226+AE232+AE236</f>
        <v>7198</v>
      </c>
      <c r="AF220" s="475">
        <f>AF221+AF226+AF232+AF236</f>
        <v>7198</v>
      </c>
      <c r="AG220" s="553"/>
      <c r="AH220" s="553"/>
      <c r="AI220" s="455"/>
    </row>
    <row r="221" spans="1:35" s="370" customFormat="1" ht="47.25" x14ac:dyDescent="0.25">
      <c r="A221" s="311"/>
      <c r="B221" s="345"/>
      <c r="C221" s="346"/>
      <c r="D221" s="346"/>
      <c r="E221" s="347"/>
      <c r="F221" s="371"/>
      <c r="G221" s="348"/>
      <c r="H221" s="313"/>
      <c r="I221" s="313"/>
      <c r="J221" s="313"/>
      <c r="K221" s="348"/>
      <c r="L221" s="313"/>
      <c r="M221" s="348"/>
      <c r="N221" s="349"/>
      <c r="O221" s="348"/>
      <c r="P221" s="350"/>
      <c r="Q221" s="354"/>
      <c r="R221" s="354"/>
      <c r="S221" s="354"/>
      <c r="T221" s="354"/>
      <c r="U221" s="354"/>
      <c r="V221" s="354"/>
      <c r="W221" s="354"/>
      <c r="X221" s="514" t="s">
        <v>2253</v>
      </c>
      <c r="Y221" s="246" t="s">
        <v>1394</v>
      </c>
      <c r="Z221" s="235" t="s">
        <v>193</v>
      </c>
      <c r="AA221" s="235">
        <v>14</v>
      </c>
      <c r="AB221" s="442" t="s">
        <v>1785</v>
      </c>
      <c r="AC221" s="579"/>
      <c r="AD221" s="292">
        <f t="shared" ref="AD221:AF223" si="42">AD222</f>
        <v>220.99999999999994</v>
      </c>
      <c r="AE221" s="475">
        <f t="shared" si="42"/>
        <v>400</v>
      </c>
      <c r="AF221" s="475">
        <f t="shared" si="42"/>
        <v>400</v>
      </c>
      <c r="AG221" s="553"/>
      <c r="AH221" s="553"/>
      <c r="AI221" s="455"/>
    </row>
    <row r="222" spans="1:35" s="370" customFormat="1" ht="47.25" x14ac:dyDescent="0.25">
      <c r="A222" s="311"/>
      <c r="B222" s="345"/>
      <c r="C222" s="346"/>
      <c r="D222" s="346"/>
      <c r="E222" s="347"/>
      <c r="F222" s="371"/>
      <c r="G222" s="348"/>
      <c r="H222" s="313"/>
      <c r="I222" s="313"/>
      <c r="J222" s="313"/>
      <c r="K222" s="348"/>
      <c r="L222" s="313"/>
      <c r="M222" s="348"/>
      <c r="N222" s="349"/>
      <c r="O222" s="348"/>
      <c r="P222" s="350"/>
      <c r="Q222" s="354"/>
      <c r="R222" s="354"/>
      <c r="S222" s="354"/>
      <c r="T222" s="354"/>
      <c r="U222" s="354"/>
      <c r="V222" s="354"/>
      <c r="W222" s="354"/>
      <c r="X222" s="548" t="s">
        <v>1855</v>
      </c>
      <c r="Y222" s="246" t="s">
        <v>1394</v>
      </c>
      <c r="Z222" s="235" t="s">
        <v>193</v>
      </c>
      <c r="AA222" s="235">
        <v>14</v>
      </c>
      <c r="AB222" s="442" t="s">
        <v>1856</v>
      </c>
      <c r="AC222" s="579"/>
      <c r="AD222" s="292">
        <f t="shared" si="42"/>
        <v>220.99999999999994</v>
      </c>
      <c r="AE222" s="475">
        <f t="shared" si="42"/>
        <v>400</v>
      </c>
      <c r="AF222" s="475">
        <f t="shared" si="42"/>
        <v>400</v>
      </c>
      <c r="AG222" s="553"/>
      <c r="AH222" s="553"/>
      <c r="AI222" s="455"/>
    </row>
    <row r="223" spans="1:35" s="370" customFormat="1" ht="63" x14ac:dyDescent="0.25">
      <c r="A223" s="311"/>
      <c r="B223" s="345"/>
      <c r="C223" s="346"/>
      <c r="D223" s="346"/>
      <c r="E223" s="347"/>
      <c r="F223" s="371"/>
      <c r="G223" s="348"/>
      <c r="H223" s="313"/>
      <c r="I223" s="313"/>
      <c r="J223" s="313"/>
      <c r="K223" s="348"/>
      <c r="L223" s="313"/>
      <c r="M223" s="348"/>
      <c r="N223" s="349"/>
      <c r="O223" s="348"/>
      <c r="P223" s="350"/>
      <c r="Q223" s="354"/>
      <c r="R223" s="354"/>
      <c r="S223" s="354"/>
      <c r="T223" s="354"/>
      <c r="U223" s="354"/>
      <c r="V223" s="354"/>
      <c r="W223" s="354"/>
      <c r="X223" s="524" t="s">
        <v>2248</v>
      </c>
      <c r="Y223" s="246" t="s">
        <v>1394</v>
      </c>
      <c r="Z223" s="235" t="s">
        <v>193</v>
      </c>
      <c r="AA223" s="235">
        <v>14</v>
      </c>
      <c r="AB223" s="442" t="s">
        <v>1857</v>
      </c>
      <c r="AC223" s="579"/>
      <c r="AD223" s="292">
        <f>AD224</f>
        <v>220.99999999999994</v>
      </c>
      <c r="AE223" s="292">
        <f t="shared" si="42"/>
        <v>400</v>
      </c>
      <c r="AF223" s="292">
        <f t="shared" si="42"/>
        <v>400</v>
      </c>
      <c r="AG223" s="553"/>
      <c r="AH223" s="553"/>
      <c r="AI223" s="455"/>
    </row>
    <row r="224" spans="1:35" s="370" customFormat="1" x14ac:dyDescent="0.25">
      <c r="A224" s="311"/>
      <c r="B224" s="345"/>
      <c r="C224" s="346"/>
      <c r="D224" s="346"/>
      <c r="E224" s="347"/>
      <c r="F224" s="371"/>
      <c r="G224" s="348"/>
      <c r="H224" s="313"/>
      <c r="I224" s="313"/>
      <c r="J224" s="313"/>
      <c r="K224" s="348"/>
      <c r="L224" s="313"/>
      <c r="M224" s="348"/>
      <c r="N224" s="349"/>
      <c r="O224" s="348"/>
      <c r="P224" s="350"/>
      <c r="Q224" s="354"/>
      <c r="R224" s="354"/>
      <c r="S224" s="354"/>
      <c r="T224" s="354"/>
      <c r="U224" s="354"/>
      <c r="V224" s="354"/>
      <c r="W224" s="354"/>
      <c r="X224" s="519" t="s">
        <v>1781</v>
      </c>
      <c r="Y224" s="246" t="s">
        <v>1394</v>
      </c>
      <c r="Z224" s="235" t="s">
        <v>193</v>
      </c>
      <c r="AA224" s="235">
        <v>14</v>
      </c>
      <c r="AB224" s="442" t="s">
        <v>1857</v>
      </c>
      <c r="AC224" s="576">
        <v>200</v>
      </c>
      <c r="AD224" s="292">
        <f>AD225</f>
        <v>220.99999999999994</v>
      </c>
      <c r="AE224" s="475">
        <f>AE225</f>
        <v>400</v>
      </c>
      <c r="AF224" s="475">
        <f>AF225</f>
        <v>400</v>
      </c>
      <c r="AG224" s="553"/>
      <c r="AH224" s="553"/>
      <c r="AI224" s="455"/>
    </row>
    <row r="225" spans="1:35" s="370" customFormat="1" ht="31.5" x14ac:dyDescent="0.25">
      <c r="A225" s="311"/>
      <c r="B225" s="345"/>
      <c r="C225" s="346"/>
      <c r="D225" s="346"/>
      <c r="E225" s="347"/>
      <c r="F225" s="371"/>
      <c r="G225" s="348"/>
      <c r="H225" s="313"/>
      <c r="I225" s="313"/>
      <c r="J225" s="313"/>
      <c r="K225" s="348"/>
      <c r="L225" s="313"/>
      <c r="M225" s="348"/>
      <c r="N225" s="349"/>
      <c r="O225" s="348"/>
      <c r="P225" s="350"/>
      <c r="Q225" s="354"/>
      <c r="R225" s="354"/>
      <c r="S225" s="354"/>
      <c r="T225" s="354"/>
      <c r="U225" s="354"/>
      <c r="V225" s="354"/>
      <c r="W225" s="354"/>
      <c r="X225" s="519" t="s">
        <v>1273</v>
      </c>
      <c r="Y225" s="246" t="s">
        <v>1394</v>
      </c>
      <c r="Z225" s="235" t="s">
        <v>193</v>
      </c>
      <c r="AA225" s="235">
        <v>14</v>
      </c>
      <c r="AB225" s="442" t="s">
        <v>1857</v>
      </c>
      <c r="AC225" s="576">
        <v>240</v>
      </c>
      <c r="AD225" s="292">
        <f>400+403.8-129-403.8-50</f>
        <v>220.99999999999994</v>
      </c>
      <c r="AE225" s="475">
        <v>400</v>
      </c>
      <c r="AF225" s="475">
        <v>400</v>
      </c>
      <c r="AG225" s="553"/>
      <c r="AH225" s="553"/>
      <c r="AI225" s="455"/>
    </row>
    <row r="226" spans="1:35" s="370" customFormat="1" ht="31.5" x14ac:dyDescent="0.25">
      <c r="A226" s="311"/>
      <c r="B226" s="345"/>
      <c r="C226" s="346"/>
      <c r="D226" s="346"/>
      <c r="E226" s="347"/>
      <c r="F226" s="371"/>
      <c r="G226" s="348"/>
      <c r="H226" s="313"/>
      <c r="I226" s="313"/>
      <c r="J226" s="313"/>
      <c r="K226" s="348"/>
      <c r="L226" s="313"/>
      <c r="M226" s="348"/>
      <c r="N226" s="349"/>
      <c r="O226" s="348"/>
      <c r="P226" s="350"/>
      <c r="Q226" s="354"/>
      <c r="R226" s="354"/>
      <c r="S226" s="354"/>
      <c r="T226" s="354"/>
      <c r="U226" s="354"/>
      <c r="V226" s="354"/>
      <c r="W226" s="354"/>
      <c r="X226" s="529" t="s">
        <v>1858</v>
      </c>
      <c r="Y226" s="246" t="s">
        <v>1394</v>
      </c>
      <c r="Z226" s="235" t="s">
        <v>193</v>
      </c>
      <c r="AA226" s="235">
        <v>14</v>
      </c>
      <c r="AB226" s="442" t="s">
        <v>1786</v>
      </c>
      <c r="AC226" s="576"/>
      <c r="AD226" s="292">
        <f>AD227</f>
        <v>0</v>
      </c>
      <c r="AE226" s="475">
        <f t="shared" ref="AD226:AF230" si="43">AE227</f>
        <v>267</v>
      </c>
      <c r="AF226" s="475">
        <f t="shared" si="43"/>
        <v>267</v>
      </c>
      <c r="AG226" s="553"/>
      <c r="AH226" s="553"/>
      <c r="AI226" s="455"/>
    </row>
    <row r="227" spans="1:35" s="370" customFormat="1" ht="31.5" x14ac:dyDescent="0.25">
      <c r="A227" s="311"/>
      <c r="B227" s="345"/>
      <c r="C227" s="346"/>
      <c r="D227" s="346"/>
      <c r="E227" s="347"/>
      <c r="F227" s="371"/>
      <c r="G227" s="348"/>
      <c r="H227" s="313"/>
      <c r="I227" s="313"/>
      <c r="J227" s="313"/>
      <c r="K227" s="348"/>
      <c r="L227" s="313"/>
      <c r="M227" s="348"/>
      <c r="N227" s="349"/>
      <c r="O227" s="348"/>
      <c r="P227" s="350"/>
      <c r="Q227" s="354"/>
      <c r="R227" s="354"/>
      <c r="S227" s="354"/>
      <c r="T227" s="354"/>
      <c r="U227" s="354"/>
      <c r="V227" s="354"/>
      <c r="W227" s="354"/>
      <c r="X227" s="529" t="s">
        <v>1859</v>
      </c>
      <c r="Y227" s="246" t="s">
        <v>1394</v>
      </c>
      <c r="Z227" s="235" t="s">
        <v>193</v>
      </c>
      <c r="AA227" s="235">
        <v>14</v>
      </c>
      <c r="AB227" s="442" t="s">
        <v>1860</v>
      </c>
      <c r="AC227" s="576"/>
      <c r="AD227" s="292">
        <f>AD230+AD228</f>
        <v>0</v>
      </c>
      <c r="AE227" s="292">
        <f t="shared" ref="AE227:AF227" si="44">AE230+AE228</f>
        <v>267</v>
      </c>
      <c r="AF227" s="292">
        <f t="shared" si="44"/>
        <v>267</v>
      </c>
      <c r="AG227" s="553"/>
      <c r="AH227" s="553"/>
      <c r="AI227" s="455"/>
    </row>
    <row r="228" spans="1:35" s="370" customFormat="1" x14ac:dyDescent="0.25">
      <c r="A228" s="311"/>
      <c r="B228" s="345"/>
      <c r="C228" s="346"/>
      <c r="D228" s="346"/>
      <c r="E228" s="347"/>
      <c r="F228" s="371"/>
      <c r="G228" s="348"/>
      <c r="H228" s="313"/>
      <c r="I228" s="313"/>
      <c r="J228" s="313"/>
      <c r="K228" s="348"/>
      <c r="L228" s="313"/>
      <c r="M228" s="348"/>
      <c r="N228" s="349"/>
      <c r="O228" s="348"/>
      <c r="P228" s="350"/>
      <c r="Q228" s="354"/>
      <c r="R228" s="354"/>
      <c r="S228" s="354"/>
      <c r="T228" s="354"/>
      <c r="U228" s="354"/>
      <c r="V228" s="354"/>
      <c r="W228" s="354"/>
      <c r="X228" s="519" t="s">
        <v>1781</v>
      </c>
      <c r="Y228" s="246" t="s">
        <v>1394</v>
      </c>
      <c r="Z228" s="235" t="s">
        <v>193</v>
      </c>
      <c r="AA228" s="235">
        <v>14</v>
      </c>
      <c r="AB228" s="442" t="s">
        <v>1860</v>
      </c>
      <c r="AC228" s="576">
        <v>200</v>
      </c>
      <c r="AD228" s="292">
        <f>AD229</f>
        <v>0</v>
      </c>
      <c r="AE228" s="292">
        <f t="shared" ref="AE228:AF228" si="45">AE229</f>
        <v>267</v>
      </c>
      <c r="AF228" s="292">
        <f t="shared" si="45"/>
        <v>267</v>
      </c>
      <c r="AG228" s="553"/>
      <c r="AH228" s="553"/>
      <c r="AI228" s="455"/>
    </row>
    <row r="229" spans="1:35" s="370" customFormat="1" ht="31.5" x14ac:dyDescent="0.25">
      <c r="A229" s="311"/>
      <c r="B229" s="345"/>
      <c r="C229" s="346"/>
      <c r="D229" s="346"/>
      <c r="E229" s="347"/>
      <c r="F229" s="371"/>
      <c r="G229" s="348"/>
      <c r="H229" s="313"/>
      <c r="I229" s="313"/>
      <c r="J229" s="313"/>
      <c r="K229" s="348"/>
      <c r="L229" s="313"/>
      <c r="M229" s="348"/>
      <c r="N229" s="349"/>
      <c r="O229" s="348"/>
      <c r="P229" s="350"/>
      <c r="Q229" s="354"/>
      <c r="R229" s="354"/>
      <c r="S229" s="354"/>
      <c r="T229" s="354"/>
      <c r="U229" s="354"/>
      <c r="V229" s="354"/>
      <c r="W229" s="354"/>
      <c r="X229" s="519" t="s">
        <v>1273</v>
      </c>
      <c r="Y229" s="246" t="s">
        <v>1394</v>
      </c>
      <c r="Z229" s="235" t="s">
        <v>193</v>
      </c>
      <c r="AA229" s="235">
        <v>14</v>
      </c>
      <c r="AB229" s="442" t="s">
        <v>1860</v>
      </c>
      <c r="AC229" s="576">
        <v>240</v>
      </c>
      <c r="AD229" s="292">
        <v>0</v>
      </c>
      <c r="AE229" s="475">
        <v>267</v>
      </c>
      <c r="AF229" s="475">
        <v>267</v>
      </c>
      <c r="AG229" s="553"/>
      <c r="AH229" s="553"/>
      <c r="AI229" s="455"/>
    </row>
    <row r="230" spans="1:35" s="370" customFormat="1" ht="31.5" x14ac:dyDescent="0.25">
      <c r="A230" s="311"/>
      <c r="B230" s="345"/>
      <c r="C230" s="346"/>
      <c r="D230" s="346"/>
      <c r="E230" s="347"/>
      <c r="F230" s="371"/>
      <c r="G230" s="348"/>
      <c r="H230" s="313"/>
      <c r="I230" s="313"/>
      <c r="J230" s="313"/>
      <c r="K230" s="348"/>
      <c r="L230" s="313"/>
      <c r="M230" s="348"/>
      <c r="N230" s="349"/>
      <c r="O230" s="348"/>
      <c r="P230" s="350"/>
      <c r="Q230" s="354"/>
      <c r="R230" s="354"/>
      <c r="S230" s="354"/>
      <c r="T230" s="354"/>
      <c r="U230" s="354"/>
      <c r="V230" s="354"/>
      <c r="W230" s="354"/>
      <c r="X230" s="460" t="s">
        <v>1342</v>
      </c>
      <c r="Y230" s="246" t="s">
        <v>1394</v>
      </c>
      <c r="Z230" s="235" t="s">
        <v>193</v>
      </c>
      <c r="AA230" s="235">
        <v>14</v>
      </c>
      <c r="AB230" s="442" t="s">
        <v>1860</v>
      </c>
      <c r="AC230" s="238">
        <v>600</v>
      </c>
      <c r="AD230" s="292">
        <f t="shared" si="43"/>
        <v>0</v>
      </c>
      <c r="AE230" s="475">
        <f t="shared" si="43"/>
        <v>0</v>
      </c>
      <c r="AF230" s="475">
        <f t="shared" si="43"/>
        <v>0</v>
      </c>
      <c r="AG230" s="553"/>
      <c r="AH230" s="553"/>
      <c r="AI230" s="455"/>
    </row>
    <row r="231" spans="1:35" s="370" customFormat="1" ht="47.25" x14ac:dyDescent="0.25">
      <c r="A231" s="311"/>
      <c r="B231" s="345"/>
      <c r="C231" s="346"/>
      <c r="D231" s="346"/>
      <c r="E231" s="347"/>
      <c r="F231" s="371"/>
      <c r="G231" s="348"/>
      <c r="H231" s="313"/>
      <c r="I231" s="313"/>
      <c r="J231" s="313"/>
      <c r="K231" s="348"/>
      <c r="L231" s="313"/>
      <c r="M231" s="348"/>
      <c r="N231" s="349"/>
      <c r="O231" s="348"/>
      <c r="P231" s="350"/>
      <c r="Q231" s="354"/>
      <c r="R231" s="354"/>
      <c r="S231" s="354"/>
      <c r="T231" s="354"/>
      <c r="U231" s="354"/>
      <c r="V231" s="354"/>
      <c r="W231" s="354"/>
      <c r="X231" s="460" t="s">
        <v>2299</v>
      </c>
      <c r="Y231" s="246" t="s">
        <v>1394</v>
      </c>
      <c r="Z231" s="235" t="s">
        <v>193</v>
      </c>
      <c r="AA231" s="235">
        <v>14</v>
      </c>
      <c r="AB231" s="442" t="s">
        <v>1860</v>
      </c>
      <c r="AC231" s="238">
        <v>630</v>
      </c>
      <c r="AD231" s="292">
        <f>267-267</f>
        <v>0</v>
      </c>
      <c r="AE231" s="475">
        <v>0</v>
      </c>
      <c r="AF231" s="475">
        <v>0</v>
      </c>
      <c r="AG231" s="553"/>
      <c r="AH231" s="553"/>
      <c r="AI231" s="455"/>
    </row>
    <row r="232" spans="1:35" s="370" customFormat="1" ht="47.25" x14ac:dyDescent="0.25">
      <c r="A232" s="373"/>
      <c r="B232" s="345"/>
      <c r="C232" s="346"/>
      <c r="D232" s="346"/>
      <c r="E232" s="347"/>
      <c r="F232" s="346"/>
      <c r="G232" s="348"/>
      <c r="H232" s="313"/>
      <c r="I232" s="313"/>
      <c r="J232" s="313"/>
      <c r="K232" s="340"/>
      <c r="L232" s="313"/>
      <c r="M232" s="340"/>
      <c r="N232" s="349"/>
      <c r="O232" s="348"/>
      <c r="P232" s="350"/>
      <c r="Q232" s="354"/>
      <c r="R232" s="354"/>
      <c r="S232" s="354"/>
      <c r="T232" s="354"/>
      <c r="U232" s="354"/>
      <c r="V232" s="354"/>
      <c r="W232" s="354"/>
      <c r="X232" s="526" t="s">
        <v>2254</v>
      </c>
      <c r="Y232" s="246" t="s">
        <v>1394</v>
      </c>
      <c r="Z232" s="235" t="s">
        <v>193</v>
      </c>
      <c r="AA232" s="235">
        <v>14</v>
      </c>
      <c r="AB232" s="442" t="s">
        <v>1861</v>
      </c>
      <c r="AC232" s="238"/>
      <c r="AD232" s="292">
        <f t="shared" ref="AD232:AF234" si="46">AD233</f>
        <v>19</v>
      </c>
      <c r="AE232" s="475">
        <f t="shared" si="46"/>
        <v>40</v>
      </c>
      <c r="AF232" s="475">
        <f t="shared" si="46"/>
        <v>40</v>
      </c>
      <c r="AG232" s="553"/>
      <c r="AH232" s="553"/>
      <c r="AI232" s="455"/>
    </row>
    <row r="233" spans="1:35" s="370" customFormat="1" ht="47.25" x14ac:dyDescent="0.25">
      <c r="A233" s="373"/>
      <c r="B233" s="345"/>
      <c r="C233" s="346"/>
      <c r="D233" s="346"/>
      <c r="E233" s="347"/>
      <c r="F233" s="346"/>
      <c r="G233" s="348"/>
      <c r="H233" s="313"/>
      <c r="I233" s="313"/>
      <c r="J233" s="313"/>
      <c r="K233" s="340"/>
      <c r="L233" s="313"/>
      <c r="M233" s="340"/>
      <c r="N233" s="349"/>
      <c r="O233" s="348"/>
      <c r="P233" s="350"/>
      <c r="Q233" s="354"/>
      <c r="R233" s="354"/>
      <c r="S233" s="354"/>
      <c r="T233" s="354"/>
      <c r="U233" s="354"/>
      <c r="V233" s="354"/>
      <c r="W233" s="354"/>
      <c r="X233" s="548" t="s">
        <v>1855</v>
      </c>
      <c r="Y233" s="246" t="s">
        <v>1394</v>
      </c>
      <c r="Z233" s="235" t="s">
        <v>193</v>
      </c>
      <c r="AA233" s="235">
        <v>14</v>
      </c>
      <c r="AB233" s="442" t="s">
        <v>1862</v>
      </c>
      <c r="AC233" s="238"/>
      <c r="AD233" s="292">
        <f t="shared" si="46"/>
        <v>19</v>
      </c>
      <c r="AE233" s="475">
        <f t="shared" si="46"/>
        <v>40</v>
      </c>
      <c r="AF233" s="475">
        <f t="shared" si="46"/>
        <v>40</v>
      </c>
      <c r="AG233" s="553"/>
      <c r="AH233" s="553"/>
      <c r="AI233" s="455"/>
    </row>
    <row r="234" spans="1:35" s="370" customFormat="1" x14ac:dyDescent="0.25">
      <c r="A234" s="374"/>
      <c r="B234" s="345"/>
      <c r="C234" s="346"/>
      <c r="D234" s="346"/>
      <c r="E234" s="347"/>
      <c r="F234" s="346"/>
      <c r="G234" s="348"/>
      <c r="H234" s="313"/>
      <c r="I234" s="313"/>
      <c r="J234" s="313"/>
      <c r="K234" s="340"/>
      <c r="L234" s="313"/>
      <c r="M234" s="340"/>
      <c r="N234" s="349"/>
      <c r="O234" s="348"/>
      <c r="P234" s="350"/>
      <c r="Q234" s="354"/>
      <c r="R234" s="354"/>
      <c r="S234" s="354"/>
      <c r="T234" s="354"/>
      <c r="U234" s="354"/>
      <c r="V234" s="354"/>
      <c r="W234" s="354"/>
      <c r="X234" s="519" t="s">
        <v>1781</v>
      </c>
      <c r="Y234" s="246" t="s">
        <v>1394</v>
      </c>
      <c r="Z234" s="235" t="s">
        <v>193</v>
      </c>
      <c r="AA234" s="235">
        <v>14</v>
      </c>
      <c r="AB234" s="442" t="s">
        <v>1862</v>
      </c>
      <c r="AC234" s="238">
        <v>200</v>
      </c>
      <c r="AD234" s="292">
        <f t="shared" si="46"/>
        <v>19</v>
      </c>
      <c r="AE234" s="475">
        <f t="shared" si="46"/>
        <v>40</v>
      </c>
      <c r="AF234" s="475">
        <f t="shared" si="46"/>
        <v>40</v>
      </c>
      <c r="AG234" s="553"/>
      <c r="AH234" s="553"/>
      <c r="AI234" s="455"/>
    </row>
    <row r="235" spans="1:35" s="370" customFormat="1" ht="31.5" x14ac:dyDescent="0.25">
      <c r="A235" s="355"/>
      <c r="B235" s="345"/>
      <c r="C235" s="346"/>
      <c r="D235" s="346"/>
      <c r="E235" s="347"/>
      <c r="F235" s="346"/>
      <c r="G235" s="348"/>
      <c r="H235" s="313"/>
      <c r="I235" s="313"/>
      <c r="J235" s="313"/>
      <c r="K235" s="340"/>
      <c r="L235" s="313"/>
      <c r="M235" s="340"/>
      <c r="N235" s="349"/>
      <c r="O235" s="348"/>
      <c r="P235" s="350"/>
      <c r="Q235" s="354"/>
      <c r="R235" s="354"/>
      <c r="S235" s="354"/>
      <c r="T235" s="354"/>
      <c r="U235" s="354"/>
      <c r="V235" s="354"/>
      <c r="W235" s="372"/>
      <c r="X235" s="519" t="s">
        <v>1273</v>
      </c>
      <c r="Y235" s="246" t="s">
        <v>1394</v>
      </c>
      <c r="Z235" s="235" t="s">
        <v>193</v>
      </c>
      <c r="AA235" s="235">
        <v>14</v>
      </c>
      <c r="AB235" s="442" t="s">
        <v>1862</v>
      </c>
      <c r="AC235" s="238">
        <v>240</v>
      </c>
      <c r="AD235" s="292">
        <f>40-21</f>
        <v>19</v>
      </c>
      <c r="AE235" s="475">
        <v>40</v>
      </c>
      <c r="AF235" s="475">
        <v>40</v>
      </c>
      <c r="AG235" s="553"/>
      <c r="AH235" s="553"/>
      <c r="AI235" s="455"/>
    </row>
    <row r="236" spans="1:35" s="370" customFormat="1" ht="47.25" x14ac:dyDescent="0.25">
      <c r="A236" s="355"/>
      <c r="B236" s="345"/>
      <c r="C236" s="346"/>
      <c r="D236" s="346"/>
      <c r="E236" s="347"/>
      <c r="F236" s="346"/>
      <c r="G236" s="348"/>
      <c r="H236" s="313"/>
      <c r="I236" s="313"/>
      <c r="J236" s="313"/>
      <c r="K236" s="340"/>
      <c r="L236" s="313"/>
      <c r="M236" s="340"/>
      <c r="N236" s="349"/>
      <c r="O236" s="348"/>
      <c r="P236" s="350"/>
      <c r="Q236" s="354"/>
      <c r="R236" s="354"/>
      <c r="S236" s="354"/>
      <c r="T236" s="354"/>
      <c r="U236" s="354"/>
      <c r="V236" s="354"/>
      <c r="W236" s="372"/>
      <c r="X236" s="529" t="s">
        <v>1863</v>
      </c>
      <c r="Y236" s="246" t="s">
        <v>1394</v>
      </c>
      <c r="Z236" s="235" t="s">
        <v>193</v>
      </c>
      <c r="AA236" s="235" t="s">
        <v>955</v>
      </c>
      <c r="AB236" s="442" t="s">
        <v>1864</v>
      </c>
      <c r="AC236" s="238"/>
      <c r="AD236" s="292">
        <f t="shared" ref="AD236:AF237" si="47">AD237</f>
        <v>15701.500000000004</v>
      </c>
      <c r="AE236" s="475">
        <f t="shared" si="47"/>
        <v>6491</v>
      </c>
      <c r="AF236" s="475">
        <f t="shared" si="47"/>
        <v>6491</v>
      </c>
      <c r="AG236" s="553"/>
      <c r="AH236" s="553"/>
      <c r="AI236" s="455"/>
    </row>
    <row r="237" spans="1:35" s="370" customFormat="1" x14ac:dyDescent="0.25">
      <c r="A237" s="355"/>
      <c r="B237" s="345"/>
      <c r="C237" s="346"/>
      <c r="D237" s="346"/>
      <c r="E237" s="347"/>
      <c r="F237" s="346"/>
      <c r="G237" s="348"/>
      <c r="H237" s="313"/>
      <c r="I237" s="313"/>
      <c r="J237" s="313"/>
      <c r="K237" s="340"/>
      <c r="L237" s="313"/>
      <c r="M237" s="340"/>
      <c r="N237" s="349"/>
      <c r="O237" s="348"/>
      <c r="P237" s="350"/>
      <c r="Q237" s="354"/>
      <c r="R237" s="354"/>
      <c r="S237" s="354"/>
      <c r="T237" s="354"/>
      <c r="U237" s="354"/>
      <c r="V237" s="354"/>
      <c r="W237" s="372"/>
      <c r="X237" s="548" t="s">
        <v>1865</v>
      </c>
      <c r="Y237" s="246" t="s">
        <v>1394</v>
      </c>
      <c r="Z237" s="235" t="s">
        <v>193</v>
      </c>
      <c r="AA237" s="235" t="s">
        <v>955</v>
      </c>
      <c r="AB237" s="442" t="s">
        <v>1866</v>
      </c>
      <c r="AC237" s="238"/>
      <c r="AD237" s="292">
        <f t="shared" si="47"/>
        <v>15701.500000000004</v>
      </c>
      <c r="AE237" s="475">
        <f t="shared" si="47"/>
        <v>6491</v>
      </c>
      <c r="AF237" s="475">
        <f t="shared" si="47"/>
        <v>6491</v>
      </c>
      <c r="AG237" s="553"/>
      <c r="AH237" s="553"/>
      <c r="AI237" s="455"/>
    </row>
    <row r="238" spans="1:35" x14ac:dyDescent="0.25">
      <c r="A238" s="357"/>
      <c r="B238" s="345"/>
      <c r="C238" s="346"/>
      <c r="D238" s="346"/>
      <c r="E238" s="347"/>
      <c r="F238" s="375"/>
      <c r="G238" s="348"/>
      <c r="H238" s="358"/>
      <c r="I238" s="358"/>
      <c r="J238" s="358"/>
      <c r="K238" s="340"/>
      <c r="L238" s="358"/>
      <c r="M238" s="340"/>
      <c r="N238" s="349"/>
      <c r="O238" s="303"/>
      <c r="P238" s="350"/>
      <c r="Q238" s="351"/>
      <c r="R238" s="351"/>
      <c r="S238" s="354"/>
      <c r="T238" s="354"/>
      <c r="U238" s="354"/>
      <c r="V238" s="354"/>
      <c r="X238" s="519" t="s">
        <v>1781</v>
      </c>
      <c r="Y238" s="246" t="s">
        <v>1394</v>
      </c>
      <c r="Z238" s="235" t="s">
        <v>193</v>
      </c>
      <c r="AA238" s="235" t="s">
        <v>955</v>
      </c>
      <c r="AB238" s="442" t="s">
        <v>1866</v>
      </c>
      <c r="AC238" s="238">
        <v>200</v>
      </c>
      <c r="AD238" s="292">
        <f>AD239</f>
        <v>15701.500000000004</v>
      </c>
      <c r="AE238" s="475">
        <f>AE239</f>
        <v>6491</v>
      </c>
      <c r="AF238" s="475">
        <f>AF239</f>
        <v>6491</v>
      </c>
      <c r="AG238" s="553"/>
      <c r="AH238" s="553"/>
      <c r="AI238" s="455"/>
    </row>
    <row r="239" spans="1:35" ht="31.5" x14ac:dyDescent="0.25">
      <c r="A239" s="357"/>
      <c r="B239" s="345"/>
      <c r="C239" s="346"/>
      <c r="D239" s="346"/>
      <c r="E239" s="347"/>
      <c r="F239" s="375"/>
      <c r="G239" s="348"/>
      <c r="H239" s="358"/>
      <c r="I239" s="358"/>
      <c r="J239" s="358"/>
      <c r="K239" s="340"/>
      <c r="L239" s="358"/>
      <c r="M239" s="340"/>
      <c r="N239" s="349"/>
      <c r="O239" s="303"/>
      <c r="P239" s="350"/>
      <c r="Q239" s="351"/>
      <c r="R239" s="351"/>
      <c r="S239" s="354"/>
      <c r="T239" s="354"/>
      <c r="U239" s="354"/>
      <c r="V239" s="354"/>
      <c r="X239" s="519" t="s">
        <v>1273</v>
      </c>
      <c r="Y239" s="246" t="s">
        <v>1394</v>
      </c>
      <c r="Z239" s="235" t="s">
        <v>193</v>
      </c>
      <c r="AA239" s="235" t="s">
        <v>955</v>
      </c>
      <c r="AB239" s="442" t="s">
        <v>1866</v>
      </c>
      <c r="AC239" s="238">
        <v>240</v>
      </c>
      <c r="AD239" s="734">
        <f>21087.2+949.2-2685.1-3649.8</f>
        <v>15701.500000000004</v>
      </c>
      <c r="AE239" s="488">
        <v>6491</v>
      </c>
      <c r="AF239" s="488">
        <v>6491</v>
      </c>
      <c r="AG239" s="641"/>
      <c r="AH239" s="641"/>
      <c r="AI239" s="455"/>
    </row>
    <row r="240" spans="1:35" s="344" customFormat="1" x14ac:dyDescent="0.25">
      <c r="A240" s="335"/>
      <c r="B240" s="336"/>
      <c r="C240" s="338"/>
      <c r="D240" s="338"/>
      <c r="E240" s="339"/>
      <c r="F240" s="339"/>
      <c r="G240" s="340"/>
      <c r="H240" s="340"/>
      <c r="I240" s="340"/>
      <c r="J240" s="340"/>
      <c r="K240" s="340"/>
      <c r="L240" s="340"/>
      <c r="M240" s="340"/>
      <c r="N240" s="340"/>
      <c r="O240" s="376"/>
      <c r="P240" s="340"/>
      <c r="Q240" s="342"/>
      <c r="R240" s="362"/>
      <c r="S240" s="362"/>
      <c r="T240" s="362"/>
      <c r="U240" s="362"/>
      <c r="V240" s="362"/>
      <c r="W240" s="362"/>
      <c r="X240" s="558" t="s">
        <v>993</v>
      </c>
      <c r="Y240" s="574" t="s">
        <v>1394</v>
      </c>
      <c r="Z240" s="247" t="s">
        <v>1181</v>
      </c>
      <c r="AA240" s="247"/>
      <c r="AB240" s="271"/>
      <c r="AC240" s="575"/>
      <c r="AD240" s="733">
        <f>AD241+AD281+AI2845+AD259+AD266</f>
        <v>85433</v>
      </c>
      <c r="AE240" s="478">
        <f>AE241+AE281+AJ2845+AE259+AE266</f>
        <v>42009.8</v>
      </c>
      <c r="AF240" s="478">
        <f>AF241+AF281+AK2845+AF259+AF266</f>
        <v>42009.8</v>
      </c>
      <c r="AG240" s="640"/>
      <c r="AH240" s="640"/>
      <c r="AI240" s="455"/>
    </row>
    <row r="241" spans="1:35" s="370" customFormat="1" x14ac:dyDescent="0.25">
      <c r="A241" s="311"/>
      <c r="B241" s="345"/>
      <c r="C241" s="346"/>
      <c r="D241" s="346"/>
      <c r="E241" s="347"/>
      <c r="F241" s="347"/>
      <c r="G241" s="348"/>
      <c r="H241" s="348"/>
      <c r="I241" s="348"/>
      <c r="J241" s="348"/>
      <c r="K241" s="348"/>
      <c r="L241" s="340"/>
      <c r="M241" s="348"/>
      <c r="N241" s="340"/>
      <c r="O241" s="349"/>
      <c r="P241" s="348"/>
      <c r="Q241" s="350"/>
      <c r="R241" s="354"/>
      <c r="S241" s="354"/>
      <c r="T241" s="354"/>
      <c r="U241" s="354"/>
      <c r="V241" s="354"/>
      <c r="W241" s="354"/>
      <c r="X241" s="519" t="s">
        <v>1596</v>
      </c>
      <c r="Y241" s="246" t="s">
        <v>1394</v>
      </c>
      <c r="Z241" s="235" t="s">
        <v>1181</v>
      </c>
      <c r="AA241" s="235" t="s">
        <v>290</v>
      </c>
      <c r="AB241" s="249"/>
      <c r="AC241" s="576"/>
      <c r="AD241" s="292">
        <f>AD249+AD242</f>
        <v>22576.9</v>
      </c>
      <c r="AE241" s="475">
        <f>AE249+AE242</f>
        <v>20965.7</v>
      </c>
      <c r="AF241" s="475">
        <f>AF249+AF242</f>
        <v>20965.7</v>
      </c>
      <c r="AG241" s="553"/>
      <c r="AH241" s="553"/>
      <c r="AI241" s="455"/>
    </row>
    <row r="242" spans="1:35" s="370" customFormat="1" x14ac:dyDescent="0.25">
      <c r="A242" s="311"/>
      <c r="B242" s="345"/>
      <c r="C242" s="346"/>
      <c r="D242" s="346"/>
      <c r="E242" s="347"/>
      <c r="F242" s="347"/>
      <c r="G242" s="348"/>
      <c r="H242" s="348"/>
      <c r="I242" s="348"/>
      <c r="J242" s="348"/>
      <c r="K242" s="348"/>
      <c r="L242" s="340"/>
      <c r="M242" s="348"/>
      <c r="N242" s="340"/>
      <c r="O242" s="349"/>
      <c r="P242" s="348"/>
      <c r="Q242" s="350"/>
      <c r="R242" s="354"/>
      <c r="S242" s="354"/>
      <c r="T242" s="354"/>
      <c r="U242" s="354"/>
      <c r="V242" s="354"/>
      <c r="W242" s="354"/>
      <c r="X242" s="548" t="s">
        <v>1898</v>
      </c>
      <c r="Y242" s="246" t="s">
        <v>1394</v>
      </c>
      <c r="Z242" s="242" t="s">
        <v>1181</v>
      </c>
      <c r="AA242" s="242" t="s">
        <v>290</v>
      </c>
      <c r="AB242" s="442" t="s">
        <v>1771</v>
      </c>
      <c r="AC242" s="581"/>
      <c r="AD242" s="292">
        <f t="shared" ref="AD242:AF247" si="48">AD243</f>
        <v>22461.9</v>
      </c>
      <c r="AE242" s="475">
        <f t="shared" si="48"/>
        <v>20840.8</v>
      </c>
      <c r="AF242" s="475">
        <f t="shared" si="48"/>
        <v>20840.8</v>
      </c>
      <c r="AG242" s="553"/>
      <c r="AH242" s="553"/>
      <c r="AI242" s="455"/>
    </row>
    <row r="243" spans="1:35" s="370" customFormat="1" x14ac:dyDescent="0.25">
      <c r="A243" s="311"/>
      <c r="B243" s="345"/>
      <c r="C243" s="346"/>
      <c r="D243" s="346"/>
      <c r="E243" s="347"/>
      <c r="F243" s="347"/>
      <c r="G243" s="348"/>
      <c r="H243" s="348"/>
      <c r="I243" s="348"/>
      <c r="J243" s="348"/>
      <c r="K243" s="348"/>
      <c r="L243" s="340"/>
      <c r="M243" s="348"/>
      <c r="N243" s="340"/>
      <c r="O243" s="349"/>
      <c r="P243" s="348"/>
      <c r="Q243" s="350"/>
      <c r="R243" s="354"/>
      <c r="S243" s="354"/>
      <c r="T243" s="354"/>
      <c r="U243" s="354"/>
      <c r="V243" s="354"/>
      <c r="W243" s="354"/>
      <c r="X243" s="548" t="s">
        <v>1907</v>
      </c>
      <c r="Y243" s="246" t="s">
        <v>1394</v>
      </c>
      <c r="Z243" s="242" t="s">
        <v>1181</v>
      </c>
      <c r="AA243" s="242" t="s">
        <v>290</v>
      </c>
      <c r="AB243" s="442" t="s">
        <v>1908</v>
      </c>
      <c r="AC243" s="581"/>
      <c r="AD243" s="292">
        <f t="shared" si="48"/>
        <v>22461.9</v>
      </c>
      <c r="AE243" s="475">
        <f t="shared" si="48"/>
        <v>20840.8</v>
      </c>
      <c r="AF243" s="475">
        <f t="shared" si="48"/>
        <v>20840.8</v>
      </c>
      <c r="AG243" s="553"/>
      <c r="AH243" s="553"/>
      <c r="AI243" s="455"/>
    </row>
    <row r="244" spans="1:35" s="370" customFormat="1" ht="31.5" x14ac:dyDescent="0.25">
      <c r="A244" s="311"/>
      <c r="B244" s="345"/>
      <c r="C244" s="346"/>
      <c r="D244" s="346"/>
      <c r="E244" s="347"/>
      <c r="F244" s="347"/>
      <c r="G244" s="348"/>
      <c r="H244" s="348"/>
      <c r="I244" s="348"/>
      <c r="J244" s="348"/>
      <c r="K244" s="348"/>
      <c r="L244" s="340"/>
      <c r="M244" s="348"/>
      <c r="N244" s="340"/>
      <c r="O244" s="349"/>
      <c r="P244" s="348"/>
      <c r="Q244" s="350"/>
      <c r="R244" s="354"/>
      <c r="S244" s="354"/>
      <c r="T244" s="354"/>
      <c r="U244" s="354"/>
      <c r="V244" s="354"/>
      <c r="W244" s="354"/>
      <c r="X244" s="548" t="s">
        <v>1909</v>
      </c>
      <c r="Y244" s="246" t="s">
        <v>1394</v>
      </c>
      <c r="Z244" s="242" t="s">
        <v>1181</v>
      </c>
      <c r="AA244" s="242" t="s">
        <v>290</v>
      </c>
      <c r="AB244" s="442" t="s">
        <v>1910</v>
      </c>
      <c r="AC244" s="581"/>
      <c r="AD244" s="292">
        <f t="shared" si="48"/>
        <v>22461.9</v>
      </c>
      <c r="AE244" s="475">
        <f t="shared" si="48"/>
        <v>20840.8</v>
      </c>
      <c r="AF244" s="475">
        <f t="shared" si="48"/>
        <v>20840.8</v>
      </c>
      <c r="AG244" s="553"/>
      <c r="AH244" s="553"/>
      <c r="AI244" s="455"/>
    </row>
    <row r="245" spans="1:35" s="370" customFormat="1" ht="31.5" x14ac:dyDescent="0.25">
      <c r="A245" s="311"/>
      <c r="B245" s="345"/>
      <c r="C245" s="346"/>
      <c r="D245" s="346"/>
      <c r="E245" s="347"/>
      <c r="F245" s="347"/>
      <c r="G245" s="348"/>
      <c r="H245" s="348"/>
      <c r="I245" s="348"/>
      <c r="J245" s="348"/>
      <c r="K245" s="348"/>
      <c r="L245" s="340"/>
      <c r="M245" s="348"/>
      <c r="N245" s="340"/>
      <c r="O245" s="349"/>
      <c r="P245" s="348"/>
      <c r="Q245" s="350"/>
      <c r="R245" s="354"/>
      <c r="S245" s="354"/>
      <c r="T245" s="354"/>
      <c r="U245" s="354"/>
      <c r="V245" s="354"/>
      <c r="W245" s="354"/>
      <c r="X245" s="531" t="s">
        <v>1921</v>
      </c>
      <c r="Y245" s="246" t="s">
        <v>1394</v>
      </c>
      <c r="Z245" s="242" t="s">
        <v>1181</v>
      </c>
      <c r="AA245" s="242" t="s">
        <v>290</v>
      </c>
      <c r="AB245" s="471" t="s">
        <v>1922</v>
      </c>
      <c r="AC245" s="581"/>
      <c r="AD245" s="292">
        <f t="shared" si="48"/>
        <v>22461.9</v>
      </c>
      <c r="AE245" s="475">
        <f t="shared" si="48"/>
        <v>20840.8</v>
      </c>
      <c r="AF245" s="475">
        <f t="shared" si="48"/>
        <v>20840.8</v>
      </c>
      <c r="AG245" s="553"/>
      <c r="AH245" s="553"/>
      <c r="AI245" s="455"/>
    </row>
    <row r="246" spans="1:35" s="370" customFormat="1" ht="47.25" x14ac:dyDescent="0.25">
      <c r="A246" s="311"/>
      <c r="B246" s="345"/>
      <c r="C246" s="346"/>
      <c r="D246" s="346"/>
      <c r="E246" s="347"/>
      <c r="F246" s="347"/>
      <c r="G246" s="348"/>
      <c r="H246" s="348"/>
      <c r="I246" s="348"/>
      <c r="J246" s="348"/>
      <c r="K246" s="348"/>
      <c r="L246" s="340"/>
      <c r="M246" s="348"/>
      <c r="N246" s="340"/>
      <c r="O246" s="349"/>
      <c r="P246" s="348"/>
      <c r="Q246" s="350"/>
      <c r="R246" s="354"/>
      <c r="S246" s="354"/>
      <c r="T246" s="354"/>
      <c r="U246" s="354"/>
      <c r="V246" s="354"/>
      <c r="W246" s="354"/>
      <c r="X246" s="531" t="s">
        <v>2331</v>
      </c>
      <c r="Y246" s="246" t="s">
        <v>1394</v>
      </c>
      <c r="Z246" s="242" t="s">
        <v>1181</v>
      </c>
      <c r="AA246" s="242" t="s">
        <v>290</v>
      </c>
      <c r="AB246" s="471" t="s">
        <v>2133</v>
      </c>
      <c r="AC246" s="581"/>
      <c r="AD246" s="292">
        <f t="shared" si="48"/>
        <v>22461.9</v>
      </c>
      <c r="AE246" s="475">
        <f t="shared" si="48"/>
        <v>20840.8</v>
      </c>
      <c r="AF246" s="475">
        <f t="shared" si="48"/>
        <v>20840.8</v>
      </c>
      <c r="AG246" s="553"/>
      <c r="AH246" s="553"/>
      <c r="AI246" s="455"/>
    </row>
    <row r="247" spans="1:35" s="370" customFormat="1" ht="31.5" x14ac:dyDescent="0.25">
      <c r="A247" s="311"/>
      <c r="B247" s="345"/>
      <c r="C247" s="346"/>
      <c r="D247" s="346"/>
      <c r="E247" s="347"/>
      <c r="F247" s="347"/>
      <c r="G247" s="348"/>
      <c r="H247" s="348"/>
      <c r="I247" s="348"/>
      <c r="J247" s="348"/>
      <c r="K247" s="348"/>
      <c r="L247" s="340"/>
      <c r="M247" s="348"/>
      <c r="N247" s="340"/>
      <c r="O247" s="349"/>
      <c r="P247" s="348"/>
      <c r="Q247" s="350"/>
      <c r="R247" s="354"/>
      <c r="S247" s="354"/>
      <c r="T247" s="354"/>
      <c r="U247" s="354"/>
      <c r="V247" s="354"/>
      <c r="W247" s="354"/>
      <c r="X247" s="523" t="s">
        <v>1342</v>
      </c>
      <c r="Y247" s="246" t="s">
        <v>1394</v>
      </c>
      <c r="Z247" s="242" t="s">
        <v>1181</v>
      </c>
      <c r="AA247" s="242" t="s">
        <v>290</v>
      </c>
      <c r="AB247" s="471" t="s">
        <v>2133</v>
      </c>
      <c r="AC247" s="581">
        <v>600</v>
      </c>
      <c r="AD247" s="292">
        <f t="shared" si="48"/>
        <v>22461.9</v>
      </c>
      <c r="AE247" s="475">
        <f t="shared" si="48"/>
        <v>20840.8</v>
      </c>
      <c r="AF247" s="475">
        <f t="shared" si="48"/>
        <v>20840.8</v>
      </c>
      <c r="AG247" s="553"/>
      <c r="AH247" s="553"/>
      <c r="AI247" s="455"/>
    </row>
    <row r="248" spans="1:35" s="370" customFormat="1" x14ac:dyDescent="0.25">
      <c r="A248" s="311"/>
      <c r="B248" s="345"/>
      <c r="C248" s="346"/>
      <c r="D248" s="346"/>
      <c r="E248" s="347"/>
      <c r="F248" s="347"/>
      <c r="G248" s="348"/>
      <c r="H248" s="348"/>
      <c r="I248" s="348"/>
      <c r="J248" s="348"/>
      <c r="K248" s="348"/>
      <c r="L248" s="340"/>
      <c r="M248" s="348"/>
      <c r="N248" s="340"/>
      <c r="O248" s="349"/>
      <c r="P248" s="348"/>
      <c r="Q248" s="350"/>
      <c r="R248" s="354"/>
      <c r="S248" s="354"/>
      <c r="T248" s="354"/>
      <c r="U248" s="354"/>
      <c r="V248" s="354"/>
      <c r="W248" s="354"/>
      <c r="X248" s="523" t="s">
        <v>1343</v>
      </c>
      <c r="Y248" s="246" t="s">
        <v>1394</v>
      </c>
      <c r="Z248" s="242" t="s">
        <v>1181</v>
      </c>
      <c r="AA248" s="242" t="s">
        <v>290</v>
      </c>
      <c r="AB248" s="471" t="s">
        <v>2133</v>
      </c>
      <c r="AC248" s="581">
        <v>610</v>
      </c>
      <c r="AD248" s="292">
        <f>20483.5+400+188.4+150+1240</f>
        <v>22461.9</v>
      </c>
      <c r="AE248" s="475">
        <f>20483.5+357.3</f>
        <v>20840.8</v>
      </c>
      <c r="AF248" s="475">
        <f>20483.5+357.3</f>
        <v>20840.8</v>
      </c>
      <c r="AG248" s="553"/>
      <c r="AH248" s="553"/>
      <c r="AI248" s="455"/>
    </row>
    <row r="249" spans="1:35" s="370" customFormat="1" ht="31.5" x14ac:dyDescent="0.25">
      <c r="A249" s="311"/>
      <c r="B249" s="345"/>
      <c r="C249" s="346"/>
      <c r="D249" s="346"/>
      <c r="E249" s="347"/>
      <c r="F249" s="347"/>
      <c r="G249" s="348"/>
      <c r="H249" s="348"/>
      <c r="I249" s="348"/>
      <c r="J249" s="348"/>
      <c r="K249" s="348"/>
      <c r="L249" s="340"/>
      <c r="M249" s="348"/>
      <c r="N249" s="340"/>
      <c r="O249" s="349"/>
      <c r="P249" s="348"/>
      <c r="Q249" s="350"/>
      <c r="R249" s="354"/>
      <c r="S249" s="354"/>
      <c r="T249" s="354"/>
      <c r="U249" s="354"/>
      <c r="V249" s="354"/>
      <c r="W249" s="354"/>
      <c r="X249" s="548" t="s">
        <v>1949</v>
      </c>
      <c r="Y249" s="246" t="s">
        <v>1394</v>
      </c>
      <c r="Z249" s="235" t="s">
        <v>1181</v>
      </c>
      <c r="AA249" s="235" t="s">
        <v>290</v>
      </c>
      <c r="AB249" s="442" t="s">
        <v>1950</v>
      </c>
      <c r="AC249" s="576"/>
      <c r="AD249" s="292">
        <f>AD250</f>
        <v>115</v>
      </c>
      <c r="AE249" s="475">
        <f>AE250</f>
        <v>124.9</v>
      </c>
      <c r="AF249" s="475">
        <f>AF250</f>
        <v>124.9</v>
      </c>
      <c r="AG249" s="553"/>
      <c r="AH249" s="553"/>
      <c r="AI249" s="455"/>
    </row>
    <row r="250" spans="1:35" s="370" customFormat="1" x14ac:dyDescent="0.25">
      <c r="A250" s="355"/>
      <c r="B250" s="345"/>
      <c r="C250" s="346"/>
      <c r="D250" s="346"/>
      <c r="E250" s="347"/>
      <c r="F250" s="346"/>
      <c r="G250" s="348"/>
      <c r="H250" s="372"/>
      <c r="I250" s="313"/>
      <c r="J250" s="313"/>
      <c r="K250" s="313"/>
      <c r="L250" s="340"/>
      <c r="M250" s="313"/>
      <c r="N250" s="340"/>
      <c r="O250" s="349"/>
      <c r="P250" s="348"/>
      <c r="Q250" s="350"/>
      <c r="R250" s="354"/>
      <c r="S250" s="354"/>
      <c r="T250" s="354"/>
      <c r="U250" s="354"/>
      <c r="V250" s="354"/>
      <c r="W250" s="354"/>
      <c r="X250" s="548" t="s">
        <v>1951</v>
      </c>
      <c r="Y250" s="246" t="s">
        <v>1394</v>
      </c>
      <c r="Z250" s="235" t="s">
        <v>1181</v>
      </c>
      <c r="AA250" s="235" t="s">
        <v>290</v>
      </c>
      <c r="AB250" s="442" t="s">
        <v>1952</v>
      </c>
      <c r="AC250" s="238"/>
      <c r="AD250" s="292">
        <f t="shared" ref="AD250:AF251" si="49">AD251</f>
        <v>115</v>
      </c>
      <c r="AE250" s="475">
        <f t="shared" si="49"/>
        <v>124.9</v>
      </c>
      <c r="AF250" s="475">
        <f t="shared" si="49"/>
        <v>124.9</v>
      </c>
      <c r="AG250" s="553"/>
      <c r="AH250" s="553"/>
      <c r="AI250" s="455"/>
    </row>
    <row r="251" spans="1:35" s="370" customFormat="1" ht="63" x14ac:dyDescent="0.25">
      <c r="A251" s="355"/>
      <c r="B251" s="345"/>
      <c r="C251" s="346"/>
      <c r="D251" s="346"/>
      <c r="E251" s="347"/>
      <c r="F251" s="346"/>
      <c r="G251" s="348"/>
      <c r="H251" s="372"/>
      <c r="I251" s="313"/>
      <c r="J251" s="313"/>
      <c r="K251" s="313"/>
      <c r="L251" s="340"/>
      <c r="M251" s="313"/>
      <c r="N251" s="340"/>
      <c r="O251" s="349"/>
      <c r="P251" s="348"/>
      <c r="Q251" s="350"/>
      <c r="R251" s="354"/>
      <c r="S251" s="354"/>
      <c r="T251" s="354"/>
      <c r="U251" s="354"/>
      <c r="V251" s="354"/>
      <c r="W251" s="354"/>
      <c r="X251" s="529" t="s">
        <v>2233</v>
      </c>
      <c r="Y251" s="246" t="s">
        <v>1394</v>
      </c>
      <c r="Z251" s="235" t="s">
        <v>1181</v>
      </c>
      <c r="AA251" s="235" t="s">
        <v>290</v>
      </c>
      <c r="AB251" s="442" t="s">
        <v>2207</v>
      </c>
      <c r="AC251" s="238"/>
      <c r="AD251" s="292">
        <f t="shared" si="49"/>
        <v>115</v>
      </c>
      <c r="AE251" s="475">
        <f t="shared" si="49"/>
        <v>124.9</v>
      </c>
      <c r="AF251" s="475">
        <f t="shared" si="49"/>
        <v>124.9</v>
      </c>
      <c r="AG251" s="553"/>
      <c r="AH251" s="553"/>
      <c r="AI251" s="455"/>
    </row>
    <row r="252" spans="1:35" s="370" customFormat="1" ht="47.25" x14ac:dyDescent="0.25">
      <c r="A252" s="355"/>
      <c r="B252" s="345"/>
      <c r="C252" s="346"/>
      <c r="D252" s="346"/>
      <c r="E252" s="347"/>
      <c r="F252" s="346"/>
      <c r="G252" s="348"/>
      <c r="H252" s="348"/>
      <c r="I252" s="348"/>
      <c r="J252" s="348"/>
      <c r="K252" s="348"/>
      <c r="L252" s="340"/>
      <c r="M252" s="348"/>
      <c r="N252" s="340"/>
      <c r="O252" s="349"/>
      <c r="P252" s="348"/>
      <c r="Q252" s="350"/>
      <c r="R252" s="354"/>
      <c r="S252" s="354"/>
      <c r="T252" s="354"/>
      <c r="U252" s="354"/>
      <c r="V252" s="354"/>
      <c r="W252" s="354"/>
      <c r="X252" s="529" t="s">
        <v>1953</v>
      </c>
      <c r="Y252" s="246" t="s">
        <v>1394</v>
      </c>
      <c r="Z252" s="235" t="s">
        <v>1181</v>
      </c>
      <c r="AA252" s="235" t="s">
        <v>290</v>
      </c>
      <c r="AB252" s="442" t="s">
        <v>2208</v>
      </c>
      <c r="AC252" s="238"/>
      <c r="AD252" s="292">
        <f>AD253+AD256</f>
        <v>115</v>
      </c>
      <c r="AE252" s="475">
        <f>AE253+AE256</f>
        <v>124.9</v>
      </c>
      <c r="AF252" s="475">
        <f>AF253+AF256</f>
        <v>124.9</v>
      </c>
      <c r="AG252" s="553"/>
      <c r="AH252" s="553"/>
      <c r="AI252" s="455"/>
    </row>
    <row r="253" spans="1:35" s="370" customFormat="1" ht="47.25" x14ac:dyDescent="0.25">
      <c r="A253" s="355"/>
      <c r="B253" s="345"/>
      <c r="C253" s="346"/>
      <c r="D253" s="346"/>
      <c r="E253" s="347"/>
      <c r="F253" s="346"/>
      <c r="G253" s="348"/>
      <c r="H253" s="348"/>
      <c r="I253" s="348"/>
      <c r="J253" s="348"/>
      <c r="K253" s="348"/>
      <c r="L253" s="340"/>
      <c r="M253" s="348"/>
      <c r="N253" s="340"/>
      <c r="O253" s="349"/>
      <c r="P253" s="348"/>
      <c r="Q253" s="350"/>
      <c r="R253" s="354"/>
      <c r="S253" s="354"/>
      <c r="T253" s="354"/>
      <c r="U253" s="354"/>
      <c r="V253" s="354"/>
      <c r="W253" s="354"/>
      <c r="X253" s="529" t="s">
        <v>2139</v>
      </c>
      <c r="Y253" s="246" t="s">
        <v>1394</v>
      </c>
      <c r="Z253" s="235" t="s">
        <v>1181</v>
      </c>
      <c r="AA253" s="235" t="s">
        <v>290</v>
      </c>
      <c r="AB253" s="442" t="s">
        <v>2209</v>
      </c>
      <c r="AC253" s="238"/>
      <c r="AD253" s="292">
        <f t="shared" ref="AD253:AF254" si="50">AD254</f>
        <v>0.1</v>
      </c>
      <c r="AE253" s="475">
        <f t="shared" si="50"/>
        <v>10</v>
      </c>
      <c r="AF253" s="475">
        <f t="shared" si="50"/>
        <v>10</v>
      </c>
      <c r="AG253" s="553"/>
      <c r="AH253" s="553"/>
      <c r="AI253" s="455"/>
    </row>
    <row r="254" spans="1:35" s="370" customFormat="1" x14ac:dyDescent="0.25">
      <c r="A254" s="355"/>
      <c r="B254" s="345"/>
      <c r="C254" s="346"/>
      <c r="D254" s="346"/>
      <c r="E254" s="347"/>
      <c r="F254" s="346"/>
      <c r="G254" s="348"/>
      <c r="H254" s="348"/>
      <c r="I254" s="348"/>
      <c r="J254" s="348"/>
      <c r="K254" s="348"/>
      <c r="L254" s="340"/>
      <c r="M254" s="348"/>
      <c r="N254" s="340"/>
      <c r="O254" s="349"/>
      <c r="P254" s="348"/>
      <c r="Q254" s="350"/>
      <c r="R254" s="354"/>
      <c r="S254" s="354"/>
      <c r="T254" s="354"/>
      <c r="U254" s="354"/>
      <c r="V254" s="354"/>
      <c r="W254" s="354"/>
      <c r="X254" s="519" t="s">
        <v>1781</v>
      </c>
      <c r="Y254" s="246" t="s">
        <v>1394</v>
      </c>
      <c r="Z254" s="235" t="s">
        <v>1181</v>
      </c>
      <c r="AA254" s="235" t="s">
        <v>290</v>
      </c>
      <c r="AB254" s="442" t="s">
        <v>2209</v>
      </c>
      <c r="AC254" s="238">
        <v>200</v>
      </c>
      <c r="AD254" s="292">
        <f t="shared" si="50"/>
        <v>0.1</v>
      </c>
      <c r="AE254" s="475">
        <f t="shared" si="50"/>
        <v>10</v>
      </c>
      <c r="AF254" s="475">
        <f t="shared" si="50"/>
        <v>10</v>
      </c>
      <c r="AG254" s="553"/>
      <c r="AH254" s="553"/>
      <c r="AI254" s="455"/>
    </row>
    <row r="255" spans="1:35" s="370" customFormat="1" ht="31.5" x14ac:dyDescent="0.25">
      <c r="A255" s="355"/>
      <c r="B255" s="345"/>
      <c r="C255" s="346"/>
      <c r="D255" s="346"/>
      <c r="E255" s="347"/>
      <c r="F255" s="346"/>
      <c r="G255" s="348"/>
      <c r="H255" s="348"/>
      <c r="I255" s="348"/>
      <c r="J255" s="348"/>
      <c r="K255" s="348"/>
      <c r="L255" s="340"/>
      <c r="M255" s="348"/>
      <c r="N255" s="340"/>
      <c r="O255" s="349"/>
      <c r="P255" s="348"/>
      <c r="Q255" s="350"/>
      <c r="R255" s="354"/>
      <c r="S255" s="354"/>
      <c r="T255" s="354"/>
      <c r="U255" s="354"/>
      <c r="V255" s="354"/>
      <c r="W255" s="354"/>
      <c r="X255" s="519" t="s">
        <v>1273</v>
      </c>
      <c r="Y255" s="246" t="s">
        <v>1394</v>
      </c>
      <c r="Z255" s="235" t="s">
        <v>1181</v>
      </c>
      <c r="AA255" s="235" t="s">
        <v>290</v>
      </c>
      <c r="AB255" s="442" t="s">
        <v>2209</v>
      </c>
      <c r="AC255" s="238">
        <v>240</v>
      </c>
      <c r="AD255" s="292">
        <v>0.1</v>
      </c>
      <c r="AE255" s="475">
        <f>0.1+9.9</f>
        <v>10</v>
      </c>
      <c r="AF255" s="475">
        <f>0.1+9.9</f>
        <v>10</v>
      </c>
      <c r="AG255" s="553"/>
      <c r="AH255" s="553"/>
      <c r="AI255" s="455"/>
    </row>
    <row r="256" spans="1:35" s="370" customFormat="1" ht="47.25" x14ac:dyDescent="0.25">
      <c r="A256" s="355"/>
      <c r="B256" s="345"/>
      <c r="C256" s="346"/>
      <c r="D256" s="346"/>
      <c r="E256" s="347"/>
      <c r="F256" s="346"/>
      <c r="G256" s="348"/>
      <c r="H256" s="348"/>
      <c r="I256" s="348"/>
      <c r="J256" s="348"/>
      <c r="K256" s="348"/>
      <c r="L256" s="340"/>
      <c r="M256" s="348"/>
      <c r="N256" s="340"/>
      <c r="O256" s="349"/>
      <c r="P256" s="348"/>
      <c r="Q256" s="350"/>
      <c r="R256" s="354"/>
      <c r="S256" s="354"/>
      <c r="T256" s="354"/>
      <c r="U256" s="354"/>
      <c r="V256" s="354"/>
      <c r="W256" s="354"/>
      <c r="X256" s="519" t="s">
        <v>2140</v>
      </c>
      <c r="Y256" s="246" t="s">
        <v>1394</v>
      </c>
      <c r="Z256" s="235" t="s">
        <v>1181</v>
      </c>
      <c r="AA256" s="235" t="s">
        <v>290</v>
      </c>
      <c r="AB256" s="442" t="s">
        <v>2210</v>
      </c>
      <c r="AC256" s="238"/>
      <c r="AD256" s="292">
        <f t="shared" ref="AD256:AF257" si="51">AD257</f>
        <v>114.9</v>
      </c>
      <c r="AE256" s="475">
        <f t="shared" si="51"/>
        <v>114.9</v>
      </c>
      <c r="AF256" s="475">
        <f t="shared" si="51"/>
        <v>114.9</v>
      </c>
      <c r="AG256" s="553"/>
      <c r="AH256" s="553"/>
      <c r="AI256" s="455"/>
    </row>
    <row r="257" spans="1:35" s="370" customFormat="1" x14ac:dyDescent="0.25">
      <c r="A257" s="355"/>
      <c r="B257" s="345"/>
      <c r="C257" s="346"/>
      <c r="D257" s="346"/>
      <c r="E257" s="347"/>
      <c r="F257" s="346"/>
      <c r="G257" s="348"/>
      <c r="H257" s="348"/>
      <c r="I257" s="348"/>
      <c r="J257" s="348"/>
      <c r="K257" s="348"/>
      <c r="L257" s="340"/>
      <c r="M257" s="348"/>
      <c r="N257" s="340"/>
      <c r="O257" s="349"/>
      <c r="P257" s="348"/>
      <c r="Q257" s="350"/>
      <c r="R257" s="354"/>
      <c r="S257" s="354"/>
      <c r="T257" s="354"/>
      <c r="U257" s="354"/>
      <c r="V257" s="354"/>
      <c r="W257" s="354"/>
      <c r="X257" s="519" t="s">
        <v>1781</v>
      </c>
      <c r="Y257" s="246" t="s">
        <v>1394</v>
      </c>
      <c r="Z257" s="235" t="s">
        <v>1181</v>
      </c>
      <c r="AA257" s="235" t="s">
        <v>290</v>
      </c>
      <c r="AB257" s="442" t="s">
        <v>2210</v>
      </c>
      <c r="AC257" s="238">
        <v>200</v>
      </c>
      <c r="AD257" s="292">
        <f t="shared" si="51"/>
        <v>114.9</v>
      </c>
      <c r="AE257" s="475">
        <f t="shared" si="51"/>
        <v>114.9</v>
      </c>
      <c r="AF257" s="475">
        <f t="shared" si="51"/>
        <v>114.9</v>
      </c>
      <c r="AG257" s="553"/>
      <c r="AH257" s="553"/>
      <c r="AI257" s="455"/>
    </row>
    <row r="258" spans="1:35" s="370" customFormat="1" ht="31.5" x14ac:dyDescent="0.25">
      <c r="A258" s="355"/>
      <c r="B258" s="345"/>
      <c r="C258" s="346"/>
      <c r="D258" s="346"/>
      <c r="E258" s="347"/>
      <c r="F258" s="346"/>
      <c r="G258" s="348"/>
      <c r="H258" s="348"/>
      <c r="I258" s="348"/>
      <c r="J258" s="348"/>
      <c r="K258" s="348"/>
      <c r="L258" s="340"/>
      <c r="M258" s="348"/>
      <c r="N258" s="340"/>
      <c r="O258" s="349"/>
      <c r="P258" s="348"/>
      <c r="Q258" s="350"/>
      <c r="R258" s="354"/>
      <c r="S258" s="354"/>
      <c r="T258" s="354"/>
      <c r="U258" s="354"/>
      <c r="V258" s="354"/>
      <c r="W258" s="354"/>
      <c r="X258" s="519" t="s">
        <v>1273</v>
      </c>
      <c r="Y258" s="246" t="s">
        <v>1394</v>
      </c>
      <c r="Z258" s="235" t="s">
        <v>1181</v>
      </c>
      <c r="AA258" s="235" t="s">
        <v>290</v>
      </c>
      <c r="AB258" s="442" t="s">
        <v>2210</v>
      </c>
      <c r="AC258" s="238">
        <v>240</v>
      </c>
      <c r="AD258" s="292">
        <v>114.9</v>
      </c>
      <c r="AE258" s="475">
        <v>114.9</v>
      </c>
      <c r="AF258" s="475">
        <v>114.9</v>
      </c>
      <c r="AG258" s="553"/>
      <c r="AH258" s="553"/>
      <c r="AI258" s="455"/>
    </row>
    <row r="259" spans="1:35" s="370" customFormat="1" ht="18.75" x14ac:dyDescent="0.3">
      <c r="A259" s="377"/>
      <c r="B259" s="345"/>
      <c r="C259" s="346"/>
      <c r="D259" s="346"/>
      <c r="E259" s="347"/>
      <c r="F259" s="346"/>
      <c r="G259" s="348"/>
      <c r="H259" s="372"/>
      <c r="I259" s="313"/>
      <c r="J259" s="313"/>
      <c r="K259" s="313"/>
      <c r="L259" s="340"/>
      <c r="M259" s="313"/>
      <c r="N259" s="340"/>
      <c r="O259" s="349"/>
      <c r="P259" s="348"/>
      <c r="Q259" s="350"/>
      <c r="R259" s="354"/>
      <c r="S259" s="354"/>
      <c r="T259" s="354"/>
      <c r="U259" s="354"/>
      <c r="V259" s="354"/>
      <c r="W259" s="372"/>
      <c r="X259" s="519" t="s">
        <v>1739</v>
      </c>
      <c r="Y259" s="578" t="s">
        <v>1394</v>
      </c>
      <c r="Z259" s="235" t="s">
        <v>1181</v>
      </c>
      <c r="AA259" s="235" t="s">
        <v>406</v>
      </c>
      <c r="AB259" s="277"/>
      <c r="AC259" s="585"/>
      <c r="AD259" s="292">
        <f t="shared" ref="AD259:AF260" si="52">AD260</f>
        <v>60573.1</v>
      </c>
      <c r="AE259" s="475">
        <f t="shared" si="52"/>
        <v>20718.099999999999</v>
      </c>
      <c r="AF259" s="475">
        <f t="shared" si="52"/>
        <v>20718.099999999999</v>
      </c>
      <c r="AG259" s="553"/>
      <c r="AH259" s="553"/>
      <c r="AI259" s="455"/>
    </row>
    <row r="260" spans="1:35" s="370" customFormat="1" ht="31.5" x14ac:dyDescent="0.25">
      <c r="A260" s="377"/>
      <c r="B260" s="345"/>
      <c r="C260" s="346"/>
      <c r="D260" s="346"/>
      <c r="E260" s="347"/>
      <c r="F260" s="346"/>
      <c r="G260" s="348"/>
      <c r="H260" s="372"/>
      <c r="I260" s="313"/>
      <c r="J260" s="313"/>
      <c r="K260" s="313"/>
      <c r="L260" s="340"/>
      <c r="M260" s="313"/>
      <c r="N260" s="340"/>
      <c r="O260" s="349"/>
      <c r="P260" s="348"/>
      <c r="Q260" s="350"/>
      <c r="R260" s="354"/>
      <c r="S260" s="354"/>
      <c r="T260" s="354"/>
      <c r="U260" s="354"/>
      <c r="V260" s="354"/>
      <c r="W260" s="372"/>
      <c r="X260" s="548" t="s">
        <v>1949</v>
      </c>
      <c r="Y260" s="246" t="s">
        <v>1394</v>
      </c>
      <c r="Z260" s="254" t="s">
        <v>1181</v>
      </c>
      <c r="AA260" s="254" t="s">
        <v>406</v>
      </c>
      <c r="AB260" s="442" t="s">
        <v>1950</v>
      </c>
      <c r="AC260" s="576"/>
      <c r="AD260" s="292">
        <f t="shared" si="52"/>
        <v>60573.1</v>
      </c>
      <c r="AE260" s="475">
        <f t="shared" si="52"/>
        <v>20718.099999999999</v>
      </c>
      <c r="AF260" s="475">
        <f t="shared" si="52"/>
        <v>20718.099999999999</v>
      </c>
      <c r="AG260" s="553"/>
      <c r="AH260" s="553"/>
      <c r="AI260" s="455"/>
    </row>
    <row r="261" spans="1:35" s="370" customFormat="1" x14ac:dyDescent="0.25">
      <c r="A261" s="377"/>
      <c r="B261" s="345"/>
      <c r="C261" s="346"/>
      <c r="D261" s="346"/>
      <c r="E261" s="347"/>
      <c r="F261" s="346"/>
      <c r="G261" s="348"/>
      <c r="H261" s="372"/>
      <c r="I261" s="313"/>
      <c r="J261" s="313"/>
      <c r="K261" s="313"/>
      <c r="L261" s="340"/>
      <c r="M261" s="313"/>
      <c r="N261" s="340"/>
      <c r="O261" s="349"/>
      <c r="P261" s="348"/>
      <c r="Q261" s="350"/>
      <c r="R261" s="354"/>
      <c r="S261" s="354"/>
      <c r="T261" s="354"/>
      <c r="U261" s="354"/>
      <c r="V261" s="354"/>
      <c r="W261" s="372"/>
      <c r="X261" s="548" t="s">
        <v>1160</v>
      </c>
      <c r="Y261" s="246" t="s">
        <v>1394</v>
      </c>
      <c r="Z261" s="254" t="s">
        <v>1181</v>
      </c>
      <c r="AA261" s="254" t="s">
        <v>406</v>
      </c>
      <c r="AB261" s="442" t="s">
        <v>2213</v>
      </c>
      <c r="AC261" s="238"/>
      <c r="AD261" s="292">
        <f t="shared" ref="AD261:AF264" si="53">AD262</f>
        <v>60573.1</v>
      </c>
      <c r="AE261" s="475">
        <f t="shared" si="53"/>
        <v>20718.099999999999</v>
      </c>
      <c r="AF261" s="475">
        <f t="shared" si="53"/>
        <v>20718.099999999999</v>
      </c>
      <c r="AG261" s="553"/>
      <c r="AH261" s="553"/>
      <c r="AI261" s="455"/>
    </row>
    <row r="262" spans="1:35" s="370" customFormat="1" ht="31.5" x14ac:dyDescent="0.25">
      <c r="A262" s="377"/>
      <c r="B262" s="345"/>
      <c r="C262" s="346"/>
      <c r="D262" s="346"/>
      <c r="E262" s="347"/>
      <c r="F262" s="346"/>
      <c r="G262" s="348"/>
      <c r="H262" s="372"/>
      <c r="I262" s="313"/>
      <c r="J262" s="313"/>
      <c r="K262" s="313"/>
      <c r="L262" s="340"/>
      <c r="M262" s="313"/>
      <c r="N262" s="340"/>
      <c r="O262" s="349"/>
      <c r="P262" s="348"/>
      <c r="Q262" s="350"/>
      <c r="R262" s="354"/>
      <c r="S262" s="354"/>
      <c r="T262" s="354"/>
      <c r="U262" s="354"/>
      <c r="V262" s="354"/>
      <c r="W262" s="372"/>
      <c r="X262" s="548" t="s">
        <v>1909</v>
      </c>
      <c r="Y262" s="246" t="s">
        <v>1394</v>
      </c>
      <c r="Z262" s="254" t="s">
        <v>1181</v>
      </c>
      <c r="AA262" s="254" t="s">
        <v>406</v>
      </c>
      <c r="AB262" s="442" t="s">
        <v>2214</v>
      </c>
      <c r="AC262" s="238"/>
      <c r="AD262" s="292">
        <f t="shared" si="53"/>
        <v>60573.1</v>
      </c>
      <c r="AE262" s="475">
        <f t="shared" si="53"/>
        <v>20718.099999999999</v>
      </c>
      <c r="AF262" s="475">
        <f t="shared" si="53"/>
        <v>20718.099999999999</v>
      </c>
      <c r="AG262" s="553"/>
      <c r="AH262" s="553"/>
      <c r="AI262" s="455"/>
    </row>
    <row r="263" spans="1:35" s="370" customFormat="1" ht="31.5" x14ac:dyDescent="0.25">
      <c r="A263" s="377"/>
      <c r="B263" s="345"/>
      <c r="C263" s="346"/>
      <c r="D263" s="346"/>
      <c r="E263" s="347"/>
      <c r="F263" s="346"/>
      <c r="G263" s="348"/>
      <c r="H263" s="372"/>
      <c r="I263" s="313"/>
      <c r="J263" s="313"/>
      <c r="K263" s="313"/>
      <c r="L263" s="340"/>
      <c r="M263" s="313"/>
      <c r="N263" s="340"/>
      <c r="O263" s="349"/>
      <c r="P263" s="348"/>
      <c r="Q263" s="350"/>
      <c r="R263" s="354"/>
      <c r="S263" s="354"/>
      <c r="T263" s="354"/>
      <c r="U263" s="354"/>
      <c r="V263" s="354"/>
      <c r="W263" s="372"/>
      <c r="X263" s="531" t="s">
        <v>2138</v>
      </c>
      <c r="Y263" s="246" t="s">
        <v>1394</v>
      </c>
      <c r="Z263" s="254" t="s">
        <v>1181</v>
      </c>
      <c r="AA263" s="254" t="s">
        <v>406</v>
      </c>
      <c r="AB263" s="442" t="s">
        <v>2215</v>
      </c>
      <c r="AC263" s="238"/>
      <c r="AD263" s="292">
        <f>AD264</f>
        <v>60573.1</v>
      </c>
      <c r="AE263" s="475">
        <f>AE264</f>
        <v>20718.099999999999</v>
      </c>
      <c r="AF263" s="475">
        <f>AF264</f>
        <v>20718.099999999999</v>
      </c>
      <c r="AG263" s="553"/>
      <c r="AH263" s="553"/>
      <c r="AI263" s="455"/>
    </row>
    <row r="264" spans="1:35" s="370" customFormat="1" ht="31.5" x14ac:dyDescent="0.25">
      <c r="A264" s="377"/>
      <c r="B264" s="345"/>
      <c r="C264" s="346"/>
      <c r="D264" s="346"/>
      <c r="E264" s="347"/>
      <c r="F264" s="346"/>
      <c r="G264" s="348"/>
      <c r="H264" s="372"/>
      <c r="I264" s="313"/>
      <c r="J264" s="313"/>
      <c r="K264" s="313"/>
      <c r="L264" s="340"/>
      <c r="M264" s="313"/>
      <c r="N264" s="340"/>
      <c r="O264" s="349"/>
      <c r="P264" s="348"/>
      <c r="Q264" s="350"/>
      <c r="R264" s="354"/>
      <c r="S264" s="354"/>
      <c r="T264" s="354"/>
      <c r="U264" s="354"/>
      <c r="V264" s="354"/>
      <c r="W264" s="372"/>
      <c r="X264" s="523" t="s">
        <v>1342</v>
      </c>
      <c r="Y264" s="246" t="s">
        <v>1394</v>
      </c>
      <c r="Z264" s="254" t="s">
        <v>1181</v>
      </c>
      <c r="AA264" s="254" t="s">
        <v>406</v>
      </c>
      <c r="AB264" s="442" t="s">
        <v>2215</v>
      </c>
      <c r="AC264" s="238">
        <v>600</v>
      </c>
      <c r="AD264" s="292">
        <f t="shared" si="53"/>
        <v>60573.1</v>
      </c>
      <c r="AE264" s="475">
        <f t="shared" si="53"/>
        <v>20718.099999999999</v>
      </c>
      <c r="AF264" s="475">
        <f t="shared" si="53"/>
        <v>20718.099999999999</v>
      </c>
      <c r="AG264" s="553"/>
      <c r="AH264" s="553"/>
      <c r="AI264" s="455"/>
    </row>
    <row r="265" spans="1:35" s="370" customFormat="1" x14ac:dyDescent="0.25">
      <c r="A265" s="377"/>
      <c r="B265" s="345"/>
      <c r="C265" s="346"/>
      <c r="D265" s="346"/>
      <c r="E265" s="347"/>
      <c r="F265" s="346"/>
      <c r="G265" s="348"/>
      <c r="H265" s="372"/>
      <c r="I265" s="313"/>
      <c r="J265" s="313"/>
      <c r="K265" s="313"/>
      <c r="L265" s="340"/>
      <c r="M265" s="313"/>
      <c r="N265" s="340"/>
      <c r="O265" s="349"/>
      <c r="P265" s="348"/>
      <c r="Q265" s="350"/>
      <c r="R265" s="354"/>
      <c r="S265" s="354"/>
      <c r="T265" s="354"/>
      <c r="U265" s="354"/>
      <c r="V265" s="354"/>
      <c r="W265" s="372"/>
      <c r="X265" s="523" t="s">
        <v>1343</v>
      </c>
      <c r="Y265" s="246" t="s">
        <v>1394</v>
      </c>
      <c r="Z265" s="254" t="s">
        <v>1181</v>
      </c>
      <c r="AA265" s="254" t="s">
        <v>406</v>
      </c>
      <c r="AB265" s="442" t="s">
        <v>2215</v>
      </c>
      <c r="AC265" s="238">
        <v>610</v>
      </c>
      <c r="AD265" s="292">
        <f>20718.1+10000+1551.6+5040.1+644.8+118.5+22500</f>
        <v>60573.1</v>
      </c>
      <c r="AE265" s="475">
        <f>20718.1</f>
        <v>20718.099999999999</v>
      </c>
      <c r="AF265" s="475">
        <f>20718.1</f>
        <v>20718.099999999999</v>
      </c>
      <c r="AG265" s="553"/>
      <c r="AH265" s="553"/>
      <c r="AI265" s="455"/>
    </row>
    <row r="266" spans="1:35" s="370" customFormat="1" x14ac:dyDescent="0.25">
      <c r="A266" s="377"/>
      <c r="B266" s="345"/>
      <c r="C266" s="346"/>
      <c r="D266" s="346"/>
      <c r="E266" s="347"/>
      <c r="F266" s="346"/>
      <c r="G266" s="348"/>
      <c r="H266" s="372"/>
      <c r="I266" s="313"/>
      <c r="J266" s="313"/>
      <c r="K266" s="313"/>
      <c r="L266" s="340"/>
      <c r="M266" s="313"/>
      <c r="N266" s="340"/>
      <c r="O266" s="349"/>
      <c r="P266" s="348"/>
      <c r="Q266" s="350"/>
      <c r="R266" s="354"/>
      <c r="S266" s="354"/>
      <c r="T266" s="354"/>
      <c r="U266" s="354"/>
      <c r="V266" s="354"/>
      <c r="W266" s="372"/>
      <c r="X266" s="519" t="s">
        <v>626</v>
      </c>
      <c r="Y266" s="246" t="s">
        <v>1394</v>
      </c>
      <c r="Z266" s="255" t="s">
        <v>1181</v>
      </c>
      <c r="AA266" s="255">
        <v>10</v>
      </c>
      <c r="AB266" s="256"/>
      <c r="AC266" s="238"/>
      <c r="AD266" s="292">
        <f>AD267</f>
        <v>1957</v>
      </c>
      <c r="AE266" s="475">
        <f t="shared" ref="AD266:AF267" si="54">AE267</f>
        <v>0</v>
      </c>
      <c r="AF266" s="475">
        <f t="shared" si="54"/>
        <v>0</v>
      </c>
      <c r="AG266" s="553"/>
      <c r="AH266" s="553"/>
      <c r="AI266" s="455"/>
    </row>
    <row r="267" spans="1:35" s="370" customFormat="1" x14ac:dyDescent="0.25">
      <c r="A267" s="377"/>
      <c r="B267" s="345"/>
      <c r="C267" s="346"/>
      <c r="D267" s="346"/>
      <c r="E267" s="347"/>
      <c r="F267" s="346"/>
      <c r="G267" s="348"/>
      <c r="H267" s="372"/>
      <c r="I267" s="313"/>
      <c r="J267" s="313"/>
      <c r="K267" s="313"/>
      <c r="L267" s="340"/>
      <c r="M267" s="313"/>
      <c r="N267" s="340"/>
      <c r="O267" s="349"/>
      <c r="P267" s="348"/>
      <c r="Q267" s="350"/>
      <c r="R267" s="354"/>
      <c r="S267" s="354"/>
      <c r="T267" s="354"/>
      <c r="U267" s="354"/>
      <c r="V267" s="354"/>
      <c r="W267" s="372"/>
      <c r="X267" s="548" t="s">
        <v>1957</v>
      </c>
      <c r="Y267" s="246" t="s">
        <v>1394</v>
      </c>
      <c r="Z267" s="255" t="s">
        <v>1181</v>
      </c>
      <c r="AA267" s="255">
        <v>10</v>
      </c>
      <c r="AB267" s="442" t="s">
        <v>1958</v>
      </c>
      <c r="AC267" s="238"/>
      <c r="AD267" s="292">
        <f t="shared" si="54"/>
        <v>1957</v>
      </c>
      <c r="AE267" s="475">
        <f t="shared" si="54"/>
        <v>0</v>
      </c>
      <c r="AF267" s="475">
        <f t="shared" si="54"/>
        <v>0</v>
      </c>
      <c r="AG267" s="553"/>
      <c r="AH267" s="553"/>
      <c r="AI267" s="455"/>
    </row>
    <row r="268" spans="1:35" s="370" customFormat="1" ht="31.5" x14ac:dyDescent="0.25">
      <c r="A268" s="377"/>
      <c r="B268" s="345"/>
      <c r="C268" s="346"/>
      <c r="D268" s="346"/>
      <c r="E268" s="347"/>
      <c r="F268" s="346"/>
      <c r="G268" s="348"/>
      <c r="H268" s="372"/>
      <c r="I268" s="313"/>
      <c r="J268" s="313"/>
      <c r="K268" s="313"/>
      <c r="L268" s="340"/>
      <c r="M268" s="313"/>
      <c r="N268" s="340"/>
      <c r="O268" s="349"/>
      <c r="P268" s="348"/>
      <c r="Q268" s="350"/>
      <c r="R268" s="354"/>
      <c r="S268" s="354"/>
      <c r="T268" s="354"/>
      <c r="U268" s="354"/>
      <c r="V268" s="354"/>
      <c r="W268" s="372"/>
      <c r="X268" s="548" t="s">
        <v>1964</v>
      </c>
      <c r="Y268" s="246" t="s">
        <v>1394</v>
      </c>
      <c r="Z268" s="255" t="s">
        <v>1181</v>
      </c>
      <c r="AA268" s="255">
        <v>10</v>
      </c>
      <c r="AB268" s="442" t="s">
        <v>1965</v>
      </c>
      <c r="AC268" s="586"/>
      <c r="AD268" s="292">
        <f>AD269+AD277+AD273</f>
        <v>1957</v>
      </c>
      <c r="AE268" s="292">
        <f>AE269+AE277+AE273</f>
        <v>0</v>
      </c>
      <c r="AF268" s="292">
        <f>AF269+AF277+AF273</f>
        <v>0</v>
      </c>
      <c r="AG268" s="553"/>
      <c r="AH268" s="553"/>
      <c r="AI268" s="455"/>
    </row>
    <row r="269" spans="1:35" s="370" customFormat="1" x14ac:dyDescent="0.25">
      <c r="A269" s="377"/>
      <c r="B269" s="345"/>
      <c r="C269" s="346"/>
      <c r="D269" s="346"/>
      <c r="E269" s="347"/>
      <c r="F269" s="346"/>
      <c r="G269" s="348"/>
      <c r="H269" s="372"/>
      <c r="I269" s="313"/>
      <c r="J269" s="313"/>
      <c r="K269" s="313"/>
      <c r="L269" s="340"/>
      <c r="M269" s="313"/>
      <c r="N269" s="340"/>
      <c r="O269" s="349"/>
      <c r="P269" s="348"/>
      <c r="Q269" s="350"/>
      <c r="R269" s="354"/>
      <c r="S269" s="354"/>
      <c r="T269" s="354"/>
      <c r="U269" s="354"/>
      <c r="V269" s="354"/>
      <c r="W269" s="372"/>
      <c r="X269" s="548" t="s">
        <v>2352</v>
      </c>
      <c r="Y269" s="246" t="s">
        <v>1394</v>
      </c>
      <c r="Z269" s="255" t="s">
        <v>1181</v>
      </c>
      <c r="AA269" s="255">
        <v>10</v>
      </c>
      <c r="AB269" s="442" t="s">
        <v>2353</v>
      </c>
      <c r="AC269" s="586"/>
      <c r="AD269" s="292">
        <f t="shared" ref="AD269:AF271" si="55">AD270</f>
        <v>1550</v>
      </c>
      <c r="AE269" s="475">
        <f t="shared" si="55"/>
        <v>0</v>
      </c>
      <c r="AF269" s="475">
        <f t="shared" si="55"/>
        <v>0</v>
      </c>
      <c r="AG269" s="553"/>
      <c r="AH269" s="553"/>
      <c r="AI269" s="455"/>
    </row>
    <row r="270" spans="1:35" s="370" customFormat="1" x14ac:dyDescent="0.25">
      <c r="A270" s="377"/>
      <c r="B270" s="345"/>
      <c r="C270" s="346"/>
      <c r="D270" s="346"/>
      <c r="E270" s="347"/>
      <c r="F270" s="346"/>
      <c r="G270" s="348"/>
      <c r="H270" s="372"/>
      <c r="I270" s="313"/>
      <c r="J270" s="313"/>
      <c r="K270" s="313"/>
      <c r="L270" s="340"/>
      <c r="M270" s="313"/>
      <c r="N270" s="340"/>
      <c r="O270" s="349"/>
      <c r="P270" s="348"/>
      <c r="Q270" s="350"/>
      <c r="R270" s="354"/>
      <c r="S270" s="354"/>
      <c r="T270" s="354"/>
      <c r="U270" s="354"/>
      <c r="V270" s="354"/>
      <c r="W270" s="372"/>
      <c r="X270" s="531" t="s">
        <v>2354</v>
      </c>
      <c r="Y270" s="246" t="s">
        <v>1394</v>
      </c>
      <c r="Z270" s="255" t="s">
        <v>1181</v>
      </c>
      <c r="AA270" s="255">
        <v>10</v>
      </c>
      <c r="AB270" s="442" t="s">
        <v>2355</v>
      </c>
      <c r="AC270" s="587"/>
      <c r="AD270" s="292">
        <f t="shared" si="55"/>
        <v>1550</v>
      </c>
      <c r="AE270" s="475">
        <f t="shared" si="55"/>
        <v>0</v>
      </c>
      <c r="AF270" s="475">
        <f t="shared" si="55"/>
        <v>0</v>
      </c>
      <c r="AG270" s="553"/>
      <c r="AH270" s="553"/>
      <c r="AI270" s="455"/>
    </row>
    <row r="271" spans="1:35" s="370" customFormat="1" x14ac:dyDescent="0.25">
      <c r="A271" s="377"/>
      <c r="B271" s="345"/>
      <c r="C271" s="346"/>
      <c r="D271" s="346"/>
      <c r="E271" s="347"/>
      <c r="F271" s="346"/>
      <c r="G271" s="348"/>
      <c r="H271" s="372"/>
      <c r="I271" s="313"/>
      <c r="J271" s="313"/>
      <c r="K271" s="313"/>
      <c r="L271" s="340"/>
      <c r="M271" s="313"/>
      <c r="N271" s="340"/>
      <c r="O271" s="349"/>
      <c r="P271" s="348"/>
      <c r="Q271" s="350"/>
      <c r="R271" s="354"/>
      <c r="S271" s="354"/>
      <c r="T271" s="354"/>
      <c r="U271" s="354"/>
      <c r="V271" s="354"/>
      <c r="W271" s="372"/>
      <c r="X271" s="519" t="s">
        <v>1781</v>
      </c>
      <c r="Y271" s="246" t="s">
        <v>1394</v>
      </c>
      <c r="Z271" s="255" t="s">
        <v>1181</v>
      </c>
      <c r="AA271" s="255">
        <v>10</v>
      </c>
      <c r="AB271" s="442" t="s">
        <v>2355</v>
      </c>
      <c r="AC271" s="238">
        <v>200</v>
      </c>
      <c r="AD271" s="292">
        <f t="shared" si="55"/>
        <v>1550</v>
      </c>
      <c r="AE271" s="475">
        <f t="shared" si="55"/>
        <v>0</v>
      </c>
      <c r="AF271" s="475">
        <f t="shared" si="55"/>
        <v>0</v>
      </c>
      <c r="AG271" s="553"/>
      <c r="AH271" s="553"/>
      <c r="AI271" s="455"/>
    </row>
    <row r="272" spans="1:35" s="370" customFormat="1" ht="31.5" x14ac:dyDescent="0.25">
      <c r="A272" s="377"/>
      <c r="B272" s="345"/>
      <c r="C272" s="346"/>
      <c r="D272" s="346"/>
      <c r="E272" s="347"/>
      <c r="F272" s="346"/>
      <c r="G272" s="348"/>
      <c r="H272" s="372"/>
      <c r="I272" s="313"/>
      <c r="J272" s="313"/>
      <c r="K272" s="313"/>
      <c r="L272" s="340"/>
      <c r="M272" s="313"/>
      <c r="N272" s="340"/>
      <c r="O272" s="349"/>
      <c r="P272" s="348"/>
      <c r="Q272" s="350"/>
      <c r="R272" s="354"/>
      <c r="S272" s="354"/>
      <c r="T272" s="354"/>
      <c r="U272" s="354"/>
      <c r="V272" s="354"/>
      <c r="W272" s="372"/>
      <c r="X272" s="519" t="s">
        <v>1273</v>
      </c>
      <c r="Y272" s="246" t="s">
        <v>1394</v>
      </c>
      <c r="Z272" s="255" t="s">
        <v>1181</v>
      </c>
      <c r="AA272" s="255">
        <v>10</v>
      </c>
      <c r="AB272" s="442" t="s">
        <v>2355</v>
      </c>
      <c r="AC272" s="238">
        <v>240</v>
      </c>
      <c r="AD272" s="292">
        <f>700+400+450</f>
        <v>1550</v>
      </c>
      <c r="AE272" s="475">
        <v>0</v>
      </c>
      <c r="AF272" s="475">
        <v>0</v>
      </c>
      <c r="AG272" s="553"/>
      <c r="AH272" s="553"/>
      <c r="AI272" s="455"/>
    </row>
    <row r="273" spans="1:35" s="370" customFormat="1" x14ac:dyDescent="0.25">
      <c r="A273" s="377"/>
      <c r="B273" s="345"/>
      <c r="C273" s="346"/>
      <c r="D273" s="346"/>
      <c r="E273" s="347"/>
      <c r="F273" s="346"/>
      <c r="G273" s="348"/>
      <c r="H273" s="372"/>
      <c r="I273" s="313"/>
      <c r="J273" s="313"/>
      <c r="K273" s="313"/>
      <c r="L273" s="340"/>
      <c r="M273" s="313"/>
      <c r="N273" s="340"/>
      <c r="O273" s="349"/>
      <c r="P273" s="348"/>
      <c r="Q273" s="350"/>
      <c r="R273" s="354"/>
      <c r="S273" s="354"/>
      <c r="T273" s="354"/>
      <c r="U273" s="354"/>
      <c r="V273" s="354"/>
      <c r="W273" s="372"/>
      <c r="X273" s="548" t="s">
        <v>2403</v>
      </c>
      <c r="Y273" s="246" t="s">
        <v>1394</v>
      </c>
      <c r="Z273" s="255" t="s">
        <v>1181</v>
      </c>
      <c r="AA273" s="255">
        <v>10</v>
      </c>
      <c r="AB273" s="442" t="s">
        <v>2404</v>
      </c>
      <c r="AC273" s="238"/>
      <c r="AD273" s="292">
        <f t="shared" ref="AD273:AF275" si="56">AD274</f>
        <v>110</v>
      </c>
      <c r="AE273" s="475">
        <f t="shared" si="56"/>
        <v>0</v>
      </c>
      <c r="AF273" s="475">
        <f t="shared" si="56"/>
        <v>0</v>
      </c>
      <c r="AG273" s="553"/>
      <c r="AH273" s="553"/>
      <c r="AI273" s="455"/>
    </row>
    <row r="274" spans="1:35" s="370" customFormat="1" x14ac:dyDescent="0.25">
      <c r="A274" s="377"/>
      <c r="B274" s="345"/>
      <c r="C274" s="346"/>
      <c r="D274" s="346"/>
      <c r="E274" s="347"/>
      <c r="F274" s="346"/>
      <c r="G274" s="348"/>
      <c r="H274" s="372"/>
      <c r="I274" s="313"/>
      <c r="J274" s="313"/>
      <c r="K274" s="313"/>
      <c r="L274" s="340"/>
      <c r="M274" s="313"/>
      <c r="N274" s="340"/>
      <c r="O274" s="349"/>
      <c r="P274" s="348"/>
      <c r="Q274" s="350"/>
      <c r="R274" s="354"/>
      <c r="S274" s="354"/>
      <c r="T274" s="354"/>
      <c r="U274" s="354"/>
      <c r="V274" s="354"/>
      <c r="W274" s="372"/>
      <c r="X274" s="531" t="s">
        <v>2405</v>
      </c>
      <c r="Y274" s="246" t="s">
        <v>1394</v>
      </c>
      <c r="Z274" s="255" t="s">
        <v>1181</v>
      </c>
      <c r="AA274" s="255">
        <v>10</v>
      </c>
      <c r="AB274" s="442" t="s">
        <v>2406</v>
      </c>
      <c r="AC274" s="238"/>
      <c r="AD274" s="292">
        <f t="shared" si="56"/>
        <v>110</v>
      </c>
      <c r="AE274" s="475">
        <f t="shared" si="56"/>
        <v>0</v>
      </c>
      <c r="AF274" s="475">
        <f t="shared" si="56"/>
        <v>0</v>
      </c>
      <c r="AG274" s="553"/>
      <c r="AH274" s="553"/>
      <c r="AI274" s="455"/>
    </row>
    <row r="275" spans="1:35" s="370" customFormat="1" x14ac:dyDescent="0.25">
      <c r="A275" s="377"/>
      <c r="B275" s="345"/>
      <c r="C275" s="346"/>
      <c r="D275" s="346"/>
      <c r="E275" s="347"/>
      <c r="F275" s="346"/>
      <c r="G275" s="348"/>
      <c r="H275" s="372"/>
      <c r="I275" s="313"/>
      <c r="J275" s="313"/>
      <c r="K275" s="313"/>
      <c r="L275" s="340"/>
      <c r="M275" s="313"/>
      <c r="N275" s="340"/>
      <c r="O275" s="349"/>
      <c r="P275" s="348"/>
      <c r="Q275" s="350"/>
      <c r="R275" s="354"/>
      <c r="S275" s="354"/>
      <c r="T275" s="354"/>
      <c r="U275" s="354"/>
      <c r="V275" s="354"/>
      <c r="W275" s="372"/>
      <c r="X275" s="519" t="s">
        <v>1781</v>
      </c>
      <c r="Y275" s="246" t="s">
        <v>1394</v>
      </c>
      <c r="Z275" s="255" t="s">
        <v>1181</v>
      </c>
      <c r="AA275" s="255">
        <v>10</v>
      </c>
      <c r="AB275" s="442" t="s">
        <v>2406</v>
      </c>
      <c r="AC275" s="238">
        <v>200</v>
      </c>
      <c r="AD275" s="292">
        <f t="shared" si="56"/>
        <v>110</v>
      </c>
      <c r="AE275" s="475">
        <f t="shared" si="56"/>
        <v>0</v>
      </c>
      <c r="AF275" s="475">
        <f t="shared" si="56"/>
        <v>0</v>
      </c>
      <c r="AG275" s="553"/>
      <c r="AH275" s="553"/>
      <c r="AI275" s="455"/>
    </row>
    <row r="276" spans="1:35" s="370" customFormat="1" ht="31.5" x14ac:dyDescent="0.25">
      <c r="A276" s="377"/>
      <c r="B276" s="345"/>
      <c r="C276" s="346"/>
      <c r="D276" s="346"/>
      <c r="E276" s="347"/>
      <c r="F276" s="346"/>
      <c r="G276" s="348"/>
      <c r="H276" s="372"/>
      <c r="I276" s="313"/>
      <c r="J276" s="313"/>
      <c r="K276" s="313"/>
      <c r="L276" s="340"/>
      <c r="M276" s="313"/>
      <c r="N276" s="340"/>
      <c r="O276" s="349"/>
      <c r="P276" s="348"/>
      <c r="Q276" s="350"/>
      <c r="R276" s="354"/>
      <c r="S276" s="354"/>
      <c r="T276" s="354"/>
      <c r="U276" s="354"/>
      <c r="V276" s="354"/>
      <c r="W276" s="372"/>
      <c r="X276" s="519" t="s">
        <v>1273</v>
      </c>
      <c r="Y276" s="246" t="s">
        <v>1394</v>
      </c>
      <c r="Z276" s="255" t="s">
        <v>1181</v>
      </c>
      <c r="AA276" s="255">
        <v>10</v>
      </c>
      <c r="AB276" s="442" t="s">
        <v>2406</v>
      </c>
      <c r="AC276" s="238">
        <v>240</v>
      </c>
      <c r="AD276" s="292">
        <v>110</v>
      </c>
      <c r="AE276" s="475">
        <v>0</v>
      </c>
      <c r="AF276" s="475">
        <v>0</v>
      </c>
      <c r="AG276" s="553"/>
      <c r="AH276" s="553"/>
      <c r="AI276" s="455"/>
    </row>
    <row r="277" spans="1:35" s="370" customFormat="1" x14ac:dyDescent="0.25">
      <c r="A277" s="377"/>
      <c r="B277" s="345"/>
      <c r="C277" s="346"/>
      <c r="D277" s="346"/>
      <c r="E277" s="347"/>
      <c r="F277" s="346"/>
      <c r="G277" s="348"/>
      <c r="H277" s="372"/>
      <c r="I277" s="313"/>
      <c r="J277" s="313"/>
      <c r="K277" s="313"/>
      <c r="L277" s="340"/>
      <c r="M277" s="313"/>
      <c r="N277" s="340"/>
      <c r="O277" s="349"/>
      <c r="P277" s="348"/>
      <c r="Q277" s="350"/>
      <c r="R277" s="354"/>
      <c r="S277" s="354"/>
      <c r="T277" s="354"/>
      <c r="U277" s="354"/>
      <c r="V277" s="354"/>
      <c r="W277" s="372"/>
      <c r="X277" s="548" t="s">
        <v>2358</v>
      </c>
      <c r="Y277" s="246" t="s">
        <v>1394</v>
      </c>
      <c r="Z277" s="255" t="s">
        <v>1181</v>
      </c>
      <c r="AA277" s="255">
        <v>10</v>
      </c>
      <c r="AB277" s="442" t="s">
        <v>2359</v>
      </c>
      <c r="AC277" s="238"/>
      <c r="AD277" s="292">
        <f t="shared" ref="AD277:AF279" si="57">AD278</f>
        <v>297</v>
      </c>
      <c r="AE277" s="475">
        <f t="shared" si="57"/>
        <v>0</v>
      </c>
      <c r="AF277" s="475">
        <f t="shared" si="57"/>
        <v>0</v>
      </c>
      <c r="AG277" s="553"/>
      <c r="AH277" s="553"/>
      <c r="AI277" s="455"/>
    </row>
    <row r="278" spans="1:35" s="370" customFormat="1" x14ac:dyDescent="0.25">
      <c r="A278" s="377"/>
      <c r="B278" s="345"/>
      <c r="C278" s="346"/>
      <c r="D278" s="346"/>
      <c r="E278" s="347"/>
      <c r="F278" s="346"/>
      <c r="G278" s="348"/>
      <c r="H278" s="372"/>
      <c r="I278" s="313"/>
      <c r="J278" s="313"/>
      <c r="K278" s="313"/>
      <c r="L278" s="340"/>
      <c r="M278" s="313"/>
      <c r="N278" s="340"/>
      <c r="O278" s="349"/>
      <c r="P278" s="348"/>
      <c r="Q278" s="350"/>
      <c r="R278" s="354"/>
      <c r="S278" s="354"/>
      <c r="T278" s="354"/>
      <c r="U278" s="354"/>
      <c r="V278" s="354"/>
      <c r="W278" s="372"/>
      <c r="X278" s="531" t="s">
        <v>2360</v>
      </c>
      <c r="Y278" s="246" t="s">
        <v>1394</v>
      </c>
      <c r="Z278" s="255" t="s">
        <v>1181</v>
      </c>
      <c r="AA278" s="255">
        <v>10</v>
      </c>
      <c r="AB278" s="442" t="s">
        <v>2361</v>
      </c>
      <c r="AC278" s="238"/>
      <c r="AD278" s="292">
        <f t="shared" si="57"/>
        <v>297</v>
      </c>
      <c r="AE278" s="475">
        <f t="shared" si="57"/>
        <v>0</v>
      </c>
      <c r="AF278" s="475">
        <f t="shared" si="57"/>
        <v>0</v>
      </c>
      <c r="AG278" s="553"/>
      <c r="AH278" s="553"/>
      <c r="AI278" s="455"/>
    </row>
    <row r="279" spans="1:35" s="370" customFormat="1" x14ac:dyDescent="0.25">
      <c r="A279" s="377"/>
      <c r="B279" s="345"/>
      <c r="C279" s="346"/>
      <c r="D279" s="346"/>
      <c r="E279" s="347"/>
      <c r="F279" s="346"/>
      <c r="G279" s="348"/>
      <c r="H279" s="372"/>
      <c r="I279" s="313"/>
      <c r="J279" s="313"/>
      <c r="K279" s="313"/>
      <c r="L279" s="340"/>
      <c r="M279" s="313"/>
      <c r="N279" s="340"/>
      <c r="O279" s="349"/>
      <c r="P279" s="348"/>
      <c r="Q279" s="350"/>
      <c r="R279" s="354"/>
      <c r="S279" s="354"/>
      <c r="T279" s="354"/>
      <c r="U279" s="354"/>
      <c r="V279" s="354"/>
      <c r="W279" s="372"/>
      <c r="X279" s="519" t="s">
        <v>1781</v>
      </c>
      <c r="Y279" s="246" t="s">
        <v>1394</v>
      </c>
      <c r="Z279" s="255" t="s">
        <v>1181</v>
      </c>
      <c r="AA279" s="255">
        <v>10</v>
      </c>
      <c r="AB279" s="442" t="s">
        <v>2361</v>
      </c>
      <c r="AC279" s="238">
        <v>200</v>
      </c>
      <c r="AD279" s="292">
        <f t="shared" si="57"/>
        <v>297</v>
      </c>
      <c r="AE279" s="475">
        <f t="shared" si="57"/>
        <v>0</v>
      </c>
      <c r="AF279" s="475">
        <f t="shared" si="57"/>
        <v>0</v>
      </c>
      <c r="AG279" s="553"/>
      <c r="AH279" s="553"/>
      <c r="AI279" s="455"/>
    </row>
    <row r="280" spans="1:35" s="370" customFormat="1" ht="31.5" x14ac:dyDescent="0.25">
      <c r="A280" s="377"/>
      <c r="B280" s="345"/>
      <c r="C280" s="346"/>
      <c r="D280" s="346"/>
      <c r="E280" s="347"/>
      <c r="F280" s="346"/>
      <c r="G280" s="348"/>
      <c r="H280" s="372"/>
      <c r="I280" s="313"/>
      <c r="J280" s="313"/>
      <c r="K280" s="313"/>
      <c r="L280" s="340"/>
      <c r="M280" s="313"/>
      <c r="N280" s="340"/>
      <c r="O280" s="349"/>
      <c r="P280" s="348"/>
      <c r="Q280" s="350"/>
      <c r="R280" s="354"/>
      <c r="S280" s="354"/>
      <c r="T280" s="354"/>
      <c r="U280" s="354"/>
      <c r="V280" s="354"/>
      <c r="W280" s="372"/>
      <c r="X280" s="519" t="s">
        <v>1273</v>
      </c>
      <c r="Y280" s="246" t="s">
        <v>1394</v>
      </c>
      <c r="Z280" s="255" t="s">
        <v>1181</v>
      </c>
      <c r="AA280" s="255">
        <v>10</v>
      </c>
      <c r="AB280" s="442" t="s">
        <v>2361</v>
      </c>
      <c r="AC280" s="238">
        <v>240</v>
      </c>
      <c r="AD280" s="292">
        <f>300-3</f>
        <v>297</v>
      </c>
      <c r="AE280" s="475">
        <v>0</v>
      </c>
      <c r="AF280" s="475">
        <v>0</v>
      </c>
      <c r="AG280" s="553"/>
      <c r="AH280" s="553"/>
      <c r="AI280" s="455"/>
    </row>
    <row r="281" spans="1:35" s="370" customFormat="1" x14ac:dyDescent="0.25">
      <c r="A281" s="378"/>
      <c r="B281" s="283"/>
      <c r="C281" s="235"/>
      <c r="D281" s="235"/>
      <c r="E281" s="236"/>
      <c r="F281" s="236"/>
      <c r="G281" s="379"/>
      <c r="H281" s="372"/>
      <c r="I281" s="313"/>
      <c r="J281" s="313"/>
      <c r="K281" s="313"/>
      <c r="L281" s="340"/>
      <c r="M281" s="313"/>
      <c r="N281" s="340"/>
      <c r="O281" s="349"/>
      <c r="P281" s="348"/>
      <c r="Q281" s="350"/>
      <c r="R281" s="354"/>
      <c r="S281" s="354"/>
      <c r="T281" s="354"/>
      <c r="U281" s="354"/>
      <c r="V281" s="354"/>
      <c r="W281" s="372"/>
      <c r="X281" s="519" t="s">
        <v>1253</v>
      </c>
      <c r="Y281" s="246" t="s">
        <v>1394</v>
      </c>
      <c r="Z281" s="235" t="s">
        <v>1181</v>
      </c>
      <c r="AA281" s="235">
        <v>12</v>
      </c>
      <c r="AB281" s="267"/>
      <c r="AC281" s="238"/>
      <c r="AD281" s="292">
        <f>AD282</f>
        <v>326</v>
      </c>
      <c r="AE281" s="292">
        <f t="shared" ref="AE281:AF281" si="58">AE282</f>
        <v>326</v>
      </c>
      <c r="AF281" s="292">
        <f t="shared" si="58"/>
        <v>326</v>
      </c>
      <c r="AG281" s="553"/>
      <c r="AH281" s="553"/>
      <c r="AI281" s="455"/>
    </row>
    <row r="282" spans="1:35" s="370" customFormat="1" ht="31.5" x14ac:dyDescent="0.25">
      <c r="A282" s="311"/>
      <c r="B282" s="345"/>
      <c r="C282" s="346"/>
      <c r="D282" s="346"/>
      <c r="E282" s="347"/>
      <c r="F282" s="347"/>
      <c r="G282" s="351"/>
      <c r="H282" s="372"/>
      <c r="I282" s="313"/>
      <c r="J282" s="313"/>
      <c r="K282" s="313"/>
      <c r="L282" s="340"/>
      <c r="M282" s="313"/>
      <c r="N282" s="340"/>
      <c r="O282" s="349"/>
      <c r="P282" s="348"/>
      <c r="Q282" s="350"/>
      <c r="R282" s="354"/>
      <c r="S282" s="354"/>
      <c r="T282" s="354"/>
      <c r="U282" s="354"/>
      <c r="V282" s="354"/>
      <c r="W282" s="372"/>
      <c r="X282" s="548" t="s">
        <v>1853</v>
      </c>
      <c r="Y282" s="246" t="s">
        <v>1394</v>
      </c>
      <c r="Z282" s="235" t="s">
        <v>1181</v>
      </c>
      <c r="AA282" s="235">
        <v>12</v>
      </c>
      <c r="AB282" s="249" t="s">
        <v>1761</v>
      </c>
      <c r="AC282" s="238"/>
      <c r="AD282" s="292">
        <f t="shared" ref="AD282:AF283" si="59">AD283</f>
        <v>326</v>
      </c>
      <c r="AE282" s="475">
        <f t="shared" si="59"/>
        <v>326</v>
      </c>
      <c r="AF282" s="475">
        <f t="shared" si="59"/>
        <v>326</v>
      </c>
      <c r="AG282" s="553"/>
      <c r="AH282" s="553"/>
      <c r="AI282" s="455"/>
    </row>
    <row r="283" spans="1:35" s="370" customFormat="1" x14ac:dyDescent="0.25">
      <c r="A283" s="311"/>
      <c r="B283" s="345"/>
      <c r="C283" s="346"/>
      <c r="D283" s="346"/>
      <c r="E283" s="347"/>
      <c r="F283" s="347"/>
      <c r="G283" s="351"/>
      <c r="H283" s="372"/>
      <c r="I283" s="313"/>
      <c r="J283" s="313"/>
      <c r="K283" s="313"/>
      <c r="L283" s="340"/>
      <c r="M283" s="313"/>
      <c r="N283" s="340"/>
      <c r="O283" s="349"/>
      <c r="P283" s="348"/>
      <c r="Q283" s="350"/>
      <c r="R283" s="354"/>
      <c r="S283" s="354"/>
      <c r="T283" s="354"/>
      <c r="U283" s="354"/>
      <c r="V283" s="354"/>
      <c r="W283" s="372"/>
      <c r="X283" s="548" t="s">
        <v>1854</v>
      </c>
      <c r="Y283" s="246" t="s">
        <v>1394</v>
      </c>
      <c r="Z283" s="235" t="s">
        <v>1181</v>
      </c>
      <c r="AA283" s="235">
        <v>12</v>
      </c>
      <c r="AB283" s="249" t="s">
        <v>1765</v>
      </c>
      <c r="AC283" s="238"/>
      <c r="AD283" s="292">
        <f t="shared" si="59"/>
        <v>326</v>
      </c>
      <c r="AE283" s="475">
        <f t="shared" si="59"/>
        <v>326</v>
      </c>
      <c r="AF283" s="475">
        <f t="shared" si="59"/>
        <v>326</v>
      </c>
      <c r="AG283" s="553"/>
      <c r="AH283" s="553"/>
      <c r="AI283" s="455"/>
    </row>
    <row r="284" spans="1:35" s="370" customFormat="1" x14ac:dyDescent="0.25">
      <c r="A284" s="311"/>
      <c r="B284" s="345"/>
      <c r="C284" s="346"/>
      <c r="D284" s="346"/>
      <c r="E284" s="347"/>
      <c r="F284" s="347"/>
      <c r="G284" s="351"/>
      <c r="H284" s="372"/>
      <c r="I284" s="313"/>
      <c r="J284" s="313"/>
      <c r="K284" s="313"/>
      <c r="L284" s="340"/>
      <c r="M284" s="313"/>
      <c r="N284" s="340"/>
      <c r="O284" s="349"/>
      <c r="P284" s="348"/>
      <c r="Q284" s="350"/>
      <c r="R284" s="354"/>
      <c r="S284" s="354"/>
      <c r="T284" s="354"/>
      <c r="U284" s="354"/>
      <c r="V284" s="354"/>
      <c r="W284" s="372"/>
      <c r="X284" s="529" t="s">
        <v>2280</v>
      </c>
      <c r="Y284" s="246" t="s">
        <v>1394</v>
      </c>
      <c r="Z284" s="235" t="s">
        <v>1181</v>
      </c>
      <c r="AA284" s="235">
        <v>12</v>
      </c>
      <c r="AB284" s="249" t="s">
        <v>2204</v>
      </c>
      <c r="AC284" s="579"/>
      <c r="AD284" s="292">
        <f>AD285+AD288</f>
        <v>326</v>
      </c>
      <c r="AE284" s="475">
        <f>AE285+AE288</f>
        <v>326</v>
      </c>
      <c r="AF284" s="475">
        <f>AF285+AF288</f>
        <v>326</v>
      </c>
      <c r="AG284" s="553"/>
      <c r="AH284" s="553"/>
      <c r="AI284" s="455"/>
    </row>
    <row r="285" spans="1:35" s="370" customFormat="1" x14ac:dyDescent="0.25">
      <c r="A285" s="311"/>
      <c r="B285" s="345"/>
      <c r="C285" s="346"/>
      <c r="D285" s="346"/>
      <c r="E285" s="347"/>
      <c r="F285" s="347"/>
      <c r="G285" s="351"/>
      <c r="H285" s="372"/>
      <c r="I285" s="313"/>
      <c r="J285" s="313"/>
      <c r="K285" s="313"/>
      <c r="L285" s="340"/>
      <c r="M285" s="313"/>
      <c r="N285" s="340"/>
      <c r="O285" s="349"/>
      <c r="P285" s="348"/>
      <c r="Q285" s="350"/>
      <c r="R285" s="354"/>
      <c r="S285" s="354"/>
      <c r="T285" s="354"/>
      <c r="U285" s="354"/>
      <c r="V285" s="354"/>
      <c r="W285" s="372"/>
      <c r="X285" s="529" t="s">
        <v>1985</v>
      </c>
      <c r="Y285" s="246" t="s">
        <v>1394</v>
      </c>
      <c r="Z285" s="235" t="s">
        <v>1181</v>
      </c>
      <c r="AA285" s="235">
        <v>12</v>
      </c>
      <c r="AB285" s="442" t="s">
        <v>2203</v>
      </c>
      <c r="AC285" s="576"/>
      <c r="AD285" s="292">
        <f t="shared" ref="AD285:AF286" si="60">AD286</f>
        <v>75</v>
      </c>
      <c r="AE285" s="475">
        <f t="shared" si="60"/>
        <v>75</v>
      </c>
      <c r="AF285" s="475">
        <f t="shared" si="60"/>
        <v>75</v>
      </c>
      <c r="AG285" s="553"/>
      <c r="AH285" s="553"/>
      <c r="AI285" s="455"/>
    </row>
    <row r="286" spans="1:35" s="370" customFormat="1" x14ac:dyDescent="0.25">
      <c r="A286" s="311"/>
      <c r="B286" s="345"/>
      <c r="C286" s="346"/>
      <c r="D286" s="346"/>
      <c r="E286" s="347"/>
      <c r="F286" s="347"/>
      <c r="G286" s="351"/>
      <c r="H286" s="372"/>
      <c r="I286" s="313"/>
      <c r="J286" s="313"/>
      <c r="K286" s="313"/>
      <c r="L286" s="340"/>
      <c r="M286" s="313"/>
      <c r="N286" s="340"/>
      <c r="O286" s="349"/>
      <c r="P286" s="348"/>
      <c r="Q286" s="350"/>
      <c r="R286" s="354"/>
      <c r="S286" s="354"/>
      <c r="T286" s="354"/>
      <c r="U286" s="354"/>
      <c r="V286" s="354"/>
      <c r="W286" s="372"/>
      <c r="X286" s="519" t="s">
        <v>1781</v>
      </c>
      <c r="Y286" s="246" t="s">
        <v>1394</v>
      </c>
      <c r="Z286" s="235" t="s">
        <v>1181</v>
      </c>
      <c r="AA286" s="235">
        <v>12</v>
      </c>
      <c r="AB286" s="442" t="s">
        <v>2203</v>
      </c>
      <c r="AC286" s="238">
        <v>200</v>
      </c>
      <c r="AD286" s="292">
        <f t="shared" si="60"/>
        <v>75</v>
      </c>
      <c r="AE286" s="475">
        <f t="shared" si="60"/>
        <v>75</v>
      </c>
      <c r="AF286" s="475">
        <f t="shared" si="60"/>
        <v>75</v>
      </c>
      <c r="AG286" s="553"/>
      <c r="AH286" s="553"/>
      <c r="AI286" s="455"/>
    </row>
    <row r="287" spans="1:35" s="370" customFormat="1" ht="31.5" x14ac:dyDescent="0.25">
      <c r="A287" s="311"/>
      <c r="B287" s="345"/>
      <c r="C287" s="346"/>
      <c r="D287" s="346"/>
      <c r="E287" s="347"/>
      <c r="F287" s="347"/>
      <c r="G287" s="351"/>
      <c r="H287" s="372"/>
      <c r="I287" s="313"/>
      <c r="J287" s="313"/>
      <c r="K287" s="313"/>
      <c r="L287" s="340"/>
      <c r="M287" s="313"/>
      <c r="N287" s="340"/>
      <c r="O287" s="349"/>
      <c r="P287" s="348"/>
      <c r="Q287" s="350"/>
      <c r="R287" s="354"/>
      <c r="S287" s="354"/>
      <c r="T287" s="354"/>
      <c r="U287" s="354"/>
      <c r="V287" s="354"/>
      <c r="W287" s="372"/>
      <c r="X287" s="519" t="s">
        <v>1273</v>
      </c>
      <c r="Y287" s="246" t="s">
        <v>1394</v>
      </c>
      <c r="Z287" s="235" t="s">
        <v>1181</v>
      </c>
      <c r="AA287" s="235">
        <v>12</v>
      </c>
      <c r="AB287" s="442" t="s">
        <v>2203</v>
      </c>
      <c r="AC287" s="238">
        <v>240</v>
      </c>
      <c r="AD287" s="292">
        <v>75</v>
      </c>
      <c r="AE287" s="475">
        <v>75</v>
      </c>
      <c r="AF287" s="475">
        <v>75</v>
      </c>
      <c r="AG287" s="553"/>
      <c r="AH287" s="553"/>
      <c r="AI287" s="455"/>
    </row>
    <row r="288" spans="1:35" s="370" customFormat="1" ht="47.25" x14ac:dyDescent="0.25">
      <c r="A288" s="311"/>
      <c r="B288" s="345"/>
      <c r="C288" s="346"/>
      <c r="D288" s="346"/>
      <c r="E288" s="347"/>
      <c r="F288" s="347"/>
      <c r="G288" s="351"/>
      <c r="H288" s="372"/>
      <c r="I288" s="313"/>
      <c r="J288" s="313"/>
      <c r="K288" s="313"/>
      <c r="L288" s="340"/>
      <c r="M288" s="313"/>
      <c r="N288" s="340"/>
      <c r="O288" s="349"/>
      <c r="P288" s="348"/>
      <c r="Q288" s="350"/>
      <c r="R288" s="354"/>
      <c r="S288" s="354"/>
      <c r="T288" s="354"/>
      <c r="U288" s="354"/>
      <c r="V288" s="354"/>
      <c r="W288" s="372"/>
      <c r="X288" s="519" t="s">
        <v>2282</v>
      </c>
      <c r="Y288" s="246" t="s">
        <v>1394</v>
      </c>
      <c r="Z288" s="235" t="s">
        <v>1181</v>
      </c>
      <c r="AA288" s="235">
        <v>12</v>
      </c>
      <c r="AB288" s="249" t="s">
        <v>2281</v>
      </c>
      <c r="AC288" s="238"/>
      <c r="AD288" s="292">
        <f t="shared" ref="AD288:AF289" si="61">AD289</f>
        <v>251</v>
      </c>
      <c r="AE288" s="475">
        <f t="shared" si="61"/>
        <v>251</v>
      </c>
      <c r="AF288" s="475">
        <f t="shared" si="61"/>
        <v>251</v>
      </c>
      <c r="AG288" s="553"/>
      <c r="AH288" s="553"/>
      <c r="AI288" s="455"/>
    </row>
    <row r="289" spans="1:35" s="370" customFormat="1" x14ac:dyDescent="0.25">
      <c r="A289" s="311"/>
      <c r="B289" s="345"/>
      <c r="C289" s="346"/>
      <c r="D289" s="346"/>
      <c r="E289" s="347"/>
      <c r="F289" s="347"/>
      <c r="G289" s="351"/>
      <c r="H289" s="372"/>
      <c r="I289" s="313"/>
      <c r="J289" s="313"/>
      <c r="K289" s="313"/>
      <c r="L289" s="340"/>
      <c r="M289" s="313"/>
      <c r="N289" s="340"/>
      <c r="O289" s="349"/>
      <c r="P289" s="348"/>
      <c r="Q289" s="350"/>
      <c r="R289" s="354"/>
      <c r="S289" s="354"/>
      <c r="T289" s="354"/>
      <c r="U289" s="354"/>
      <c r="V289" s="354"/>
      <c r="W289" s="372"/>
      <c r="X289" s="519" t="s">
        <v>1781</v>
      </c>
      <c r="Y289" s="246" t="s">
        <v>1394</v>
      </c>
      <c r="Z289" s="235" t="s">
        <v>1181</v>
      </c>
      <c r="AA289" s="235">
        <v>12</v>
      </c>
      <c r="AB289" s="249" t="s">
        <v>2281</v>
      </c>
      <c r="AC289" s="238">
        <v>200</v>
      </c>
      <c r="AD289" s="292">
        <f t="shared" si="61"/>
        <v>251</v>
      </c>
      <c r="AE289" s="475">
        <f t="shared" si="61"/>
        <v>251</v>
      </c>
      <c r="AF289" s="475">
        <f t="shared" si="61"/>
        <v>251</v>
      </c>
      <c r="AG289" s="553"/>
      <c r="AH289" s="553"/>
      <c r="AI289" s="455"/>
    </row>
    <row r="290" spans="1:35" s="370" customFormat="1" ht="31.5" x14ac:dyDescent="0.25">
      <c r="A290" s="311"/>
      <c r="B290" s="345"/>
      <c r="C290" s="346"/>
      <c r="D290" s="346"/>
      <c r="E290" s="347"/>
      <c r="F290" s="347"/>
      <c r="G290" s="351"/>
      <c r="H290" s="372"/>
      <c r="I290" s="313"/>
      <c r="J290" s="313"/>
      <c r="K290" s="313"/>
      <c r="L290" s="340"/>
      <c r="M290" s="313"/>
      <c r="N290" s="340"/>
      <c r="O290" s="349"/>
      <c r="P290" s="348"/>
      <c r="Q290" s="350"/>
      <c r="R290" s="354"/>
      <c r="S290" s="354"/>
      <c r="T290" s="354"/>
      <c r="U290" s="354"/>
      <c r="V290" s="354"/>
      <c r="W290" s="372"/>
      <c r="X290" s="519" t="s">
        <v>1273</v>
      </c>
      <c r="Y290" s="246" t="s">
        <v>1394</v>
      </c>
      <c r="Z290" s="235" t="s">
        <v>1181</v>
      </c>
      <c r="AA290" s="235">
        <v>12</v>
      </c>
      <c r="AB290" s="249" t="s">
        <v>2281</v>
      </c>
      <c r="AC290" s="238">
        <v>240</v>
      </c>
      <c r="AD290" s="292">
        <v>251</v>
      </c>
      <c r="AE290" s="475">
        <v>251</v>
      </c>
      <c r="AF290" s="475">
        <v>251</v>
      </c>
      <c r="AG290" s="553"/>
      <c r="AH290" s="553"/>
      <c r="AI290" s="455"/>
    </row>
    <row r="291" spans="1:35" s="344" customFormat="1" x14ac:dyDescent="0.25">
      <c r="A291" s="381"/>
      <c r="B291" s="336"/>
      <c r="C291" s="338"/>
      <c r="D291" s="338"/>
      <c r="E291" s="339"/>
      <c r="F291" s="338"/>
      <c r="G291" s="343"/>
      <c r="H291" s="382"/>
      <c r="I291" s="383"/>
      <c r="J291" s="383"/>
      <c r="K291" s="383"/>
      <c r="L291" s="340"/>
      <c r="M291" s="383"/>
      <c r="N291" s="340"/>
      <c r="O291" s="384"/>
      <c r="P291" s="340"/>
      <c r="Q291" s="342"/>
      <c r="R291" s="362"/>
      <c r="S291" s="362"/>
      <c r="T291" s="362"/>
      <c r="U291" s="362"/>
      <c r="V291" s="362"/>
      <c r="W291" s="382"/>
      <c r="X291" s="558" t="s">
        <v>173</v>
      </c>
      <c r="Y291" s="574" t="s">
        <v>1394</v>
      </c>
      <c r="Z291" s="247" t="s">
        <v>175</v>
      </c>
      <c r="AA291" s="247"/>
      <c r="AB291" s="271"/>
      <c r="AC291" s="588"/>
      <c r="AD291" s="733">
        <f>AD292+AD316+AD350+AD308</f>
        <v>53762.7</v>
      </c>
      <c r="AE291" s="733">
        <f>AE292+AE316+AE350</f>
        <v>42686.7</v>
      </c>
      <c r="AF291" s="733">
        <f>AF292+AF316+AF350</f>
        <v>33289.699999999997</v>
      </c>
      <c r="AG291" s="640"/>
      <c r="AH291" s="640"/>
      <c r="AI291" s="455"/>
    </row>
    <row r="292" spans="1:35" s="344" customFormat="1" x14ac:dyDescent="0.25">
      <c r="A292" s="381"/>
      <c r="B292" s="336"/>
      <c r="C292" s="338"/>
      <c r="D292" s="338"/>
      <c r="E292" s="339"/>
      <c r="F292" s="338"/>
      <c r="G292" s="343"/>
      <c r="H292" s="382"/>
      <c r="I292" s="383"/>
      <c r="J292" s="383"/>
      <c r="K292" s="383"/>
      <c r="L292" s="340"/>
      <c r="M292" s="383"/>
      <c r="N292" s="340"/>
      <c r="O292" s="384"/>
      <c r="P292" s="340"/>
      <c r="Q292" s="342"/>
      <c r="R292" s="362"/>
      <c r="S292" s="362"/>
      <c r="T292" s="362"/>
      <c r="U292" s="362"/>
      <c r="V292" s="362"/>
      <c r="W292" s="382"/>
      <c r="X292" s="519" t="s">
        <v>1591</v>
      </c>
      <c r="Y292" s="246" t="s">
        <v>1394</v>
      </c>
      <c r="Z292" s="235" t="s">
        <v>175</v>
      </c>
      <c r="AA292" s="235" t="s">
        <v>566</v>
      </c>
      <c r="AB292" s="249"/>
      <c r="AC292" s="588"/>
      <c r="AD292" s="292">
        <f>AD293+AD299</f>
        <v>13768.1</v>
      </c>
      <c r="AE292" s="292">
        <f t="shared" ref="AE292:AF292" si="62">AE293+AE299</f>
        <v>10002.1</v>
      </c>
      <c r="AF292" s="292">
        <f t="shared" si="62"/>
        <v>10002.1</v>
      </c>
      <c r="AG292" s="553"/>
      <c r="AH292" s="553"/>
      <c r="AI292" s="455"/>
    </row>
    <row r="293" spans="1:35" s="344" customFormat="1" x14ac:dyDescent="0.25">
      <c r="A293" s="381"/>
      <c r="B293" s="336"/>
      <c r="C293" s="338"/>
      <c r="D293" s="338"/>
      <c r="E293" s="339"/>
      <c r="F293" s="338"/>
      <c r="G293" s="343"/>
      <c r="H293" s="382"/>
      <c r="I293" s="383"/>
      <c r="J293" s="383"/>
      <c r="K293" s="383"/>
      <c r="L293" s="340"/>
      <c r="M293" s="383"/>
      <c r="N293" s="340"/>
      <c r="O293" s="384"/>
      <c r="P293" s="340"/>
      <c r="Q293" s="342"/>
      <c r="R293" s="362"/>
      <c r="S293" s="362"/>
      <c r="T293" s="362"/>
      <c r="U293" s="362"/>
      <c r="V293" s="362"/>
      <c r="W293" s="382"/>
      <c r="X293" s="548" t="s">
        <v>1898</v>
      </c>
      <c r="Y293" s="246" t="s">
        <v>1394</v>
      </c>
      <c r="Z293" s="235" t="s">
        <v>175</v>
      </c>
      <c r="AA293" s="235" t="s">
        <v>566</v>
      </c>
      <c r="AB293" s="442" t="s">
        <v>1771</v>
      </c>
      <c r="AC293" s="588"/>
      <c r="AD293" s="292">
        <f t="shared" ref="AD293:AF297" si="63">AD294</f>
        <v>8017.1</v>
      </c>
      <c r="AE293" s="475">
        <f t="shared" si="63"/>
        <v>10002.1</v>
      </c>
      <c r="AF293" s="475">
        <f t="shared" si="63"/>
        <v>10002.1</v>
      </c>
      <c r="AG293" s="553"/>
      <c r="AH293" s="553"/>
      <c r="AI293" s="455"/>
    </row>
    <row r="294" spans="1:35" s="344" customFormat="1" x14ac:dyDescent="0.25">
      <c r="A294" s="381"/>
      <c r="B294" s="336"/>
      <c r="C294" s="338"/>
      <c r="D294" s="338"/>
      <c r="E294" s="339"/>
      <c r="F294" s="338"/>
      <c r="G294" s="343"/>
      <c r="H294" s="382"/>
      <c r="I294" s="383"/>
      <c r="J294" s="383"/>
      <c r="K294" s="383"/>
      <c r="L294" s="340"/>
      <c r="M294" s="383"/>
      <c r="N294" s="340"/>
      <c r="O294" s="384"/>
      <c r="P294" s="340"/>
      <c r="Q294" s="342"/>
      <c r="R294" s="362"/>
      <c r="S294" s="362"/>
      <c r="T294" s="362"/>
      <c r="U294" s="362"/>
      <c r="V294" s="362"/>
      <c r="W294" s="382"/>
      <c r="X294" s="548" t="s">
        <v>1893</v>
      </c>
      <c r="Y294" s="246" t="s">
        <v>1394</v>
      </c>
      <c r="Z294" s="235" t="s">
        <v>175</v>
      </c>
      <c r="AA294" s="235" t="s">
        <v>566</v>
      </c>
      <c r="AB294" s="442" t="s">
        <v>1772</v>
      </c>
      <c r="AC294" s="588"/>
      <c r="AD294" s="292">
        <f t="shared" ref="AD294:AF295" si="64">AD295</f>
        <v>8017.1</v>
      </c>
      <c r="AE294" s="475">
        <f t="shared" si="64"/>
        <v>10002.1</v>
      </c>
      <c r="AF294" s="475">
        <f t="shared" si="64"/>
        <v>10002.1</v>
      </c>
      <c r="AG294" s="553"/>
      <c r="AH294" s="553"/>
      <c r="AI294" s="455"/>
    </row>
    <row r="295" spans="1:35" s="344" customFormat="1" ht="31.5" x14ac:dyDescent="0.25">
      <c r="A295" s="381"/>
      <c r="B295" s="336"/>
      <c r="C295" s="338"/>
      <c r="D295" s="338"/>
      <c r="E295" s="339"/>
      <c r="F295" s="338"/>
      <c r="G295" s="343"/>
      <c r="H295" s="382"/>
      <c r="I295" s="383"/>
      <c r="J295" s="383"/>
      <c r="K295" s="383"/>
      <c r="L295" s="340"/>
      <c r="M295" s="383"/>
      <c r="N295" s="340"/>
      <c r="O295" s="384"/>
      <c r="P295" s="340"/>
      <c r="Q295" s="342"/>
      <c r="R295" s="362"/>
      <c r="S295" s="362"/>
      <c r="T295" s="362"/>
      <c r="U295" s="362"/>
      <c r="V295" s="362"/>
      <c r="W295" s="382"/>
      <c r="X295" s="529" t="s">
        <v>1894</v>
      </c>
      <c r="Y295" s="246" t="s">
        <v>1394</v>
      </c>
      <c r="Z295" s="235" t="s">
        <v>175</v>
      </c>
      <c r="AA295" s="235" t="s">
        <v>566</v>
      </c>
      <c r="AB295" s="442" t="s">
        <v>1895</v>
      </c>
      <c r="AC295" s="588"/>
      <c r="AD295" s="292">
        <f t="shared" si="64"/>
        <v>8017.1</v>
      </c>
      <c r="AE295" s="475">
        <f t="shared" si="64"/>
        <v>10002.1</v>
      </c>
      <c r="AF295" s="475">
        <f t="shared" si="64"/>
        <v>10002.1</v>
      </c>
      <c r="AG295" s="553"/>
      <c r="AH295" s="553"/>
      <c r="AI295" s="455"/>
    </row>
    <row r="296" spans="1:35" s="344" customFormat="1" ht="31.5" x14ac:dyDescent="0.25">
      <c r="A296" s="446" t="s">
        <v>1896</v>
      </c>
      <c r="B296" s="246" t="s">
        <v>1326</v>
      </c>
      <c r="C296" s="235" t="s">
        <v>566</v>
      </c>
      <c r="D296" s="235">
        <v>13</v>
      </c>
      <c r="E296" s="443" t="s">
        <v>1897</v>
      </c>
      <c r="F296" s="338"/>
      <c r="G296" s="343"/>
      <c r="H296" s="382"/>
      <c r="I296" s="383"/>
      <c r="J296" s="383"/>
      <c r="K296" s="383"/>
      <c r="L296" s="340"/>
      <c r="M296" s="383"/>
      <c r="N296" s="340"/>
      <c r="O296" s="384"/>
      <c r="P296" s="340"/>
      <c r="Q296" s="342"/>
      <c r="R296" s="362"/>
      <c r="S296" s="362"/>
      <c r="T296" s="362"/>
      <c r="U296" s="362"/>
      <c r="V296" s="362"/>
      <c r="W296" s="382"/>
      <c r="X296" s="531" t="s">
        <v>2393</v>
      </c>
      <c r="Y296" s="246" t="s">
        <v>1394</v>
      </c>
      <c r="Z296" s="235" t="s">
        <v>175</v>
      </c>
      <c r="AA296" s="235" t="s">
        <v>566</v>
      </c>
      <c r="AB296" s="442" t="s">
        <v>2392</v>
      </c>
      <c r="AC296" s="588"/>
      <c r="AD296" s="292">
        <f t="shared" si="63"/>
        <v>8017.1</v>
      </c>
      <c r="AE296" s="475">
        <f t="shared" si="63"/>
        <v>10002.1</v>
      </c>
      <c r="AF296" s="475">
        <f t="shared" si="63"/>
        <v>10002.1</v>
      </c>
      <c r="AG296" s="553"/>
      <c r="AH296" s="553"/>
      <c r="AI296" s="455"/>
    </row>
    <row r="297" spans="1:35" s="344" customFormat="1" x14ac:dyDescent="0.25">
      <c r="A297" s="381"/>
      <c r="B297" s="336"/>
      <c r="C297" s="338"/>
      <c r="D297" s="338"/>
      <c r="E297" s="339"/>
      <c r="F297" s="338"/>
      <c r="G297" s="343"/>
      <c r="H297" s="382"/>
      <c r="I297" s="383"/>
      <c r="J297" s="383"/>
      <c r="K297" s="383"/>
      <c r="L297" s="340"/>
      <c r="M297" s="383"/>
      <c r="N297" s="340"/>
      <c r="O297" s="384"/>
      <c r="P297" s="340"/>
      <c r="Q297" s="342"/>
      <c r="R297" s="362"/>
      <c r="S297" s="362"/>
      <c r="T297" s="362"/>
      <c r="U297" s="362"/>
      <c r="V297" s="362"/>
      <c r="W297" s="382"/>
      <c r="X297" s="519" t="s">
        <v>1781</v>
      </c>
      <c r="Y297" s="246" t="s">
        <v>1394</v>
      </c>
      <c r="Z297" s="235" t="s">
        <v>175</v>
      </c>
      <c r="AA297" s="235" t="s">
        <v>566</v>
      </c>
      <c r="AB297" s="442" t="s">
        <v>2392</v>
      </c>
      <c r="AC297" s="589">
        <v>200</v>
      </c>
      <c r="AD297" s="292">
        <f t="shared" si="63"/>
        <v>8017.1</v>
      </c>
      <c r="AE297" s="475">
        <f t="shared" si="63"/>
        <v>10002.1</v>
      </c>
      <c r="AF297" s="475">
        <f t="shared" si="63"/>
        <v>10002.1</v>
      </c>
      <c r="AG297" s="553"/>
      <c r="AH297" s="553"/>
      <c r="AI297" s="455"/>
    </row>
    <row r="298" spans="1:35" s="344" customFormat="1" ht="31.5" x14ac:dyDescent="0.25">
      <c r="A298" s="381"/>
      <c r="B298" s="336"/>
      <c r="C298" s="338"/>
      <c r="D298" s="338"/>
      <c r="E298" s="339"/>
      <c r="F298" s="338"/>
      <c r="G298" s="343"/>
      <c r="H298" s="382"/>
      <c r="I298" s="383"/>
      <c r="J298" s="383"/>
      <c r="K298" s="383"/>
      <c r="L298" s="340"/>
      <c r="M298" s="383"/>
      <c r="N298" s="340"/>
      <c r="O298" s="384"/>
      <c r="P298" s="340"/>
      <c r="Q298" s="342"/>
      <c r="R298" s="362"/>
      <c r="S298" s="362"/>
      <c r="T298" s="362"/>
      <c r="U298" s="362"/>
      <c r="V298" s="362"/>
      <c r="W298" s="382"/>
      <c r="X298" s="519" t="s">
        <v>1273</v>
      </c>
      <c r="Y298" s="246" t="s">
        <v>1394</v>
      </c>
      <c r="Z298" s="235" t="s">
        <v>175</v>
      </c>
      <c r="AA298" s="235" t="s">
        <v>566</v>
      </c>
      <c r="AB298" s="442" t="s">
        <v>2392</v>
      </c>
      <c r="AC298" s="589">
        <v>240</v>
      </c>
      <c r="AD298" s="292">
        <f>10002.1-1985</f>
        <v>8017.1</v>
      </c>
      <c r="AE298" s="475">
        <v>10002.1</v>
      </c>
      <c r="AF298" s="475">
        <v>10002.1</v>
      </c>
      <c r="AG298" s="553"/>
      <c r="AH298" s="553"/>
      <c r="AI298" s="455"/>
    </row>
    <row r="299" spans="1:35" s="388" customFormat="1" x14ac:dyDescent="0.25">
      <c r="A299" s="385"/>
      <c r="B299" s="386"/>
      <c r="C299" s="387"/>
      <c r="D299" s="387"/>
      <c r="E299" s="387"/>
      <c r="F299" s="387"/>
      <c r="G299" s="387"/>
      <c r="I299" s="389"/>
      <c r="J299" s="389"/>
      <c r="K299" s="389"/>
      <c r="L299" s="389"/>
      <c r="M299" s="389"/>
      <c r="N299" s="389"/>
      <c r="O299" s="390"/>
      <c r="P299" s="391"/>
      <c r="R299" s="392"/>
      <c r="S299" s="393"/>
      <c r="W299" s="394"/>
      <c r="X299" s="548" t="s">
        <v>1972</v>
      </c>
      <c r="Y299" s="246" t="s">
        <v>1394</v>
      </c>
      <c r="Z299" s="235" t="s">
        <v>175</v>
      </c>
      <c r="AA299" s="235" t="s">
        <v>566</v>
      </c>
      <c r="AB299" s="442" t="s">
        <v>1973</v>
      </c>
      <c r="AC299" s="576"/>
      <c r="AD299" s="292">
        <f>AD300</f>
        <v>5751</v>
      </c>
      <c r="AE299" s="475">
        <f>AE300</f>
        <v>0</v>
      </c>
      <c r="AF299" s="475">
        <f>AF300</f>
        <v>0</v>
      </c>
      <c r="AG299" s="553"/>
      <c r="AH299" s="553"/>
      <c r="AI299" s="455"/>
    </row>
    <row r="300" spans="1:35" s="388" customFormat="1" ht="31.5" x14ac:dyDescent="0.25">
      <c r="A300" s="385"/>
      <c r="B300" s="386"/>
      <c r="C300" s="387"/>
      <c r="D300" s="387"/>
      <c r="E300" s="387"/>
      <c r="F300" s="387"/>
      <c r="G300" s="387"/>
      <c r="I300" s="389"/>
      <c r="J300" s="389"/>
      <c r="K300" s="389"/>
      <c r="L300" s="389"/>
      <c r="M300" s="389"/>
      <c r="N300" s="389"/>
      <c r="O300" s="390"/>
      <c r="P300" s="391"/>
      <c r="R300" s="392"/>
      <c r="S300" s="393"/>
      <c r="W300" s="394"/>
      <c r="X300" s="548" t="s">
        <v>2298</v>
      </c>
      <c r="Y300" s="246" t="s">
        <v>1394</v>
      </c>
      <c r="Z300" s="235" t="s">
        <v>175</v>
      </c>
      <c r="AA300" s="235" t="s">
        <v>566</v>
      </c>
      <c r="AB300" s="442" t="s">
        <v>2144</v>
      </c>
      <c r="AC300" s="576"/>
      <c r="AD300" s="292">
        <f>AD301</f>
        <v>5751</v>
      </c>
      <c r="AE300" s="475">
        <f t="shared" ref="AE300:AF300" si="65">AE301</f>
        <v>0</v>
      </c>
      <c r="AF300" s="475">
        <f t="shared" si="65"/>
        <v>0</v>
      </c>
      <c r="AG300" s="553"/>
      <c r="AH300" s="553"/>
      <c r="AI300" s="455"/>
    </row>
    <row r="301" spans="1:35" s="388" customFormat="1" ht="31.5" x14ac:dyDescent="0.25">
      <c r="A301" s="385"/>
      <c r="B301" s="386"/>
      <c r="C301" s="387"/>
      <c r="D301" s="387"/>
      <c r="E301" s="387"/>
      <c r="F301" s="387"/>
      <c r="G301" s="387"/>
      <c r="I301" s="389"/>
      <c r="J301" s="389"/>
      <c r="K301" s="389"/>
      <c r="L301" s="389"/>
      <c r="M301" s="389"/>
      <c r="N301" s="389"/>
      <c r="O301" s="390"/>
      <c r="P301" s="391"/>
      <c r="R301" s="392"/>
      <c r="S301" s="393"/>
      <c r="W301" s="394"/>
      <c r="X301" s="529" t="s">
        <v>2151</v>
      </c>
      <c r="Y301" s="246" t="s">
        <v>1394</v>
      </c>
      <c r="Z301" s="235" t="s">
        <v>175</v>
      </c>
      <c r="AA301" s="235" t="s">
        <v>566</v>
      </c>
      <c r="AB301" s="442" t="s">
        <v>2154</v>
      </c>
      <c r="AC301" s="576"/>
      <c r="AD301" s="292">
        <f>AD305+AD302</f>
        <v>5751</v>
      </c>
      <c r="AE301" s="292">
        <f t="shared" ref="AE301:AF301" si="66">AE305+AE302</f>
        <v>0</v>
      </c>
      <c r="AF301" s="292">
        <f t="shared" si="66"/>
        <v>0</v>
      </c>
      <c r="AG301" s="553"/>
      <c r="AH301" s="553"/>
      <c r="AI301" s="455"/>
    </row>
    <row r="302" spans="1:35" s="388" customFormat="1" ht="31.5" x14ac:dyDescent="0.25">
      <c r="A302" s="385"/>
      <c r="B302" s="386"/>
      <c r="C302" s="387"/>
      <c r="D302" s="387"/>
      <c r="E302" s="387"/>
      <c r="F302" s="387"/>
      <c r="G302" s="387"/>
      <c r="I302" s="389"/>
      <c r="J302" s="389"/>
      <c r="K302" s="389"/>
      <c r="L302" s="389"/>
      <c r="M302" s="389"/>
      <c r="N302" s="389"/>
      <c r="O302" s="390"/>
      <c r="P302" s="391"/>
      <c r="R302" s="392"/>
      <c r="S302" s="393"/>
      <c r="W302" s="394"/>
      <c r="X302" s="519" t="s">
        <v>2478</v>
      </c>
      <c r="Y302" s="246" t="s">
        <v>1394</v>
      </c>
      <c r="Z302" s="235" t="s">
        <v>175</v>
      </c>
      <c r="AA302" s="235" t="s">
        <v>566</v>
      </c>
      <c r="AB302" s="442" t="s">
        <v>2477</v>
      </c>
      <c r="AC302" s="579"/>
      <c r="AD302" s="292">
        <f>AD303</f>
        <v>450</v>
      </c>
      <c r="AE302" s="475">
        <v>0</v>
      </c>
      <c r="AF302" s="475">
        <v>0</v>
      </c>
      <c r="AG302" s="553"/>
      <c r="AH302" s="553"/>
      <c r="AI302" s="455"/>
    </row>
    <row r="303" spans="1:35" s="388" customFormat="1" x14ac:dyDescent="0.25">
      <c r="A303" s="385"/>
      <c r="B303" s="386"/>
      <c r="C303" s="387"/>
      <c r="D303" s="387"/>
      <c r="E303" s="387"/>
      <c r="F303" s="387"/>
      <c r="G303" s="387"/>
      <c r="I303" s="389"/>
      <c r="J303" s="389"/>
      <c r="K303" s="389"/>
      <c r="L303" s="389"/>
      <c r="M303" s="389"/>
      <c r="N303" s="389"/>
      <c r="O303" s="390"/>
      <c r="P303" s="391"/>
      <c r="R303" s="392"/>
      <c r="S303" s="393"/>
      <c r="W303" s="394"/>
      <c r="X303" s="519" t="s">
        <v>923</v>
      </c>
      <c r="Y303" s="246" t="s">
        <v>1394</v>
      </c>
      <c r="Z303" s="235" t="s">
        <v>175</v>
      </c>
      <c r="AA303" s="235" t="s">
        <v>566</v>
      </c>
      <c r="AB303" s="442" t="s">
        <v>2477</v>
      </c>
      <c r="AC303" s="579" t="s">
        <v>2240</v>
      </c>
      <c r="AD303" s="292">
        <f>AD304</f>
        <v>450</v>
      </c>
      <c r="AE303" s="292">
        <f t="shared" ref="AE303:AF303" si="67">AE304</f>
        <v>0</v>
      </c>
      <c r="AF303" s="292">
        <f t="shared" si="67"/>
        <v>0</v>
      </c>
      <c r="AG303" s="553"/>
      <c r="AH303" s="553"/>
      <c r="AI303" s="455"/>
    </row>
    <row r="304" spans="1:35" s="388" customFormat="1" ht="31.5" x14ac:dyDescent="0.25">
      <c r="A304" s="385"/>
      <c r="B304" s="386"/>
      <c r="C304" s="387"/>
      <c r="D304" s="387"/>
      <c r="E304" s="387"/>
      <c r="F304" s="387"/>
      <c r="G304" s="387"/>
      <c r="I304" s="389"/>
      <c r="J304" s="389"/>
      <c r="K304" s="389"/>
      <c r="L304" s="389"/>
      <c r="M304" s="389"/>
      <c r="N304" s="389"/>
      <c r="O304" s="390"/>
      <c r="P304" s="391"/>
      <c r="R304" s="392"/>
      <c r="S304" s="393"/>
      <c r="W304" s="394"/>
      <c r="X304" s="519" t="s">
        <v>1782</v>
      </c>
      <c r="Y304" s="246" t="s">
        <v>1394</v>
      </c>
      <c r="Z304" s="235" t="s">
        <v>175</v>
      </c>
      <c r="AA304" s="235" t="s">
        <v>566</v>
      </c>
      <c r="AB304" s="442" t="s">
        <v>2477</v>
      </c>
      <c r="AC304" s="579" t="s">
        <v>2241</v>
      </c>
      <c r="AD304" s="292">
        <v>450</v>
      </c>
      <c r="AE304" s="475">
        <v>0</v>
      </c>
      <c r="AF304" s="475">
        <v>0</v>
      </c>
      <c r="AG304" s="553"/>
      <c r="AH304" s="553"/>
      <c r="AI304" s="455"/>
    </row>
    <row r="305" spans="1:35" s="388" customFormat="1" x14ac:dyDescent="0.25">
      <c r="A305" s="385"/>
      <c r="B305" s="386"/>
      <c r="C305" s="387"/>
      <c r="D305" s="387"/>
      <c r="E305" s="387"/>
      <c r="F305" s="387"/>
      <c r="G305" s="387"/>
      <c r="I305" s="389"/>
      <c r="J305" s="389"/>
      <c r="K305" s="389"/>
      <c r="L305" s="389"/>
      <c r="M305" s="389"/>
      <c r="N305" s="389"/>
      <c r="O305" s="390"/>
      <c r="P305" s="391"/>
      <c r="R305" s="392"/>
      <c r="S305" s="393"/>
      <c r="W305" s="394"/>
      <c r="X305" s="529" t="s">
        <v>2152</v>
      </c>
      <c r="Y305" s="246" t="s">
        <v>1394</v>
      </c>
      <c r="Z305" s="235" t="s">
        <v>175</v>
      </c>
      <c r="AA305" s="235" t="s">
        <v>566</v>
      </c>
      <c r="AB305" s="442" t="s">
        <v>2153</v>
      </c>
      <c r="AC305" s="576"/>
      <c r="AD305" s="292">
        <f t="shared" ref="AD305:AF306" si="68">AD306</f>
        <v>5301</v>
      </c>
      <c r="AE305" s="475">
        <f t="shared" si="68"/>
        <v>0</v>
      </c>
      <c r="AF305" s="475">
        <f t="shared" si="68"/>
        <v>0</v>
      </c>
      <c r="AG305" s="553"/>
      <c r="AH305" s="553"/>
      <c r="AI305" s="455"/>
    </row>
    <row r="306" spans="1:35" s="388" customFormat="1" x14ac:dyDescent="0.25">
      <c r="A306" s="385"/>
      <c r="B306" s="386"/>
      <c r="C306" s="387"/>
      <c r="D306" s="387"/>
      <c r="E306" s="387"/>
      <c r="F306" s="387"/>
      <c r="G306" s="387"/>
      <c r="I306" s="389"/>
      <c r="J306" s="389"/>
      <c r="K306" s="389"/>
      <c r="L306" s="389"/>
      <c r="M306" s="389"/>
      <c r="N306" s="389"/>
      <c r="O306" s="390"/>
      <c r="P306" s="391"/>
      <c r="R306" s="392"/>
      <c r="S306" s="393"/>
      <c r="W306" s="394"/>
      <c r="X306" s="519" t="s">
        <v>923</v>
      </c>
      <c r="Y306" s="246" t="s">
        <v>1394</v>
      </c>
      <c r="Z306" s="235" t="s">
        <v>175</v>
      </c>
      <c r="AA306" s="235" t="s">
        <v>566</v>
      </c>
      <c r="AB306" s="442" t="s">
        <v>2153</v>
      </c>
      <c r="AC306" s="579" t="s">
        <v>2240</v>
      </c>
      <c r="AD306" s="292">
        <f t="shared" si="68"/>
        <v>5301</v>
      </c>
      <c r="AE306" s="475">
        <f t="shared" si="68"/>
        <v>0</v>
      </c>
      <c r="AF306" s="475">
        <f t="shared" si="68"/>
        <v>0</v>
      </c>
      <c r="AG306" s="553"/>
      <c r="AH306" s="553"/>
      <c r="AI306" s="455"/>
    </row>
    <row r="307" spans="1:35" s="388" customFormat="1" ht="31.5" x14ac:dyDescent="0.25">
      <c r="A307" s="385"/>
      <c r="B307" s="386"/>
      <c r="C307" s="387"/>
      <c r="D307" s="387"/>
      <c r="E307" s="387"/>
      <c r="F307" s="387"/>
      <c r="G307" s="387"/>
      <c r="I307" s="389"/>
      <c r="J307" s="389"/>
      <c r="K307" s="389"/>
      <c r="L307" s="389"/>
      <c r="M307" s="389"/>
      <c r="N307" s="389"/>
      <c r="O307" s="390"/>
      <c r="P307" s="391"/>
      <c r="R307" s="392"/>
      <c r="S307" s="393"/>
      <c r="W307" s="394"/>
      <c r="X307" s="519" t="s">
        <v>1782</v>
      </c>
      <c r="Y307" s="246" t="s">
        <v>1394</v>
      </c>
      <c r="Z307" s="235" t="s">
        <v>175</v>
      </c>
      <c r="AA307" s="235" t="s">
        <v>566</v>
      </c>
      <c r="AB307" s="442" t="s">
        <v>2153</v>
      </c>
      <c r="AC307" s="579" t="s">
        <v>2241</v>
      </c>
      <c r="AD307" s="292">
        <f>3762.6+825.9+584.2+128.3</f>
        <v>5301</v>
      </c>
      <c r="AE307" s="475">
        <f>0</f>
        <v>0</v>
      </c>
      <c r="AF307" s="475">
        <f>0</f>
        <v>0</v>
      </c>
      <c r="AG307" s="553"/>
      <c r="AH307" s="553"/>
      <c r="AI307" s="455"/>
    </row>
    <row r="308" spans="1:35" s="388" customFormat="1" x14ac:dyDescent="0.25">
      <c r="A308" s="385"/>
      <c r="B308" s="386"/>
      <c r="C308" s="387"/>
      <c r="D308" s="387"/>
      <c r="E308" s="387"/>
      <c r="F308" s="387"/>
      <c r="G308" s="387"/>
      <c r="I308" s="389"/>
      <c r="J308" s="389"/>
      <c r="K308" s="389"/>
      <c r="L308" s="389"/>
      <c r="M308" s="389"/>
      <c r="N308" s="389"/>
      <c r="O308" s="390"/>
      <c r="P308" s="391"/>
      <c r="R308" s="392"/>
      <c r="S308" s="393"/>
      <c r="W308" s="394"/>
      <c r="X308" s="542" t="s">
        <v>2155</v>
      </c>
      <c r="Y308" s="543" t="s">
        <v>1394</v>
      </c>
      <c r="Z308" s="544" t="s">
        <v>175</v>
      </c>
      <c r="AA308" s="544" t="s">
        <v>567</v>
      </c>
      <c r="AB308" s="545"/>
      <c r="AC308" s="590"/>
      <c r="AD308" s="735">
        <f t="shared" ref="AD308:AD314" si="69">AD309</f>
        <v>6500</v>
      </c>
      <c r="AE308" s="602">
        <f t="shared" ref="AE308:AF308" si="70">AE309</f>
        <v>0</v>
      </c>
      <c r="AF308" s="602">
        <f t="shared" si="70"/>
        <v>0</v>
      </c>
      <c r="AG308" s="553"/>
      <c r="AH308" s="553"/>
      <c r="AI308" s="455"/>
    </row>
    <row r="309" spans="1:35" s="388" customFormat="1" ht="31.5" x14ac:dyDescent="0.25">
      <c r="A309" s="385"/>
      <c r="B309" s="386"/>
      <c r="C309" s="387"/>
      <c r="D309" s="387"/>
      <c r="E309" s="387"/>
      <c r="F309" s="387"/>
      <c r="G309" s="387"/>
      <c r="I309" s="389"/>
      <c r="J309" s="389"/>
      <c r="K309" s="389"/>
      <c r="L309" s="389"/>
      <c r="M309" s="389"/>
      <c r="N309" s="389"/>
      <c r="O309" s="390"/>
      <c r="P309" s="391"/>
      <c r="R309" s="392"/>
      <c r="S309" s="393"/>
      <c r="W309" s="394"/>
      <c r="X309" s="554" t="s">
        <v>1948</v>
      </c>
      <c r="Y309" s="543" t="s">
        <v>1394</v>
      </c>
      <c r="Z309" s="544" t="s">
        <v>175</v>
      </c>
      <c r="AA309" s="544" t="s">
        <v>567</v>
      </c>
      <c r="AB309" s="547" t="s">
        <v>1770</v>
      </c>
      <c r="AC309" s="590"/>
      <c r="AD309" s="735">
        <f t="shared" si="69"/>
        <v>6500</v>
      </c>
      <c r="AE309" s="602">
        <f>AE310+AE311</f>
        <v>0</v>
      </c>
      <c r="AF309" s="602">
        <f>AF310+AF311</f>
        <v>0</v>
      </c>
      <c r="AG309" s="553"/>
      <c r="AH309" s="553"/>
      <c r="AI309" s="455"/>
    </row>
    <row r="310" spans="1:35" s="388" customFormat="1" ht="16.899999999999999" customHeight="1" x14ac:dyDescent="0.25">
      <c r="A310" s="385"/>
      <c r="B310" s="386"/>
      <c r="C310" s="387"/>
      <c r="D310" s="387"/>
      <c r="E310" s="387"/>
      <c r="F310" s="387"/>
      <c r="G310" s="387"/>
      <c r="I310" s="389"/>
      <c r="J310" s="389"/>
      <c r="K310" s="389"/>
      <c r="L310" s="389"/>
      <c r="M310" s="389"/>
      <c r="N310" s="389"/>
      <c r="O310" s="390"/>
      <c r="P310" s="391"/>
      <c r="R310" s="392"/>
      <c r="S310" s="393"/>
      <c r="W310" s="394"/>
      <c r="X310" s="554" t="s">
        <v>2398</v>
      </c>
      <c r="Y310" s="543" t="s">
        <v>1394</v>
      </c>
      <c r="Z310" s="544" t="s">
        <v>175</v>
      </c>
      <c r="AA310" s="835" t="s">
        <v>567</v>
      </c>
      <c r="AB310" s="547" t="s">
        <v>2399</v>
      </c>
      <c r="AC310" s="836"/>
      <c r="AD310" s="735">
        <f t="shared" si="69"/>
        <v>6500</v>
      </c>
      <c r="AE310" s="735">
        <f t="shared" ref="AE310:AF310" si="71">AE311</f>
        <v>0</v>
      </c>
      <c r="AF310" s="735">
        <f t="shared" si="71"/>
        <v>0</v>
      </c>
      <c r="AG310" s="553"/>
      <c r="AH310" s="553"/>
      <c r="AI310" s="455"/>
    </row>
    <row r="311" spans="1:35" s="388" customFormat="1" ht="54" customHeight="1" x14ac:dyDescent="0.25">
      <c r="A311" s="385"/>
      <c r="B311" s="386"/>
      <c r="C311" s="387"/>
      <c r="D311" s="387"/>
      <c r="E311" s="387"/>
      <c r="F311" s="387"/>
      <c r="G311" s="387"/>
      <c r="I311" s="389"/>
      <c r="J311" s="389"/>
      <c r="K311" s="389"/>
      <c r="L311" s="389"/>
      <c r="M311" s="389"/>
      <c r="N311" s="389"/>
      <c r="O311" s="390"/>
      <c r="P311" s="391"/>
      <c r="R311" s="392"/>
      <c r="S311" s="393"/>
      <c r="W311" s="394"/>
      <c r="X311" s="514" t="s">
        <v>2483</v>
      </c>
      <c r="Y311" s="246" t="s">
        <v>1394</v>
      </c>
      <c r="Z311" s="235" t="s">
        <v>175</v>
      </c>
      <c r="AA311" s="281" t="s">
        <v>567</v>
      </c>
      <c r="AB311" s="547" t="s">
        <v>2400</v>
      </c>
      <c r="AC311" s="714"/>
      <c r="AD311" s="292">
        <f t="shared" si="69"/>
        <v>6500</v>
      </c>
      <c r="AE311" s="292">
        <f t="shared" ref="AE311:AF311" si="72">AE312</f>
        <v>0</v>
      </c>
      <c r="AF311" s="292">
        <f t="shared" si="72"/>
        <v>0</v>
      </c>
      <c r="AG311" s="553"/>
      <c r="AH311" s="553"/>
      <c r="AI311" s="455"/>
    </row>
    <row r="312" spans="1:35" s="388" customFormat="1" ht="52.15" customHeight="1" x14ac:dyDescent="0.25">
      <c r="A312" s="385"/>
      <c r="B312" s="386"/>
      <c r="C312" s="387"/>
      <c r="D312" s="387"/>
      <c r="E312" s="387"/>
      <c r="F312" s="387"/>
      <c r="G312" s="387"/>
      <c r="I312" s="389"/>
      <c r="J312" s="389"/>
      <c r="K312" s="389"/>
      <c r="L312" s="389"/>
      <c r="M312" s="389"/>
      <c r="N312" s="389"/>
      <c r="O312" s="390"/>
      <c r="P312" s="391"/>
      <c r="R312" s="392"/>
      <c r="S312" s="393"/>
      <c r="W312" s="394"/>
      <c r="X312" s="834" t="s">
        <v>2486</v>
      </c>
      <c r="Y312" s="246" t="s">
        <v>1394</v>
      </c>
      <c r="Z312" s="235" t="s">
        <v>175</v>
      </c>
      <c r="AA312" s="281" t="s">
        <v>567</v>
      </c>
      <c r="AB312" s="547" t="s">
        <v>2487</v>
      </c>
      <c r="AC312" s="714"/>
      <c r="AD312" s="292">
        <f>AD314</f>
        <v>6500</v>
      </c>
      <c r="AE312" s="292">
        <f>AE314</f>
        <v>0</v>
      </c>
      <c r="AF312" s="292">
        <f>AF314</f>
        <v>0</v>
      </c>
      <c r="AG312" s="553"/>
      <c r="AH312" s="553"/>
      <c r="AI312" s="455"/>
    </row>
    <row r="313" spans="1:35" s="388" customFormat="1" ht="52.15" customHeight="1" x14ac:dyDescent="0.25">
      <c r="A313" s="385"/>
      <c r="B313" s="386"/>
      <c r="C313" s="387"/>
      <c r="D313" s="387"/>
      <c r="E313" s="387"/>
      <c r="F313" s="387"/>
      <c r="G313" s="387"/>
      <c r="I313" s="389"/>
      <c r="J313" s="389"/>
      <c r="K313" s="389"/>
      <c r="L313" s="389"/>
      <c r="M313" s="389"/>
      <c r="N313" s="389"/>
      <c r="O313" s="390"/>
      <c r="P313" s="391"/>
      <c r="R313" s="392"/>
      <c r="S313" s="393"/>
      <c r="W313" s="394"/>
      <c r="X313" s="837" t="s">
        <v>2488</v>
      </c>
      <c r="Y313" s="246" t="s">
        <v>1394</v>
      </c>
      <c r="Z313" s="235" t="s">
        <v>175</v>
      </c>
      <c r="AA313" s="281" t="s">
        <v>567</v>
      </c>
      <c r="AB313" s="547" t="s">
        <v>2474</v>
      </c>
      <c r="AC313" s="714"/>
      <c r="AD313" s="292">
        <f>AD314</f>
        <v>6500</v>
      </c>
      <c r="AE313" s="292"/>
      <c r="AF313" s="292"/>
      <c r="AG313" s="553"/>
      <c r="AH313" s="553"/>
      <c r="AI313" s="455"/>
    </row>
    <row r="314" spans="1:35" s="388" customFormat="1" x14ac:dyDescent="0.25">
      <c r="A314" s="385"/>
      <c r="B314" s="386"/>
      <c r="C314" s="387"/>
      <c r="D314" s="387"/>
      <c r="E314" s="387"/>
      <c r="F314" s="387"/>
      <c r="G314" s="387"/>
      <c r="I314" s="389"/>
      <c r="J314" s="389"/>
      <c r="K314" s="389"/>
      <c r="L314" s="389"/>
      <c r="M314" s="389"/>
      <c r="N314" s="389"/>
      <c r="O314" s="390"/>
      <c r="P314" s="391"/>
      <c r="R314" s="392"/>
      <c r="S314" s="393"/>
      <c r="W314" s="394"/>
      <c r="X314" s="519" t="s">
        <v>923</v>
      </c>
      <c r="Y314" s="246" t="s">
        <v>1394</v>
      </c>
      <c r="Z314" s="235" t="s">
        <v>175</v>
      </c>
      <c r="AA314" s="281" t="s">
        <v>567</v>
      </c>
      <c r="AB314" s="547" t="s">
        <v>2474</v>
      </c>
      <c r="AC314" s="714" t="s">
        <v>2240</v>
      </c>
      <c r="AD314" s="292">
        <f t="shared" si="69"/>
        <v>6500</v>
      </c>
      <c r="AE314" s="475">
        <v>0</v>
      </c>
      <c r="AF314" s="475">
        <v>0</v>
      </c>
      <c r="AG314" s="553"/>
      <c r="AH314" s="553"/>
      <c r="AI314" s="455"/>
    </row>
    <row r="315" spans="1:35" s="388" customFormat="1" ht="31.5" x14ac:dyDescent="0.25">
      <c r="A315" s="385"/>
      <c r="B315" s="386"/>
      <c r="C315" s="387"/>
      <c r="D315" s="387"/>
      <c r="E315" s="387"/>
      <c r="F315" s="387"/>
      <c r="G315" s="387"/>
      <c r="I315" s="389"/>
      <c r="J315" s="389"/>
      <c r="K315" s="389"/>
      <c r="L315" s="389"/>
      <c r="M315" s="389"/>
      <c r="N315" s="389"/>
      <c r="O315" s="390"/>
      <c r="P315" s="391"/>
      <c r="R315" s="392"/>
      <c r="S315" s="393"/>
      <c r="W315" s="394"/>
      <c r="X315" s="519" t="s">
        <v>1782</v>
      </c>
      <c r="Y315" s="246" t="s">
        <v>1394</v>
      </c>
      <c r="Z315" s="235" t="s">
        <v>175</v>
      </c>
      <c r="AA315" s="281" t="s">
        <v>567</v>
      </c>
      <c r="AB315" s="547" t="s">
        <v>2474</v>
      </c>
      <c r="AC315" s="714" t="s">
        <v>2241</v>
      </c>
      <c r="AD315" s="292">
        <v>6500</v>
      </c>
      <c r="AE315" s="475">
        <v>0</v>
      </c>
      <c r="AF315" s="475">
        <v>0</v>
      </c>
      <c r="AG315" s="553"/>
      <c r="AH315" s="553"/>
      <c r="AI315" s="455"/>
    </row>
    <row r="316" spans="1:35" s="344" customFormat="1" x14ac:dyDescent="0.25">
      <c r="A316" s="381"/>
      <c r="B316" s="336"/>
      <c r="C316" s="338"/>
      <c r="D316" s="338"/>
      <c r="E316" s="339"/>
      <c r="F316" s="338"/>
      <c r="G316" s="343"/>
      <c r="H316" s="382"/>
      <c r="I316" s="383"/>
      <c r="J316" s="383"/>
      <c r="K316" s="383"/>
      <c r="L316" s="340"/>
      <c r="M316" s="383"/>
      <c r="N316" s="340"/>
      <c r="O316" s="384"/>
      <c r="P316" s="340"/>
      <c r="Q316" s="342"/>
      <c r="R316" s="362"/>
      <c r="S316" s="362"/>
      <c r="T316" s="362"/>
      <c r="U316" s="362"/>
      <c r="V316" s="362"/>
      <c r="W316" s="382"/>
      <c r="X316" s="519" t="s">
        <v>340</v>
      </c>
      <c r="Y316" s="246" t="s">
        <v>1394</v>
      </c>
      <c r="Z316" s="235" t="s">
        <v>175</v>
      </c>
      <c r="AA316" s="235" t="s">
        <v>193</v>
      </c>
      <c r="AB316" s="270"/>
      <c r="AC316" s="579"/>
      <c r="AD316" s="292">
        <f>AD330+AD317+AD336</f>
        <v>23635</v>
      </c>
      <c r="AE316" s="475">
        <f>AE330+AE317+AE336</f>
        <v>22768.5</v>
      </c>
      <c r="AF316" s="475">
        <f>AF330+AF317+AF336</f>
        <v>13518.5</v>
      </c>
      <c r="AG316" s="553"/>
      <c r="AH316" s="553"/>
      <c r="AI316" s="455"/>
    </row>
    <row r="317" spans="1:35" s="344" customFormat="1" ht="31.5" x14ac:dyDescent="0.25">
      <c r="A317" s="381"/>
      <c r="B317" s="336"/>
      <c r="C317" s="338"/>
      <c r="D317" s="338"/>
      <c r="E317" s="339"/>
      <c r="F317" s="338"/>
      <c r="G317" s="343"/>
      <c r="H317" s="382"/>
      <c r="I317" s="383"/>
      <c r="J317" s="383"/>
      <c r="K317" s="383"/>
      <c r="L317" s="340"/>
      <c r="M317" s="383"/>
      <c r="N317" s="340"/>
      <c r="O317" s="384"/>
      <c r="P317" s="340"/>
      <c r="Q317" s="342"/>
      <c r="R317" s="362"/>
      <c r="S317" s="362"/>
      <c r="T317" s="362"/>
      <c r="U317" s="362"/>
      <c r="V317" s="362"/>
      <c r="W317" s="382"/>
      <c r="X317" s="520" t="s">
        <v>1853</v>
      </c>
      <c r="Y317" s="246" t="s">
        <v>1394</v>
      </c>
      <c r="Z317" s="235" t="s">
        <v>175</v>
      </c>
      <c r="AA317" s="235" t="s">
        <v>193</v>
      </c>
      <c r="AB317" s="249" t="s">
        <v>1761</v>
      </c>
      <c r="AC317" s="579"/>
      <c r="AD317" s="292">
        <f t="shared" ref="AD317:AF318" si="73">AD318</f>
        <v>15807.4</v>
      </c>
      <c r="AE317" s="475">
        <f t="shared" si="73"/>
        <v>6294.2999999999993</v>
      </c>
      <c r="AF317" s="475">
        <f t="shared" si="73"/>
        <v>6294.2999999999993</v>
      </c>
      <c r="AG317" s="553"/>
      <c r="AH317" s="553"/>
      <c r="AI317" s="455"/>
    </row>
    <row r="318" spans="1:35" s="344" customFormat="1" x14ac:dyDescent="0.25">
      <c r="A318" s="381"/>
      <c r="B318" s="336"/>
      <c r="C318" s="338"/>
      <c r="D318" s="338"/>
      <c r="E318" s="339"/>
      <c r="F318" s="338"/>
      <c r="G318" s="343"/>
      <c r="H318" s="382"/>
      <c r="I318" s="383"/>
      <c r="J318" s="383"/>
      <c r="K318" s="383"/>
      <c r="L318" s="340"/>
      <c r="M318" s="383"/>
      <c r="N318" s="340"/>
      <c r="O318" s="384"/>
      <c r="P318" s="340"/>
      <c r="Q318" s="342"/>
      <c r="R318" s="362"/>
      <c r="S318" s="362"/>
      <c r="T318" s="362"/>
      <c r="U318" s="362"/>
      <c r="V318" s="362"/>
      <c r="W318" s="382"/>
      <c r="X318" s="548" t="s">
        <v>1854</v>
      </c>
      <c r="Y318" s="246" t="s">
        <v>1394</v>
      </c>
      <c r="Z318" s="235" t="s">
        <v>175</v>
      </c>
      <c r="AA318" s="235" t="s">
        <v>193</v>
      </c>
      <c r="AB318" s="249" t="s">
        <v>1765</v>
      </c>
      <c r="AC318" s="579"/>
      <c r="AD318" s="292">
        <f t="shared" si="73"/>
        <v>15807.4</v>
      </c>
      <c r="AE318" s="475">
        <f t="shared" si="73"/>
        <v>6294.2999999999993</v>
      </c>
      <c r="AF318" s="475">
        <f t="shared" si="73"/>
        <v>6294.2999999999993</v>
      </c>
      <c r="AG318" s="553"/>
      <c r="AH318" s="553"/>
      <c r="AI318" s="455"/>
    </row>
    <row r="319" spans="1:35" s="344" customFormat="1" x14ac:dyDescent="0.25">
      <c r="A319" s="381"/>
      <c r="B319" s="336"/>
      <c r="C319" s="338"/>
      <c r="D319" s="338"/>
      <c r="E319" s="339"/>
      <c r="F319" s="338"/>
      <c r="G319" s="343"/>
      <c r="H319" s="382"/>
      <c r="I319" s="383"/>
      <c r="J319" s="383"/>
      <c r="K319" s="383"/>
      <c r="L319" s="340"/>
      <c r="M319" s="383"/>
      <c r="N319" s="340"/>
      <c r="O319" s="384"/>
      <c r="P319" s="340"/>
      <c r="Q319" s="342"/>
      <c r="R319" s="362"/>
      <c r="S319" s="362"/>
      <c r="T319" s="362"/>
      <c r="U319" s="362"/>
      <c r="V319" s="362"/>
      <c r="W319" s="382"/>
      <c r="X319" s="522" t="s">
        <v>2280</v>
      </c>
      <c r="Y319" s="246" t="s">
        <v>1394</v>
      </c>
      <c r="Z319" s="235" t="s">
        <v>175</v>
      </c>
      <c r="AA319" s="235" t="s">
        <v>193</v>
      </c>
      <c r="AB319" s="249" t="s">
        <v>2204</v>
      </c>
      <c r="AC319" s="579"/>
      <c r="AD319" s="292">
        <f>AD320+AD323</f>
        <v>15807.4</v>
      </c>
      <c r="AE319" s="475">
        <f>AE320+AE323</f>
        <v>6294.2999999999993</v>
      </c>
      <c r="AF319" s="475">
        <f>AF320+AF323</f>
        <v>6294.2999999999993</v>
      </c>
      <c r="AG319" s="553"/>
      <c r="AH319" s="553"/>
      <c r="AI319" s="455"/>
    </row>
    <row r="320" spans="1:35" s="344" customFormat="1" x14ac:dyDescent="0.25">
      <c r="A320" s="381"/>
      <c r="B320" s="336"/>
      <c r="C320" s="338"/>
      <c r="D320" s="338"/>
      <c r="E320" s="339"/>
      <c r="F320" s="338"/>
      <c r="G320" s="343"/>
      <c r="H320" s="382"/>
      <c r="I320" s="383"/>
      <c r="J320" s="383"/>
      <c r="K320" s="383"/>
      <c r="L320" s="340"/>
      <c r="M320" s="383"/>
      <c r="N320" s="340"/>
      <c r="O320" s="384"/>
      <c r="P320" s="340"/>
      <c r="Q320" s="342"/>
      <c r="R320" s="362"/>
      <c r="S320" s="362"/>
      <c r="T320" s="362"/>
      <c r="U320" s="362"/>
      <c r="V320" s="362"/>
      <c r="W320" s="382"/>
      <c r="X320" s="529" t="s">
        <v>1987</v>
      </c>
      <c r="Y320" s="246" t="s">
        <v>1394</v>
      </c>
      <c r="Z320" s="235" t="s">
        <v>175</v>
      </c>
      <c r="AA320" s="235" t="s">
        <v>193</v>
      </c>
      <c r="AB320" s="249" t="s">
        <v>2271</v>
      </c>
      <c r="AC320" s="579"/>
      <c r="AD320" s="292">
        <f t="shared" ref="AD320:AF321" si="74">AD321</f>
        <v>10548.5</v>
      </c>
      <c r="AE320" s="475">
        <f t="shared" si="74"/>
        <v>1585.4</v>
      </c>
      <c r="AF320" s="475">
        <f t="shared" si="74"/>
        <v>1585.4</v>
      </c>
      <c r="AG320" s="553"/>
      <c r="AH320" s="553"/>
      <c r="AI320" s="455"/>
    </row>
    <row r="321" spans="1:36" s="344" customFormat="1" x14ac:dyDescent="0.25">
      <c r="A321" s="381"/>
      <c r="B321" s="336"/>
      <c r="C321" s="338"/>
      <c r="D321" s="338"/>
      <c r="E321" s="339"/>
      <c r="F321" s="338"/>
      <c r="G321" s="343"/>
      <c r="H321" s="382"/>
      <c r="I321" s="383"/>
      <c r="J321" s="383"/>
      <c r="K321" s="383"/>
      <c r="L321" s="340"/>
      <c r="M321" s="383"/>
      <c r="N321" s="340"/>
      <c r="O321" s="384"/>
      <c r="P321" s="340"/>
      <c r="Q321" s="342"/>
      <c r="R321" s="362"/>
      <c r="S321" s="362"/>
      <c r="T321" s="362"/>
      <c r="U321" s="362"/>
      <c r="V321" s="362"/>
      <c r="W321" s="382"/>
      <c r="X321" s="519" t="s">
        <v>1781</v>
      </c>
      <c r="Y321" s="246" t="s">
        <v>1394</v>
      </c>
      <c r="Z321" s="235" t="s">
        <v>175</v>
      </c>
      <c r="AA321" s="235" t="s">
        <v>193</v>
      </c>
      <c r="AB321" s="249" t="s">
        <v>2271</v>
      </c>
      <c r="AC321" s="579" t="s">
        <v>821</v>
      </c>
      <c r="AD321" s="292">
        <f t="shared" si="74"/>
        <v>10548.5</v>
      </c>
      <c r="AE321" s="475">
        <f t="shared" si="74"/>
        <v>1585.4</v>
      </c>
      <c r="AF321" s="475">
        <f t="shared" si="74"/>
        <v>1585.4</v>
      </c>
      <c r="AG321" s="553"/>
      <c r="AH321" s="553"/>
      <c r="AI321" s="455"/>
    </row>
    <row r="322" spans="1:36" s="344" customFormat="1" ht="31.5" x14ac:dyDescent="0.25">
      <c r="A322" s="381"/>
      <c r="B322" s="336"/>
      <c r="C322" s="338"/>
      <c r="D322" s="338"/>
      <c r="E322" s="339"/>
      <c r="F322" s="338"/>
      <c r="G322" s="343"/>
      <c r="H322" s="382"/>
      <c r="I322" s="383"/>
      <c r="J322" s="383"/>
      <c r="K322" s="383"/>
      <c r="L322" s="340"/>
      <c r="M322" s="383"/>
      <c r="N322" s="340"/>
      <c r="O322" s="384"/>
      <c r="P322" s="340"/>
      <c r="Q322" s="342"/>
      <c r="R322" s="362"/>
      <c r="S322" s="362"/>
      <c r="T322" s="362"/>
      <c r="U322" s="362"/>
      <c r="V322" s="362"/>
      <c r="W322" s="382"/>
      <c r="X322" s="519" t="s">
        <v>1273</v>
      </c>
      <c r="Y322" s="246" t="s">
        <v>1394</v>
      </c>
      <c r="Z322" s="235" t="s">
        <v>175</v>
      </c>
      <c r="AA322" s="235" t="s">
        <v>193</v>
      </c>
      <c r="AB322" s="249" t="s">
        <v>2271</v>
      </c>
      <c r="AC322" s="579" t="s">
        <v>1479</v>
      </c>
      <c r="AD322" s="292">
        <f>1585.4+9513.1-550</f>
        <v>10548.5</v>
      </c>
      <c r="AE322" s="475">
        <v>1585.4</v>
      </c>
      <c r="AF322" s="475">
        <v>1585.4</v>
      </c>
      <c r="AG322" s="553"/>
      <c r="AH322" s="553"/>
      <c r="AI322" s="455"/>
    </row>
    <row r="323" spans="1:36" s="344" customFormat="1" ht="31.5" x14ac:dyDescent="0.25">
      <c r="A323" s="381"/>
      <c r="B323" s="336"/>
      <c r="C323" s="338"/>
      <c r="D323" s="338"/>
      <c r="E323" s="339"/>
      <c r="F323" s="338"/>
      <c r="G323" s="343"/>
      <c r="H323" s="382"/>
      <c r="I323" s="383"/>
      <c r="J323" s="383"/>
      <c r="K323" s="383"/>
      <c r="L323" s="340"/>
      <c r="M323" s="383"/>
      <c r="N323" s="340"/>
      <c r="O323" s="384"/>
      <c r="P323" s="340"/>
      <c r="Q323" s="342"/>
      <c r="R323" s="362"/>
      <c r="S323" s="362"/>
      <c r="T323" s="362"/>
      <c r="U323" s="362"/>
      <c r="V323" s="362"/>
      <c r="W323" s="382"/>
      <c r="X323" s="531" t="s">
        <v>1986</v>
      </c>
      <c r="Y323" s="246" t="s">
        <v>1394</v>
      </c>
      <c r="Z323" s="235" t="s">
        <v>175</v>
      </c>
      <c r="AA323" s="235" t="s">
        <v>193</v>
      </c>
      <c r="AB323" s="249" t="s">
        <v>2206</v>
      </c>
      <c r="AC323" s="579"/>
      <c r="AD323" s="292">
        <f>AD324+AD326+AD328</f>
        <v>5258.9</v>
      </c>
      <c r="AE323" s="475">
        <f>AE324+AE326+AE328</f>
        <v>4708.8999999999996</v>
      </c>
      <c r="AF323" s="475">
        <f>AF324+AF326+AF328</f>
        <v>4708.8999999999996</v>
      </c>
      <c r="AG323" s="553"/>
      <c r="AH323" s="553"/>
      <c r="AI323" s="455"/>
    </row>
    <row r="324" spans="1:36" s="344" customFormat="1" ht="47.25" x14ac:dyDescent="0.25">
      <c r="A324" s="381"/>
      <c r="B324" s="336"/>
      <c r="C324" s="338"/>
      <c r="D324" s="338"/>
      <c r="E324" s="339"/>
      <c r="F324" s="338"/>
      <c r="G324" s="343"/>
      <c r="H324" s="382"/>
      <c r="I324" s="383"/>
      <c r="J324" s="383"/>
      <c r="K324" s="383"/>
      <c r="L324" s="340"/>
      <c r="M324" s="383"/>
      <c r="N324" s="340"/>
      <c r="O324" s="384"/>
      <c r="P324" s="340"/>
      <c r="Q324" s="342"/>
      <c r="R324" s="362"/>
      <c r="S324" s="362"/>
      <c r="T324" s="362"/>
      <c r="U324" s="362"/>
      <c r="V324" s="362"/>
      <c r="W324" s="382"/>
      <c r="X324" s="519" t="s">
        <v>921</v>
      </c>
      <c r="Y324" s="246" t="s">
        <v>1394</v>
      </c>
      <c r="Z324" s="235" t="s">
        <v>175</v>
      </c>
      <c r="AA324" s="235" t="s">
        <v>193</v>
      </c>
      <c r="AB324" s="249" t="s">
        <v>2206</v>
      </c>
      <c r="AC324" s="579" t="s">
        <v>1797</v>
      </c>
      <c r="AD324" s="292">
        <f>AD325</f>
        <v>4749.7</v>
      </c>
      <c r="AE324" s="475">
        <f>AE325</f>
        <v>3979.7</v>
      </c>
      <c r="AF324" s="475">
        <f>AF325</f>
        <v>3979.7</v>
      </c>
      <c r="AG324" s="553"/>
      <c r="AH324" s="553"/>
      <c r="AI324" s="455"/>
    </row>
    <row r="325" spans="1:36" s="344" customFormat="1" x14ac:dyDescent="0.25">
      <c r="A325" s="381"/>
      <c r="B325" s="336"/>
      <c r="C325" s="338"/>
      <c r="D325" s="338"/>
      <c r="E325" s="339"/>
      <c r="F325" s="338"/>
      <c r="G325" s="343"/>
      <c r="H325" s="382"/>
      <c r="I325" s="383"/>
      <c r="J325" s="383"/>
      <c r="K325" s="383"/>
      <c r="L325" s="340"/>
      <c r="M325" s="383"/>
      <c r="N325" s="340"/>
      <c r="O325" s="384"/>
      <c r="P325" s="340"/>
      <c r="Q325" s="342"/>
      <c r="R325" s="362"/>
      <c r="S325" s="362"/>
      <c r="T325" s="362"/>
      <c r="U325" s="362"/>
      <c r="V325" s="362"/>
      <c r="W325" s="382"/>
      <c r="X325" s="519" t="s">
        <v>1568</v>
      </c>
      <c r="Y325" s="246" t="s">
        <v>1394</v>
      </c>
      <c r="Z325" s="235" t="s">
        <v>175</v>
      </c>
      <c r="AA325" s="235" t="s">
        <v>193</v>
      </c>
      <c r="AB325" s="249" t="s">
        <v>2206</v>
      </c>
      <c r="AC325" s="579" t="s">
        <v>1798</v>
      </c>
      <c r="AD325" s="292">
        <f>3979.7+591+179</f>
        <v>4749.7</v>
      </c>
      <c r="AE325" s="475">
        <v>3979.7</v>
      </c>
      <c r="AF325" s="475">
        <v>3979.7</v>
      </c>
      <c r="AG325" s="553"/>
      <c r="AH325" s="553"/>
      <c r="AI325" s="455"/>
    </row>
    <row r="326" spans="1:36" s="344" customFormat="1" x14ac:dyDescent="0.25">
      <c r="A326" s="381"/>
      <c r="B326" s="336"/>
      <c r="C326" s="338"/>
      <c r="D326" s="338"/>
      <c r="E326" s="339"/>
      <c r="F326" s="338"/>
      <c r="G326" s="343"/>
      <c r="H326" s="382"/>
      <c r="I326" s="383"/>
      <c r="J326" s="383"/>
      <c r="K326" s="383"/>
      <c r="L326" s="340"/>
      <c r="M326" s="383"/>
      <c r="N326" s="340"/>
      <c r="O326" s="384"/>
      <c r="P326" s="340"/>
      <c r="Q326" s="342"/>
      <c r="R326" s="362"/>
      <c r="S326" s="362"/>
      <c r="T326" s="362"/>
      <c r="U326" s="362"/>
      <c r="V326" s="362"/>
      <c r="W326" s="382"/>
      <c r="X326" s="519" t="s">
        <v>1781</v>
      </c>
      <c r="Y326" s="246" t="s">
        <v>1394</v>
      </c>
      <c r="Z326" s="235" t="s">
        <v>175</v>
      </c>
      <c r="AA326" s="235" t="s">
        <v>193</v>
      </c>
      <c r="AB326" s="249" t="s">
        <v>2206</v>
      </c>
      <c r="AC326" s="579" t="s">
        <v>821</v>
      </c>
      <c r="AD326" s="292">
        <f>AD327</f>
        <v>507</v>
      </c>
      <c r="AE326" s="475">
        <f>AE327</f>
        <v>729.2</v>
      </c>
      <c r="AF326" s="475">
        <f>AF327</f>
        <v>729.2</v>
      </c>
      <c r="AG326" s="553"/>
      <c r="AH326" s="553"/>
      <c r="AI326" s="455"/>
    </row>
    <row r="327" spans="1:36" s="344" customFormat="1" ht="31.5" x14ac:dyDescent="0.25">
      <c r="A327" s="381"/>
      <c r="B327" s="336"/>
      <c r="C327" s="338"/>
      <c r="D327" s="338"/>
      <c r="E327" s="339"/>
      <c r="F327" s="338"/>
      <c r="G327" s="343"/>
      <c r="H327" s="382"/>
      <c r="I327" s="383"/>
      <c r="J327" s="383"/>
      <c r="K327" s="383"/>
      <c r="L327" s="340"/>
      <c r="M327" s="383"/>
      <c r="N327" s="340"/>
      <c r="O327" s="384"/>
      <c r="P327" s="340"/>
      <c r="Q327" s="342"/>
      <c r="R327" s="362"/>
      <c r="S327" s="362"/>
      <c r="T327" s="362"/>
      <c r="U327" s="362"/>
      <c r="V327" s="362"/>
      <c r="W327" s="382"/>
      <c r="X327" s="519" t="s">
        <v>1273</v>
      </c>
      <c r="Y327" s="246" t="s">
        <v>1394</v>
      </c>
      <c r="Z327" s="235" t="s">
        <v>175</v>
      </c>
      <c r="AA327" s="235" t="s">
        <v>193</v>
      </c>
      <c r="AB327" s="249" t="s">
        <v>2206</v>
      </c>
      <c r="AC327" s="579" t="s">
        <v>1479</v>
      </c>
      <c r="AD327" s="292">
        <f>729.2-2.1-0.1-220</f>
        <v>507</v>
      </c>
      <c r="AE327" s="475">
        <v>729.2</v>
      </c>
      <c r="AF327" s="475">
        <v>729.2</v>
      </c>
      <c r="AG327" s="553"/>
      <c r="AH327" s="553"/>
      <c r="AI327" s="455"/>
    </row>
    <row r="328" spans="1:36" s="344" customFormat="1" x14ac:dyDescent="0.25">
      <c r="A328" s="381"/>
      <c r="B328" s="336"/>
      <c r="C328" s="338"/>
      <c r="D328" s="338"/>
      <c r="E328" s="339"/>
      <c r="F328" s="338"/>
      <c r="G328" s="343"/>
      <c r="H328" s="382"/>
      <c r="I328" s="383"/>
      <c r="J328" s="383"/>
      <c r="K328" s="383"/>
      <c r="L328" s="340"/>
      <c r="M328" s="383"/>
      <c r="N328" s="340"/>
      <c r="O328" s="384"/>
      <c r="P328" s="340"/>
      <c r="Q328" s="342"/>
      <c r="R328" s="362"/>
      <c r="S328" s="362"/>
      <c r="T328" s="362"/>
      <c r="U328" s="362"/>
      <c r="V328" s="362"/>
      <c r="W328" s="382"/>
      <c r="X328" s="519" t="s">
        <v>923</v>
      </c>
      <c r="Y328" s="246" t="s">
        <v>1394</v>
      </c>
      <c r="Z328" s="235" t="s">
        <v>175</v>
      </c>
      <c r="AA328" s="235" t="s">
        <v>193</v>
      </c>
      <c r="AB328" s="249" t="s">
        <v>2206</v>
      </c>
      <c r="AC328" s="579" t="s">
        <v>2240</v>
      </c>
      <c r="AD328" s="292">
        <f>AD329</f>
        <v>2.2000000000000002</v>
      </c>
      <c r="AE328" s="475">
        <f>AE329</f>
        <v>0</v>
      </c>
      <c r="AF328" s="475">
        <f>AF329</f>
        <v>0</v>
      </c>
      <c r="AG328" s="553"/>
      <c r="AH328" s="553"/>
      <c r="AI328" s="455"/>
    </row>
    <row r="329" spans="1:36" s="344" customFormat="1" x14ac:dyDescent="0.25">
      <c r="A329" s="381"/>
      <c r="B329" s="336"/>
      <c r="C329" s="338"/>
      <c r="D329" s="338"/>
      <c r="E329" s="339"/>
      <c r="F329" s="338"/>
      <c r="G329" s="343"/>
      <c r="H329" s="382"/>
      <c r="I329" s="383"/>
      <c r="J329" s="383"/>
      <c r="K329" s="383"/>
      <c r="L329" s="340"/>
      <c r="M329" s="383"/>
      <c r="N329" s="340"/>
      <c r="O329" s="384"/>
      <c r="P329" s="340"/>
      <c r="Q329" s="342"/>
      <c r="R329" s="362"/>
      <c r="S329" s="362"/>
      <c r="T329" s="362"/>
      <c r="U329" s="362"/>
      <c r="V329" s="362"/>
      <c r="W329" s="382"/>
      <c r="X329" s="519" t="s">
        <v>1319</v>
      </c>
      <c r="Y329" s="246" t="s">
        <v>1394</v>
      </c>
      <c r="Z329" s="235" t="s">
        <v>175</v>
      </c>
      <c r="AA329" s="235" t="s">
        <v>193</v>
      </c>
      <c r="AB329" s="249" t="s">
        <v>2206</v>
      </c>
      <c r="AC329" s="579" t="s">
        <v>2391</v>
      </c>
      <c r="AD329" s="292">
        <f>2.1+0.1</f>
        <v>2.2000000000000002</v>
      </c>
      <c r="AE329" s="475">
        <v>0</v>
      </c>
      <c r="AF329" s="475">
        <v>0</v>
      </c>
      <c r="AG329" s="553"/>
      <c r="AH329" s="553"/>
      <c r="AI329" s="455"/>
    </row>
    <row r="330" spans="1:36" s="344" customFormat="1" ht="31.5" x14ac:dyDescent="0.25">
      <c r="A330" s="381"/>
      <c r="B330" s="336"/>
      <c r="C330" s="338"/>
      <c r="D330" s="338"/>
      <c r="E330" s="339"/>
      <c r="F330" s="338"/>
      <c r="G330" s="343"/>
      <c r="H330" s="382"/>
      <c r="I330" s="383"/>
      <c r="J330" s="383"/>
      <c r="K330" s="383"/>
      <c r="L330" s="340"/>
      <c r="M330" s="383"/>
      <c r="N330" s="340"/>
      <c r="O330" s="384"/>
      <c r="P330" s="340"/>
      <c r="Q330" s="342"/>
      <c r="R330" s="362"/>
      <c r="S330" s="362"/>
      <c r="T330" s="362"/>
      <c r="U330" s="362"/>
      <c r="V330" s="362"/>
      <c r="W330" s="382"/>
      <c r="X330" s="520" t="s">
        <v>2102</v>
      </c>
      <c r="Y330" s="246" t="s">
        <v>1394</v>
      </c>
      <c r="Z330" s="235" t="s">
        <v>175</v>
      </c>
      <c r="AA330" s="235" t="s">
        <v>193</v>
      </c>
      <c r="AB330" s="442" t="s">
        <v>1805</v>
      </c>
      <c r="AC330" s="579"/>
      <c r="AD330" s="292">
        <f t="shared" ref="AD330:AF331" si="75">AD331</f>
        <v>816.90000000000009</v>
      </c>
      <c r="AE330" s="475">
        <f t="shared" si="75"/>
        <v>513.5</v>
      </c>
      <c r="AF330" s="475">
        <f t="shared" si="75"/>
        <v>513.5</v>
      </c>
      <c r="AG330" s="553"/>
      <c r="AH330" s="553"/>
      <c r="AI330" s="455"/>
      <c r="AJ330" s="541"/>
    </row>
    <row r="331" spans="1:36" s="344" customFormat="1" ht="47.25" x14ac:dyDescent="0.25">
      <c r="A331" s="381"/>
      <c r="B331" s="336"/>
      <c r="C331" s="338"/>
      <c r="D331" s="338"/>
      <c r="E331" s="339"/>
      <c r="F331" s="338"/>
      <c r="G331" s="343"/>
      <c r="H331" s="382"/>
      <c r="I331" s="383"/>
      <c r="J331" s="383"/>
      <c r="K331" s="383"/>
      <c r="L331" s="340"/>
      <c r="M331" s="383"/>
      <c r="N331" s="340"/>
      <c r="O331" s="384"/>
      <c r="P331" s="340"/>
      <c r="Q331" s="342"/>
      <c r="R331" s="362"/>
      <c r="S331" s="362"/>
      <c r="T331" s="362"/>
      <c r="U331" s="362"/>
      <c r="V331" s="362"/>
      <c r="W331" s="382"/>
      <c r="X331" s="520" t="s">
        <v>2103</v>
      </c>
      <c r="Y331" s="246" t="s">
        <v>1394</v>
      </c>
      <c r="Z331" s="235" t="s">
        <v>175</v>
      </c>
      <c r="AA331" s="235" t="s">
        <v>193</v>
      </c>
      <c r="AB331" s="442" t="s">
        <v>2104</v>
      </c>
      <c r="AC331" s="238"/>
      <c r="AD331" s="292">
        <f t="shared" si="75"/>
        <v>816.90000000000009</v>
      </c>
      <c r="AE331" s="475">
        <f t="shared" si="75"/>
        <v>513.5</v>
      </c>
      <c r="AF331" s="475">
        <f t="shared" si="75"/>
        <v>513.5</v>
      </c>
      <c r="AG331" s="553"/>
      <c r="AH331" s="553"/>
      <c r="AI331" s="455"/>
      <c r="AJ331" s="541"/>
    </row>
    <row r="332" spans="1:36" s="344" customFormat="1" ht="31.5" x14ac:dyDescent="0.25">
      <c r="A332" s="381"/>
      <c r="B332" s="336"/>
      <c r="C332" s="338"/>
      <c r="D332" s="338"/>
      <c r="E332" s="339"/>
      <c r="F332" s="338"/>
      <c r="G332" s="343"/>
      <c r="H332" s="382"/>
      <c r="I332" s="383"/>
      <c r="J332" s="383"/>
      <c r="K332" s="383"/>
      <c r="L332" s="340"/>
      <c r="M332" s="383"/>
      <c r="N332" s="340"/>
      <c r="O332" s="384"/>
      <c r="P332" s="340"/>
      <c r="Q332" s="342"/>
      <c r="R332" s="362"/>
      <c r="S332" s="362"/>
      <c r="T332" s="362"/>
      <c r="U332" s="362"/>
      <c r="V332" s="362"/>
      <c r="W332" s="382"/>
      <c r="X332" s="528" t="s">
        <v>2108</v>
      </c>
      <c r="Y332" s="246" t="s">
        <v>1394</v>
      </c>
      <c r="Z332" s="235" t="s">
        <v>175</v>
      </c>
      <c r="AA332" s="235" t="s">
        <v>193</v>
      </c>
      <c r="AB332" s="442" t="s">
        <v>2109</v>
      </c>
      <c r="AC332" s="238"/>
      <c r="AD332" s="292">
        <f t="shared" ref="AD332:AF334" si="76">AD333</f>
        <v>816.90000000000009</v>
      </c>
      <c r="AE332" s="475">
        <f t="shared" si="76"/>
        <v>513.5</v>
      </c>
      <c r="AF332" s="475">
        <f t="shared" si="76"/>
        <v>513.5</v>
      </c>
      <c r="AG332" s="553"/>
      <c r="AH332" s="553"/>
      <c r="AI332" s="455"/>
    </row>
    <row r="333" spans="1:36" s="344" customFormat="1" ht="47.25" x14ac:dyDescent="0.25">
      <c r="A333" s="381"/>
      <c r="B333" s="336"/>
      <c r="C333" s="338"/>
      <c r="D333" s="338"/>
      <c r="E333" s="339"/>
      <c r="F333" s="338"/>
      <c r="G333" s="343"/>
      <c r="H333" s="382"/>
      <c r="I333" s="383"/>
      <c r="J333" s="383"/>
      <c r="K333" s="383"/>
      <c r="L333" s="340"/>
      <c r="M333" s="383"/>
      <c r="N333" s="340"/>
      <c r="O333" s="384"/>
      <c r="P333" s="340"/>
      <c r="Q333" s="342"/>
      <c r="R333" s="362"/>
      <c r="S333" s="362"/>
      <c r="T333" s="362"/>
      <c r="U333" s="362"/>
      <c r="V333" s="362"/>
      <c r="W333" s="382"/>
      <c r="X333" s="518" t="s">
        <v>2247</v>
      </c>
      <c r="Y333" s="246" t="s">
        <v>1394</v>
      </c>
      <c r="Z333" s="235" t="s">
        <v>175</v>
      </c>
      <c r="AA333" s="235" t="s">
        <v>193</v>
      </c>
      <c r="AB333" s="442" t="s">
        <v>2110</v>
      </c>
      <c r="AC333" s="238"/>
      <c r="AD333" s="292">
        <f>AD334</f>
        <v>816.90000000000009</v>
      </c>
      <c r="AE333" s="475">
        <f>AE334</f>
        <v>513.5</v>
      </c>
      <c r="AF333" s="475">
        <f>AF334</f>
        <v>513.5</v>
      </c>
      <c r="AG333" s="553"/>
      <c r="AH333" s="553"/>
      <c r="AI333" s="455"/>
    </row>
    <row r="334" spans="1:36" s="344" customFormat="1" x14ac:dyDescent="0.25">
      <c r="A334" s="381"/>
      <c r="B334" s="336"/>
      <c r="C334" s="338"/>
      <c r="D334" s="338"/>
      <c r="E334" s="339"/>
      <c r="F334" s="338"/>
      <c r="G334" s="343"/>
      <c r="H334" s="382"/>
      <c r="I334" s="383"/>
      <c r="J334" s="383"/>
      <c r="K334" s="383"/>
      <c r="L334" s="340"/>
      <c r="M334" s="383"/>
      <c r="N334" s="340"/>
      <c r="O334" s="384"/>
      <c r="P334" s="340"/>
      <c r="Q334" s="342"/>
      <c r="R334" s="362"/>
      <c r="S334" s="362"/>
      <c r="T334" s="362"/>
      <c r="U334" s="362"/>
      <c r="V334" s="362"/>
      <c r="W334" s="382"/>
      <c r="X334" s="519" t="s">
        <v>1781</v>
      </c>
      <c r="Y334" s="246" t="s">
        <v>1394</v>
      </c>
      <c r="Z334" s="235" t="s">
        <v>175</v>
      </c>
      <c r="AA334" s="235" t="s">
        <v>193</v>
      </c>
      <c r="AB334" s="442" t="s">
        <v>2110</v>
      </c>
      <c r="AC334" s="238">
        <v>200</v>
      </c>
      <c r="AD334" s="292">
        <f t="shared" si="76"/>
        <v>816.90000000000009</v>
      </c>
      <c r="AE334" s="475">
        <f t="shared" si="76"/>
        <v>513.5</v>
      </c>
      <c r="AF334" s="475">
        <f t="shared" si="76"/>
        <v>513.5</v>
      </c>
      <c r="AG334" s="553"/>
      <c r="AH334" s="553"/>
      <c r="AI334" s="455"/>
    </row>
    <row r="335" spans="1:36" s="344" customFormat="1" ht="31.5" x14ac:dyDescent="0.25">
      <c r="A335" s="381"/>
      <c r="B335" s="336"/>
      <c r="C335" s="338"/>
      <c r="D335" s="338"/>
      <c r="E335" s="339"/>
      <c r="F335" s="338"/>
      <c r="G335" s="343"/>
      <c r="H335" s="382"/>
      <c r="I335" s="383"/>
      <c r="J335" s="383"/>
      <c r="K335" s="383"/>
      <c r="L335" s="340"/>
      <c r="M335" s="383"/>
      <c r="N335" s="340"/>
      <c r="O335" s="384"/>
      <c r="P335" s="340"/>
      <c r="Q335" s="342"/>
      <c r="R335" s="362"/>
      <c r="S335" s="362"/>
      <c r="T335" s="362"/>
      <c r="U335" s="362"/>
      <c r="V335" s="362"/>
      <c r="W335" s="382"/>
      <c r="X335" s="519" t="s">
        <v>1273</v>
      </c>
      <c r="Y335" s="246" t="s">
        <v>1394</v>
      </c>
      <c r="Z335" s="235" t="s">
        <v>175</v>
      </c>
      <c r="AA335" s="235" t="s">
        <v>193</v>
      </c>
      <c r="AB335" s="442" t="s">
        <v>2110</v>
      </c>
      <c r="AC335" s="238">
        <v>240</v>
      </c>
      <c r="AD335" s="292">
        <f>513.5+32.2+421.2-150</f>
        <v>816.90000000000009</v>
      </c>
      <c r="AE335" s="475">
        <v>513.5</v>
      </c>
      <c r="AF335" s="475">
        <v>513.5</v>
      </c>
      <c r="AG335" s="553"/>
      <c r="AH335" s="553"/>
      <c r="AI335" s="455"/>
    </row>
    <row r="336" spans="1:36" s="370" customFormat="1" x14ac:dyDescent="0.25">
      <c r="A336" s="311"/>
      <c r="B336" s="345"/>
      <c r="C336" s="346"/>
      <c r="D336" s="346"/>
      <c r="E336" s="347"/>
      <c r="F336" s="371"/>
      <c r="G336" s="348"/>
      <c r="H336" s="372"/>
      <c r="I336" s="313"/>
      <c r="J336" s="313"/>
      <c r="K336" s="313"/>
      <c r="L336" s="340"/>
      <c r="M336" s="313"/>
      <c r="N336" s="340"/>
      <c r="O336" s="349"/>
      <c r="P336" s="348"/>
      <c r="Q336" s="350"/>
      <c r="R336" s="354"/>
      <c r="S336" s="354"/>
      <c r="T336" s="354"/>
      <c r="U336" s="354"/>
      <c r="V336" s="354"/>
      <c r="W336" s="372"/>
      <c r="X336" s="548" t="s">
        <v>1972</v>
      </c>
      <c r="Y336" s="246" t="s">
        <v>1394</v>
      </c>
      <c r="Z336" s="235" t="s">
        <v>175</v>
      </c>
      <c r="AA336" s="235" t="s">
        <v>193</v>
      </c>
      <c r="AB336" s="442" t="s">
        <v>1973</v>
      </c>
      <c r="AC336" s="579"/>
      <c r="AD336" s="292">
        <f>AD342+AD337</f>
        <v>7010.6999999999989</v>
      </c>
      <c r="AE336" s="292">
        <f t="shared" ref="AE336:AF336" si="77">AE342+AE337</f>
        <v>15960.7</v>
      </c>
      <c r="AF336" s="292">
        <f t="shared" si="77"/>
        <v>6710.7</v>
      </c>
      <c r="AG336" s="553"/>
      <c r="AH336" s="553"/>
      <c r="AI336" s="455"/>
    </row>
    <row r="337" spans="1:35" s="370" customFormat="1" x14ac:dyDescent="0.25">
      <c r="A337" s="311"/>
      <c r="B337" s="345"/>
      <c r="C337" s="346"/>
      <c r="D337" s="346"/>
      <c r="E337" s="347"/>
      <c r="F337" s="371"/>
      <c r="G337" s="348"/>
      <c r="H337" s="372"/>
      <c r="I337" s="313"/>
      <c r="J337" s="313"/>
      <c r="K337" s="313"/>
      <c r="L337" s="340"/>
      <c r="M337" s="313"/>
      <c r="N337" s="340"/>
      <c r="O337" s="349"/>
      <c r="P337" s="348"/>
      <c r="Q337" s="350"/>
      <c r="R337" s="354"/>
      <c r="S337" s="354"/>
      <c r="T337" s="354"/>
      <c r="U337" s="354"/>
      <c r="V337" s="354"/>
      <c r="W337" s="372"/>
      <c r="X337" s="548" t="s">
        <v>2340</v>
      </c>
      <c r="Y337" s="246" t="s">
        <v>1394</v>
      </c>
      <c r="Z337" s="235" t="s">
        <v>175</v>
      </c>
      <c r="AA337" s="235" t="s">
        <v>193</v>
      </c>
      <c r="AB337" s="442" t="s">
        <v>2341</v>
      </c>
      <c r="AC337" s="579"/>
      <c r="AD337" s="292">
        <f>AD338</f>
        <v>0</v>
      </c>
      <c r="AE337" s="292">
        <f t="shared" ref="AE337:AF337" si="78">AE338</f>
        <v>9250</v>
      </c>
      <c r="AF337" s="292">
        <f t="shared" si="78"/>
        <v>0</v>
      </c>
      <c r="AG337" s="553"/>
      <c r="AH337" s="553"/>
      <c r="AI337" s="455"/>
    </row>
    <row r="338" spans="1:35" ht="29.45" customHeight="1" x14ac:dyDescent="0.25">
      <c r="A338" s="237"/>
      <c r="B338" s="237"/>
      <c r="C338" s="237"/>
      <c r="D338" s="237"/>
      <c r="E338" s="237"/>
      <c r="F338" s="237"/>
      <c r="G338" s="237"/>
      <c r="H338" s="237"/>
      <c r="I338" s="237"/>
      <c r="J338" s="237"/>
      <c r="K338" s="237"/>
      <c r="L338" s="237"/>
      <c r="M338" s="237"/>
      <c r="N338" s="237"/>
      <c r="O338" s="237"/>
      <c r="P338" s="237"/>
      <c r="R338" s="237"/>
      <c r="S338" s="237"/>
      <c r="W338" s="237"/>
      <c r="X338" s="548" t="s">
        <v>2407</v>
      </c>
      <c r="Y338" s="246" t="s">
        <v>1394</v>
      </c>
      <c r="Z338" s="235" t="s">
        <v>175</v>
      </c>
      <c r="AA338" s="235" t="s">
        <v>193</v>
      </c>
      <c r="AB338" s="442" t="s">
        <v>2408</v>
      </c>
      <c r="AC338" s="579"/>
      <c r="AD338" s="292">
        <f>AD339</f>
        <v>0</v>
      </c>
      <c r="AE338" s="292">
        <f t="shared" ref="AE338:AF338" si="79">AE339</f>
        <v>9250</v>
      </c>
      <c r="AF338" s="292">
        <f t="shared" si="79"/>
        <v>0</v>
      </c>
      <c r="AG338" s="553"/>
      <c r="AH338" s="553"/>
      <c r="AI338" s="455"/>
    </row>
    <row r="339" spans="1:35" ht="29.45" customHeight="1" x14ac:dyDescent="0.25">
      <c r="A339" s="237"/>
      <c r="B339" s="237"/>
      <c r="C339" s="237"/>
      <c r="D339" s="237"/>
      <c r="E339" s="237"/>
      <c r="F339" s="237"/>
      <c r="G339" s="237"/>
      <c r="H339" s="237"/>
      <c r="I339" s="237"/>
      <c r="J339" s="237"/>
      <c r="K339" s="237"/>
      <c r="L339" s="237"/>
      <c r="M339" s="237"/>
      <c r="N339" s="237"/>
      <c r="O339" s="237"/>
      <c r="P339" s="237"/>
      <c r="R339" s="237"/>
      <c r="S339" s="237"/>
      <c r="W339" s="237"/>
      <c r="X339" s="548" t="s">
        <v>2481</v>
      </c>
      <c r="Y339" s="246" t="s">
        <v>1394</v>
      </c>
      <c r="Z339" s="235" t="s">
        <v>175</v>
      </c>
      <c r="AA339" s="235" t="s">
        <v>193</v>
      </c>
      <c r="AB339" s="442" t="s">
        <v>2482</v>
      </c>
      <c r="AC339" s="579"/>
      <c r="AD339" s="292">
        <f>AD340</f>
        <v>0</v>
      </c>
      <c r="AE339" s="292">
        <f t="shared" ref="AE339:AE340" si="80">AE340</f>
        <v>9250</v>
      </c>
      <c r="AF339" s="292">
        <f t="shared" ref="AF339:AF340" si="81">AF340</f>
        <v>0</v>
      </c>
      <c r="AG339" s="553"/>
      <c r="AH339" s="553"/>
      <c r="AI339" s="455"/>
    </row>
    <row r="340" spans="1:35" ht="24" customHeight="1" x14ac:dyDescent="0.25">
      <c r="A340" s="237"/>
      <c r="B340" s="237"/>
      <c r="C340" s="237"/>
      <c r="D340" s="237"/>
      <c r="E340" s="237"/>
      <c r="F340" s="237"/>
      <c r="G340" s="237"/>
      <c r="H340" s="237"/>
      <c r="I340" s="237"/>
      <c r="J340" s="237"/>
      <c r="K340" s="237"/>
      <c r="L340" s="237"/>
      <c r="M340" s="237"/>
      <c r="N340" s="237"/>
      <c r="O340" s="237"/>
      <c r="P340" s="237"/>
      <c r="R340" s="237"/>
      <c r="S340" s="237"/>
      <c r="W340" s="237"/>
      <c r="X340" s="519" t="s">
        <v>1781</v>
      </c>
      <c r="Y340" s="246" t="s">
        <v>1394</v>
      </c>
      <c r="Z340" s="235" t="s">
        <v>175</v>
      </c>
      <c r="AA340" s="235" t="s">
        <v>193</v>
      </c>
      <c r="AB340" s="442" t="s">
        <v>2482</v>
      </c>
      <c r="AC340" s="579" t="s">
        <v>821</v>
      </c>
      <c r="AD340" s="292">
        <f>AD341</f>
        <v>0</v>
      </c>
      <c r="AE340" s="292">
        <f t="shared" si="80"/>
        <v>9250</v>
      </c>
      <c r="AF340" s="292">
        <f t="shared" si="81"/>
        <v>0</v>
      </c>
      <c r="AG340" s="553"/>
      <c r="AH340" s="553"/>
      <c r="AI340" s="455"/>
    </row>
    <row r="341" spans="1:35" ht="29.45" customHeight="1" x14ac:dyDescent="0.25">
      <c r="A341" s="237"/>
      <c r="B341" s="237"/>
      <c r="C341" s="237"/>
      <c r="D341" s="237"/>
      <c r="E341" s="237"/>
      <c r="F341" s="237"/>
      <c r="G341" s="237"/>
      <c r="H341" s="237"/>
      <c r="I341" s="237"/>
      <c r="J341" s="237"/>
      <c r="K341" s="237"/>
      <c r="L341" s="237"/>
      <c r="M341" s="237"/>
      <c r="N341" s="237"/>
      <c r="O341" s="237"/>
      <c r="P341" s="237"/>
      <c r="R341" s="237"/>
      <c r="S341" s="237"/>
      <c r="W341" s="237"/>
      <c r="X341" s="519" t="s">
        <v>1273</v>
      </c>
      <c r="Y341" s="246" t="s">
        <v>1394</v>
      </c>
      <c r="Z341" s="235" t="s">
        <v>175</v>
      </c>
      <c r="AA341" s="235" t="s">
        <v>193</v>
      </c>
      <c r="AB341" s="442" t="s">
        <v>2482</v>
      </c>
      <c r="AC341" s="579" t="s">
        <v>1479</v>
      </c>
      <c r="AD341" s="292">
        <v>0</v>
      </c>
      <c r="AE341" s="292">
        <v>9250</v>
      </c>
      <c r="AF341" s="292">
        <v>0</v>
      </c>
      <c r="AG341" s="553"/>
      <c r="AH341" s="553"/>
      <c r="AI341" s="455"/>
    </row>
    <row r="342" spans="1:35" s="370" customFormat="1" x14ac:dyDescent="0.25">
      <c r="A342" s="311"/>
      <c r="B342" s="345"/>
      <c r="C342" s="346"/>
      <c r="D342" s="346"/>
      <c r="E342" s="347"/>
      <c r="F342" s="371"/>
      <c r="G342" s="348"/>
      <c r="H342" s="372"/>
      <c r="I342" s="313"/>
      <c r="J342" s="313"/>
      <c r="K342" s="313"/>
      <c r="L342" s="340"/>
      <c r="M342" s="313"/>
      <c r="N342" s="340"/>
      <c r="O342" s="349"/>
      <c r="P342" s="348"/>
      <c r="Q342" s="350"/>
      <c r="R342" s="354"/>
      <c r="S342" s="354"/>
      <c r="T342" s="354"/>
      <c r="U342" s="354"/>
      <c r="V342" s="354"/>
      <c r="W342" s="372"/>
      <c r="X342" s="548" t="s">
        <v>1974</v>
      </c>
      <c r="Y342" s="246" t="s">
        <v>1394</v>
      </c>
      <c r="Z342" s="235" t="s">
        <v>175</v>
      </c>
      <c r="AA342" s="235" t="s">
        <v>193</v>
      </c>
      <c r="AB342" s="442" t="s">
        <v>1975</v>
      </c>
      <c r="AC342" s="579"/>
      <c r="AD342" s="292">
        <f t="shared" ref="AD342:AF348" si="82">AD343</f>
        <v>7010.6999999999989</v>
      </c>
      <c r="AE342" s="475">
        <f t="shared" si="82"/>
        <v>6710.7</v>
      </c>
      <c r="AF342" s="475">
        <f t="shared" si="82"/>
        <v>6710.7</v>
      </c>
      <c r="AG342" s="553"/>
      <c r="AH342" s="553"/>
      <c r="AI342" s="455"/>
    </row>
    <row r="343" spans="1:35" s="370" customFormat="1" ht="31.5" x14ac:dyDescent="0.25">
      <c r="A343" s="311"/>
      <c r="B343" s="345"/>
      <c r="C343" s="346"/>
      <c r="D343" s="346"/>
      <c r="E343" s="347"/>
      <c r="F343" s="371"/>
      <c r="G343" s="348"/>
      <c r="H343" s="372"/>
      <c r="I343" s="313"/>
      <c r="J343" s="313"/>
      <c r="K343" s="313"/>
      <c r="L343" s="340"/>
      <c r="M343" s="313"/>
      <c r="N343" s="340"/>
      <c r="O343" s="349"/>
      <c r="P343" s="348"/>
      <c r="Q343" s="350"/>
      <c r="R343" s="354"/>
      <c r="S343" s="354"/>
      <c r="T343" s="354"/>
      <c r="U343" s="354"/>
      <c r="V343" s="354"/>
      <c r="W343" s="372"/>
      <c r="X343" s="529" t="s">
        <v>2236</v>
      </c>
      <c r="Y343" s="246" t="s">
        <v>1394</v>
      </c>
      <c r="Z343" s="235" t="s">
        <v>175</v>
      </c>
      <c r="AA343" s="235" t="s">
        <v>193</v>
      </c>
      <c r="AB343" s="442" t="s">
        <v>1976</v>
      </c>
      <c r="AC343" s="238"/>
      <c r="AD343" s="292">
        <f>AD347+AD344</f>
        <v>7010.6999999999989</v>
      </c>
      <c r="AE343" s="475">
        <f>AE347</f>
        <v>6710.7</v>
      </c>
      <c r="AF343" s="475">
        <f>AF347</f>
        <v>6710.7</v>
      </c>
      <c r="AG343" s="553"/>
      <c r="AH343" s="553"/>
      <c r="AI343" s="455"/>
    </row>
    <row r="344" spans="1:35" s="370" customFormat="1" x14ac:dyDescent="0.25">
      <c r="A344" s="311"/>
      <c r="B344" s="345"/>
      <c r="C344" s="346"/>
      <c r="D344" s="346"/>
      <c r="E344" s="347"/>
      <c r="F344" s="371"/>
      <c r="G344" s="348"/>
      <c r="H344" s="372"/>
      <c r="I344" s="313"/>
      <c r="J344" s="313"/>
      <c r="K344" s="313"/>
      <c r="L344" s="340"/>
      <c r="M344" s="313"/>
      <c r="N344" s="340"/>
      <c r="O344" s="349"/>
      <c r="P344" s="348"/>
      <c r="Q344" s="350"/>
      <c r="R344" s="354"/>
      <c r="S344" s="354"/>
      <c r="T344" s="354"/>
      <c r="U344" s="354"/>
      <c r="V344" s="354"/>
      <c r="W344" s="372"/>
      <c r="X344" s="529" t="s">
        <v>1977</v>
      </c>
      <c r="Y344" s="246" t="s">
        <v>1394</v>
      </c>
      <c r="Z344" s="235" t="s">
        <v>175</v>
      </c>
      <c r="AA344" s="235" t="s">
        <v>193</v>
      </c>
      <c r="AB344" s="442" t="s">
        <v>1978</v>
      </c>
      <c r="AC344" s="238"/>
      <c r="AD344" s="292">
        <f>AD345</f>
        <v>300</v>
      </c>
      <c r="AE344" s="292">
        <f t="shared" ref="AE344:AF345" si="83">AE345</f>
        <v>0</v>
      </c>
      <c r="AF344" s="292">
        <f t="shared" si="83"/>
        <v>0</v>
      </c>
      <c r="AG344" s="553"/>
      <c r="AH344" s="553"/>
      <c r="AI344" s="455"/>
    </row>
    <row r="345" spans="1:35" s="370" customFormat="1" ht="31.5" x14ac:dyDescent="0.25">
      <c r="A345" s="311"/>
      <c r="B345" s="345"/>
      <c r="C345" s="346"/>
      <c r="D345" s="346"/>
      <c r="E345" s="347"/>
      <c r="F345" s="371"/>
      <c r="G345" s="348"/>
      <c r="H345" s="372"/>
      <c r="I345" s="313"/>
      <c r="J345" s="313"/>
      <c r="K345" s="313"/>
      <c r="L345" s="340"/>
      <c r="M345" s="313"/>
      <c r="N345" s="340"/>
      <c r="O345" s="349"/>
      <c r="P345" s="348"/>
      <c r="Q345" s="350"/>
      <c r="R345" s="354"/>
      <c r="S345" s="354"/>
      <c r="T345" s="354"/>
      <c r="U345" s="354"/>
      <c r="V345" s="354"/>
      <c r="W345" s="372"/>
      <c r="X345" s="519" t="s">
        <v>1342</v>
      </c>
      <c r="Y345" s="246" t="s">
        <v>1394</v>
      </c>
      <c r="Z345" s="235" t="s">
        <v>175</v>
      </c>
      <c r="AA345" s="235" t="s">
        <v>193</v>
      </c>
      <c r="AB345" s="442" t="s">
        <v>1978</v>
      </c>
      <c r="AC345" s="576">
        <v>600</v>
      </c>
      <c r="AD345" s="292">
        <f>AD346</f>
        <v>300</v>
      </c>
      <c r="AE345" s="292">
        <f t="shared" si="83"/>
        <v>0</v>
      </c>
      <c r="AF345" s="292">
        <f t="shared" si="83"/>
        <v>0</v>
      </c>
      <c r="AG345" s="553"/>
      <c r="AH345" s="553"/>
      <c r="AI345" s="455"/>
    </row>
    <row r="346" spans="1:35" s="370" customFormat="1" x14ac:dyDescent="0.25">
      <c r="A346" s="311"/>
      <c r="B346" s="345"/>
      <c r="C346" s="346"/>
      <c r="D346" s="346"/>
      <c r="E346" s="347"/>
      <c r="F346" s="371"/>
      <c r="G346" s="348"/>
      <c r="H346" s="372"/>
      <c r="I346" s="313"/>
      <c r="J346" s="313"/>
      <c r="K346" s="313"/>
      <c r="L346" s="340"/>
      <c r="M346" s="313"/>
      <c r="N346" s="340"/>
      <c r="O346" s="349"/>
      <c r="P346" s="348"/>
      <c r="Q346" s="350"/>
      <c r="R346" s="354"/>
      <c r="S346" s="354"/>
      <c r="T346" s="354"/>
      <c r="U346" s="354"/>
      <c r="V346" s="354"/>
      <c r="W346" s="372"/>
      <c r="X346" s="519" t="s">
        <v>1343</v>
      </c>
      <c r="Y346" s="246" t="s">
        <v>1394</v>
      </c>
      <c r="Z346" s="235" t="s">
        <v>175</v>
      </c>
      <c r="AA346" s="235" t="s">
        <v>193</v>
      </c>
      <c r="AB346" s="442" t="s">
        <v>1978</v>
      </c>
      <c r="AC346" s="238">
        <v>610</v>
      </c>
      <c r="AD346" s="292">
        <v>300</v>
      </c>
      <c r="AE346" s="475">
        <v>0</v>
      </c>
      <c r="AF346" s="475">
        <v>0</v>
      </c>
      <c r="AG346" s="553"/>
      <c r="AH346" s="553"/>
      <c r="AI346" s="455"/>
    </row>
    <row r="347" spans="1:35" s="370" customFormat="1" ht="31.5" x14ac:dyDescent="0.25">
      <c r="A347" s="311"/>
      <c r="B347" s="345"/>
      <c r="C347" s="346"/>
      <c r="D347" s="346"/>
      <c r="E347" s="347"/>
      <c r="F347" s="371"/>
      <c r="G347" s="348"/>
      <c r="H347" s="372"/>
      <c r="I347" s="313"/>
      <c r="J347" s="313"/>
      <c r="K347" s="313"/>
      <c r="L347" s="340"/>
      <c r="M347" s="313"/>
      <c r="N347" s="340"/>
      <c r="O347" s="349"/>
      <c r="P347" s="348"/>
      <c r="Q347" s="350"/>
      <c r="R347" s="354"/>
      <c r="S347" s="354"/>
      <c r="T347" s="354"/>
      <c r="U347" s="354"/>
      <c r="V347" s="354"/>
      <c r="W347" s="372"/>
      <c r="X347" s="529" t="s">
        <v>2141</v>
      </c>
      <c r="Y347" s="246" t="s">
        <v>1394</v>
      </c>
      <c r="Z347" s="235" t="s">
        <v>175</v>
      </c>
      <c r="AA347" s="235" t="s">
        <v>193</v>
      </c>
      <c r="AB347" s="442" t="s">
        <v>2142</v>
      </c>
      <c r="AC347" s="238"/>
      <c r="AD347" s="292">
        <f t="shared" si="82"/>
        <v>6710.6999999999989</v>
      </c>
      <c r="AE347" s="475">
        <f t="shared" si="82"/>
        <v>6710.7</v>
      </c>
      <c r="AF347" s="475">
        <f t="shared" si="82"/>
        <v>6710.7</v>
      </c>
      <c r="AG347" s="553"/>
      <c r="AH347" s="553"/>
      <c r="AI347" s="455"/>
    </row>
    <row r="348" spans="1:35" s="370" customFormat="1" ht="31.5" x14ac:dyDescent="0.25">
      <c r="A348" s="311"/>
      <c r="B348" s="345"/>
      <c r="C348" s="346"/>
      <c r="D348" s="346"/>
      <c r="E348" s="347"/>
      <c r="F348" s="371"/>
      <c r="G348" s="348"/>
      <c r="H348" s="372"/>
      <c r="I348" s="313"/>
      <c r="J348" s="313"/>
      <c r="K348" s="313"/>
      <c r="L348" s="340"/>
      <c r="M348" s="313"/>
      <c r="N348" s="340"/>
      <c r="O348" s="349"/>
      <c r="P348" s="348"/>
      <c r="Q348" s="350"/>
      <c r="R348" s="354"/>
      <c r="S348" s="354"/>
      <c r="T348" s="354"/>
      <c r="U348" s="354"/>
      <c r="V348" s="354"/>
      <c r="W348" s="372"/>
      <c r="X348" s="519" t="s">
        <v>1342</v>
      </c>
      <c r="Y348" s="246" t="s">
        <v>1394</v>
      </c>
      <c r="Z348" s="235" t="s">
        <v>175</v>
      </c>
      <c r="AA348" s="235" t="s">
        <v>193</v>
      </c>
      <c r="AB348" s="442" t="s">
        <v>2142</v>
      </c>
      <c r="AC348" s="576">
        <v>600</v>
      </c>
      <c r="AD348" s="292">
        <f t="shared" si="82"/>
        <v>6710.6999999999989</v>
      </c>
      <c r="AE348" s="475">
        <f t="shared" si="82"/>
        <v>6710.7</v>
      </c>
      <c r="AF348" s="475">
        <f t="shared" si="82"/>
        <v>6710.7</v>
      </c>
      <c r="AG348" s="553"/>
      <c r="AH348" s="553"/>
      <c r="AI348" s="455"/>
    </row>
    <row r="349" spans="1:35" s="370" customFormat="1" x14ac:dyDescent="0.25">
      <c r="A349" s="311"/>
      <c r="B349" s="345"/>
      <c r="C349" s="346"/>
      <c r="D349" s="346"/>
      <c r="E349" s="347"/>
      <c r="F349" s="371"/>
      <c r="G349" s="348"/>
      <c r="H349" s="372"/>
      <c r="I349" s="313"/>
      <c r="J349" s="313"/>
      <c r="K349" s="313"/>
      <c r="L349" s="340"/>
      <c r="M349" s="313"/>
      <c r="N349" s="340"/>
      <c r="O349" s="349"/>
      <c r="P349" s="348"/>
      <c r="Q349" s="350"/>
      <c r="R349" s="354"/>
      <c r="S349" s="354"/>
      <c r="T349" s="354"/>
      <c r="U349" s="354"/>
      <c r="V349" s="354"/>
      <c r="W349" s="372"/>
      <c r="X349" s="519" t="s">
        <v>1343</v>
      </c>
      <c r="Y349" s="246" t="s">
        <v>1394</v>
      </c>
      <c r="Z349" s="235" t="s">
        <v>175</v>
      </c>
      <c r="AA349" s="235" t="s">
        <v>193</v>
      </c>
      <c r="AB349" s="442" t="s">
        <v>2142</v>
      </c>
      <c r="AC349" s="238">
        <v>610</v>
      </c>
      <c r="AD349" s="292">
        <f>6710.7+1551.6-1551.6</f>
        <v>6710.6999999999989</v>
      </c>
      <c r="AE349" s="475">
        <v>6710.7</v>
      </c>
      <c r="AF349" s="475">
        <v>6710.7</v>
      </c>
      <c r="AG349" s="553"/>
      <c r="AH349" s="553"/>
      <c r="AI349" s="455"/>
    </row>
    <row r="350" spans="1:35" s="370" customFormat="1" x14ac:dyDescent="0.25">
      <c r="A350" s="243"/>
      <c r="B350" s="345"/>
      <c r="C350" s="346"/>
      <c r="D350" s="346"/>
      <c r="E350" s="347"/>
      <c r="F350" s="346"/>
      <c r="G350" s="351"/>
      <c r="H350" s="372"/>
      <c r="I350" s="313"/>
      <c r="J350" s="313"/>
      <c r="K350" s="313"/>
      <c r="L350" s="340"/>
      <c r="M350" s="313"/>
      <c r="N350" s="340"/>
      <c r="O350" s="349"/>
      <c r="P350" s="348"/>
      <c r="Q350" s="350"/>
      <c r="R350" s="354"/>
      <c r="S350" s="354"/>
      <c r="T350" s="354"/>
      <c r="U350" s="354"/>
      <c r="V350" s="354"/>
      <c r="W350" s="372"/>
      <c r="X350" s="519" t="s">
        <v>551</v>
      </c>
      <c r="Y350" s="246" t="s">
        <v>1394</v>
      </c>
      <c r="Z350" s="235" t="s">
        <v>175</v>
      </c>
      <c r="AA350" s="235" t="s">
        <v>175</v>
      </c>
      <c r="AB350" s="249"/>
      <c r="AC350" s="238"/>
      <c r="AD350" s="292">
        <f>AD357+AD363+AD351</f>
        <v>9859.6</v>
      </c>
      <c r="AE350" s="475">
        <f>AE357+AE363+AE351</f>
        <v>9916.1</v>
      </c>
      <c r="AF350" s="475">
        <f>AF357+AF363+AF351</f>
        <v>9769.1</v>
      </c>
      <c r="AG350" s="553"/>
      <c r="AH350" s="553"/>
      <c r="AI350" s="455"/>
    </row>
    <row r="351" spans="1:35" s="370" customFormat="1" x14ac:dyDescent="0.25">
      <c r="A351" s="243"/>
      <c r="B351" s="345"/>
      <c r="C351" s="346"/>
      <c r="D351" s="346"/>
      <c r="E351" s="347"/>
      <c r="F351" s="346"/>
      <c r="G351" s="351"/>
      <c r="H351" s="372"/>
      <c r="I351" s="313"/>
      <c r="J351" s="313"/>
      <c r="K351" s="313"/>
      <c r="L351" s="340"/>
      <c r="M351" s="313"/>
      <c r="N351" s="340"/>
      <c r="O351" s="349"/>
      <c r="P351" s="348"/>
      <c r="Q351" s="350"/>
      <c r="R351" s="354"/>
      <c r="S351" s="354"/>
      <c r="T351" s="354"/>
      <c r="U351" s="354"/>
      <c r="V351" s="354"/>
      <c r="W351" s="372"/>
      <c r="X351" s="520" t="s">
        <v>1998</v>
      </c>
      <c r="Y351" s="246" t="s">
        <v>1394</v>
      </c>
      <c r="Z351" s="235" t="s">
        <v>175</v>
      </c>
      <c r="AA351" s="235" t="s">
        <v>175</v>
      </c>
      <c r="AB351" s="442" t="s">
        <v>1774</v>
      </c>
      <c r="AC351" s="238"/>
      <c r="AD351" s="292">
        <f t="shared" ref="AD351:AF352" si="84">AD352</f>
        <v>0</v>
      </c>
      <c r="AE351" s="475">
        <f t="shared" si="84"/>
        <v>147</v>
      </c>
      <c r="AF351" s="475">
        <f t="shared" si="84"/>
        <v>0</v>
      </c>
      <c r="AG351" s="553"/>
      <c r="AH351" s="553"/>
      <c r="AI351" s="455"/>
    </row>
    <row r="352" spans="1:35" s="370" customFormat="1" x14ac:dyDescent="0.25">
      <c r="A352" s="243"/>
      <c r="B352" s="345"/>
      <c r="C352" s="346"/>
      <c r="D352" s="346"/>
      <c r="E352" s="347"/>
      <c r="F352" s="346"/>
      <c r="G352" s="351"/>
      <c r="H352" s="372"/>
      <c r="I352" s="313"/>
      <c r="J352" s="313"/>
      <c r="K352" s="313"/>
      <c r="L352" s="340"/>
      <c r="M352" s="313"/>
      <c r="N352" s="340"/>
      <c r="O352" s="349"/>
      <c r="P352" s="348"/>
      <c r="Q352" s="350"/>
      <c r="R352" s="354"/>
      <c r="S352" s="354"/>
      <c r="T352" s="354"/>
      <c r="U352" s="354"/>
      <c r="V352" s="354"/>
      <c r="W352" s="372"/>
      <c r="X352" s="517" t="s">
        <v>2337</v>
      </c>
      <c r="Y352" s="246" t="s">
        <v>1394</v>
      </c>
      <c r="Z352" s="235" t="s">
        <v>175</v>
      </c>
      <c r="AA352" s="235" t="s">
        <v>175</v>
      </c>
      <c r="AB352" s="442" t="s">
        <v>1801</v>
      </c>
      <c r="AC352" s="238"/>
      <c r="AD352" s="292">
        <f t="shared" si="84"/>
        <v>0</v>
      </c>
      <c r="AE352" s="475">
        <f t="shared" si="84"/>
        <v>147</v>
      </c>
      <c r="AF352" s="475">
        <f t="shared" si="84"/>
        <v>0</v>
      </c>
      <c r="AG352" s="553"/>
      <c r="AH352" s="553"/>
      <c r="AI352" s="455"/>
    </row>
    <row r="353" spans="1:35" s="370" customFormat="1" ht="31.5" x14ac:dyDescent="0.25">
      <c r="A353" s="243"/>
      <c r="B353" s="345"/>
      <c r="C353" s="346"/>
      <c r="D353" s="346"/>
      <c r="E353" s="347"/>
      <c r="F353" s="346"/>
      <c r="G353" s="351"/>
      <c r="H353" s="372"/>
      <c r="I353" s="313"/>
      <c r="J353" s="313"/>
      <c r="K353" s="313"/>
      <c r="L353" s="340"/>
      <c r="M353" s="313"/>
      <c r="N353" s="340"/>
      <c r="O353" s="349"/>
      <c r="P353" s="348"/>
      <c r="Q353" s="350"/>
      <c r="R353" s="354"/>
      <c r="S353" s="354"/>
      <c r="T353" s="354"/>
      <c r="U353" s="354"/>
      <c r="V353" s="354"/>
      <c r="W353" s="372"/>
      <c r="X353" s="521" t="s">
        <v>2014</v>
      </c>
      <c r="Y353" s="246" t="s">
        <v>1394</v>
      </c>
      <c r="Z353" s="235" t="s">
        <v>175</v>
      </c>
      <c r="AA353" s="235" t="s">
        <v>175</v>
      </c>
      <c r="AB353" s="442" t="s">
        <v>1802</v>
      </c>
      <c r="AC353" s="576"/>
      <c r="AD353" s="292">
        <f t="shared" ref="AD353:AF355" si="85">AD354</f>
        <v>0</v>
      </c>
      <c r="AE353" s="475">
        <f t="shared" si="85"/>
        <v>147</v>
      </c>
      <c r="AF353" s="475">
        <f t="shared" si="85"/>
        <v>0</v>
      </c>
      <c r="AG353" s="553"/>
      <c r="AH353" s="553"/>
      <c r="AI353" s="455"/>
    </row>
    <row r="354" spans="1:35" s="370" customFormat="1" x14ac:dyDescent="0.25">
      <c r="A354" s="243"/>
      <c r="B354" s="345"/>
      <c r="C354" s="346"/>
      <c r="D354" s="346"/>
      <c r="E354" s="347"/>
      <c r="F354" s="346"/>
      <c r="G354" s="351"/>
      <c r="H354" s="372"/>
      <c r="I354" s="313"/>
      <c r="J354" s="313"/>
      <c r="K354" s="313"/>
      <c r="L354" s="340"/>
      <c r="M354" s="313"/>
      <c r="N354" s="340"/>
      <c r="O354" s="349"/>
      <c r="P354" s="348"/>
      <c r="Q354" s="350"/>
      <c r="R354" s="354"/>
      <c r="S354" s="354"/>
      <c r="T354" s="354"/>
      <c r="U354" s="354"/>
      <c r="V354" s="354"/>
      <c r="W354" s="372"/>
      <c r="X354" s="521" t="s">
        <v>2015</v>
      </c>
      <c r="Y354" s="246" t="s">
        <v>1394</v>
      </c>
      <c r="Z354" s="235" t="s">
        <v>175</v>
      </c>
      <c r="AA354" s="235" t="s">
        <v>175</v>
      </c>
      <c r="AB354" s="442" t="s">
        <v>2016</v>
      </c>
      <c r="AC354" s="576"/>
      <c r="AD354" s="292">
        <f t="shared" si="85"/>
        <v>0</v>
      </c>
      <c r="AE354" s="475">
        <f t="shared" si="85"/>
        <v>147</v>
      </c>
      <c r="AF354" s="475">
        <f t="shared" si="85"/>
        <v>0</v>
      </c>
      <c r="AG354" s="553"/>
      <c r="AH354" s="553"/>
      <c r="AI354" s="455"/>
    </row>
    <row r="355" spans="1:35" s="370" customFormat="1" x14ac:dyDescent="0.25">
      <c r="A355" s="243"/>
      <c r="B355" s="345"/>
      <c r="C355" s="346"/>
      <c r="D355" s="346"/>
      <c r="E355" s="347"/>
      <c r="F355" s="346"/>
      <c r="G355" s="351"/>
      <c r="H355" s="372"/>
      <c r="I355" s="313"/>
      <c r="J355" s="313"/>
      <c r="K355" s="313"/>
      <c r="L355" s="340"/>
      <c r="M355" s="313"/>
      <c r="N355" s="340"/>
      <c r="O355" s="349"/>
      <c r="P355" s="348"/>
      <c r="Q355" s="350"/>
      <c r="R355" s="354"/>
      <c r="S355" s="354"/>
      <c r="T355" s="354"/>
      <c r="U355" s="354"/>
      <c r="V355" s="354"/>
      <c r="W355" s="372"/>
      <c r="X355" s="519" t="s">
        <v>1781</v>
      </c>
      <c r="Y355" s="246" t="s">
        <v>1394</v>
      </c>
      <c r="Z355" s="235" t="s">
        <v>175</v>
      </c>
      <c r="AA355" s="235" t="s">
        <v>175</v>
      </c>
      <c r="AB355" s="442" t="s">
        <v>2016</v>
      </c>
      <c r="AC355" s="238">
        <v>200</v>
      </c>
      <c r="AD355" s="292">
        <f t="shared" si="85"/>
        <v>0</v>
      </c>
      <c r="AE355" s="475">
        <f t="shared" si="85"/>
        <v>147</v>
      </c>
      <c r="AF355" s="475">
        <f t="shared" si="85"/>
        <v>0</v>
      </c>
      <c r="AG355" s="553"/>
      <c r="AH355" s="553"/>
      <c r="AI355" s="455"/>
    </row>
    <row r="356" spans="1:35" s="370" customFormat="1" ht="31.5" x14ac:dyDescent="0.25">
      <c r="A356" s="243"/>
      <c r="B356" s="345"/>
      <c r="C356" s="346"/>
      <c r="D356" s="346"/>
      <c r="E356" s="347"/>
      <c r="F356" s="346"/>
      <c r="G356" s="351"/>
      <c r="H356" s="372"/>
      <c r="I356" s="313"/>
      <c r="J356" s="313"/>
      <c r="K356" s="313"/>
      <c r="L356" s="340"/>
      <c r="M356" s="313"/>
      <c r="N356" s="340"/>
      <c r="O356" s="349"/>
      <c r="P356" s="348"/>
      <c r="Q356" s="350"/>
      <c r="R356" s="354"/>
      <c r="S356" s="354"/>
      <c r="T356" s="354"/>
      <c r="U356" s="354"/>
      <c r="V356" s="354"/>
      <c r="W356" s="372"/>
      <c r="X356" s="519" t="s">
        <v>1273</v>
      </c>
      <c r="Y356" s="246" t="s">
        <v>1394</v>
      </c>
      <c r="Z356" s="235" t="s">
        <v>175</v>
      </c>
      <c r="AA356" s="235" t="s">
        <v>175</v>
      </c>
      <c r="AB356" s="442" t="s">
        <v>2016</v>
      </c>
      <c r="AC356" s="238">
        <v>240</v>
      </c>
      <c r="AD356" s="292">
        <v>0</v>
      </c>
      <c r="AE356" s="475">
        <v>147</v>
      </c>
      <c r="AF356" s="475">
        <v>0</v>
      </c>
      <c r="AG356" s="553"/>
      <c r="AH356" s="553"/>
      <c r="AI356" s="455"/>
    </row>
    <row r="357" spans="1:35" s="370" customFormat="1" ht="31.5" x14ac:dyDescent="0.25">
      <c r="A357" s="243"/>
      <c r="B357" s="345"/>
      <c r="C357" s="346"/>
      <c r="D357" s="346"/>
      <c r="E357" s="347"/>
      <c r="F357" s="346"/>
      <c r="G357" s="351"/>
      <c r="H357" s="372"/>
      <c r="I357" s="313"/>
      <c r="J357" s="313"/>
      <c r="K357" s="313"/>
      <c r="L357" s="340"/>
      <c r="M357" s="313"/>
      <c r="N357" s="340"/>
      <c r="O357" s="349"/>
      <c r="P357" s="348"/>
      <c r="Q357" s="350"/>
      <c r="R357" s="354"/>
      <c r="S357" s="354"/>
      <c r="T357" s="354"/>
      <c r="U357" s="354"/>
      <c r="V357" s="354"/>
      <c r="W357" s="372"/>
      <c r="X357" s="520" t="s">
        <v>2102</v>
      </c>
      <c r="Y357" s="246" t="s">
        <v>1394</v>
      </c>
      <c r="Z357" s="235" t="s">
        <v>175</v>
      </c>
      <c r="AA357" s="235" t="s">
        <v>175</v>
      </c>
      <c r="AB357" s="442" t="s">
        <v>1805</v>
      </c>
      <c r="AC357" s="238"/>
      <c r="AD357" s="292">
        <f t="shared" ref="AD357:AF359" si="86">AD358</f>
        <v>0</v>
      </c>
      <c r="AE357" s="475">
        <f t="shared" si="86"/>
        <v>4.5</v>
      </c>
      <c r="AF357" s="475">
        <f t="shared" si="86"/>
        <v>4.5</v>
      </c>
      <c r="AG357" s="553"/>
      <c r="AH357" s="553"/>
      <c r="AI357" s="455"/>
    </row>
    <row r="358" spans="1:35" s="370" customFormat="1" ht="47.25" x14ac:dyDescent="0.25">
      <c r="A358" s="243"/>
      <c r="B358" s="345"/>
      <c r="C358" s="346"/>
      <c r="D358" s="346"/>
      <c r="E358" s="347"/>
      <c r="F358" s="346"/>
      <c r="G358" s="351"/>
      <c r="H358" s="372"/>
      <c r="I358" s="313"/>
      <c r="J358" s="313"/>
      <c r="K358" s="313"/>
      <c r="L358" s="340"/>
      <c r="M358" s="313"/>
      <c r="N358" s="340"/>
      <c r="O358" s="349"/>
      <c r="P358" s="348"/>
      <c r="Q358" s="350"/>
      <c r="R358" s="354"/>
      <c r="S358" s="354"/>
      <c r="T358" s="354"/>
      <c r="U358" s="354"/>
      <c r="V358" s="354"/>
      <c r="W358" s="372"/>
      <c r="X358" s="520" t="s">
        <v>2103</v>
      </c>
      <c r="Y358" s="246" t="s">
        <v>1394</v>
      </c>
      <c r="Z358" s="235" t="s">
        <v>175</v>
      </c>
      <c r="AA358" s="235" t="s">
        <v>175</v>
      </c>
      <c r="AB358" s="442" t="s">
        <v>2104</v>
      </c>
      <c r="AC358" s="238"/>
      <c r="AD358" s="292">
        <f t="shared" si="86"/>
        <v>0</v>
      </c>
      <c r="AE358" s="475">
        <f t="shared" si="86"/>
        <v>4.5</v>
      </c>
      <c r="AF358" s="475">
        <f t="shared" si="86"/>
        <v>4.5</v>
      </c>
      <c r="AG358" s="553"/>
      <c r="AH358" s="553"/>
      <c r="AI358" s="455"/>
    </row>
    <row r="359" spans="1:35" s="370" customFormat="1" ht="31.5" x14ac:dyDescent="0.25">
      <c r="A359" s="243"/>
      <c r="B359" s="345"/>
      <c r="C359" s="346"/>
      <c r="D359" s="346"/>
      <c r="E359" s="347"/>
      <c r="F359" s="346"/>
      <c r="G359" s="351"/>
      <c r="H359" s="372"/>
      <c r="I359" s="313"/>
      <c r="J359" s="313"/>
      <c r="K359" s="313"/>
      <c r="L359" s="340"/>
      <c r="M359" s="313"/>
      <c r="N359" s="340"/>
      <c r="O359" s="349"/>
      <c r="P359" s="348"/>
      <c r="Q359" s="350"/>
      <c r="R359" s="354"/>
      <c r="S359" s="354"/>
      <c r="T359" s="354"/>
      <c r="U359" s="354"/>
      <c r="V359" s="354"/>
      <c r="W359" s="372"/>
      <c r="X359" s="528" t="s">
        <v>2105</v>
      </c>
      <c r="Y359" s="246" t="s">
        <v>1394</v>
      </c>
      <c r="Z359" s="235" t="s">
        <v>175</v>
      </c>
      <c r="AA359" s="235" t="s">
        <v>175</v>
      </c>
      <c r="AB359" s="442" t="s">
        <v>2106</v>
      </c>
      <c r="AC359" s="238"/>
      <c r="AD359" s="292">
        <f t="shared" si="86"/>
        <v>0</v>
      </c>
      <c r="AE359" s="475">
        <f t="shared" si="86"/>
        <v>4.5</v>
      </c>
      <c r="AF359" s="475">
        <f t="shared" si="86"/>
        <v>4.5</v>
      </c>
      <c r="AG359" s="553"/>
      <c r="AH359" s="553"/>
      <c r="AI359" s="455"/>
    </row>
    <row r="360" spans="1:35" s="370" customFormat="1" ht="94.5" x14ac:dyDescent="0.25">
      <c r="A360" s="243"/>
      <c r="B360" s="345"/>
      <c r="C360" s="346"/>
      <c r="D360" s="346"/>
      <c r="E360" s="347"/>
      <c r="F360" s="346"/>
      <c r="G360" s="351"/>
      <c r="H360" s="372"/>
      <c r="I360" s="313"/>
      <c r="J360" s="313"/>
      <c r="K360" s="313"/>
      <c r="L360" s="340"/>
      <c r="M360" s="313"/>
      <c r="N360" s="340"/>
      <c r="O360" s="349"/>
      <c r="P360" s="348"/>
      <c r="Q360" s="350"/>
      <c r="R360" s="354"/>
      <c r="S360" s="354"/>
      <c r="T360" s="354"/>
      <c r="U360" s="354"/>
      <c r="V360" s="354"/>
      <c r="W360" s="372"/>
      <c r="X360" s="528" t="s">
        <v>2242</v>
      </c>
      <c r="Y360" s="246" t="s">
        <v>1394</v>
      </c>
      <c r="Z360" s="235" t="s">
        <v>175</v>
      </c>
      <c r="AA360" s="235" t="s">
        <v>175</v>
      </c>
      <c r="AB360" s="471" t="s">
        <v>2107</v>
      </c>
      <c r="AC360" s="238"/>
      <c r="AD360" s="292">
        <f t="shared" ref="AD360:AF361" si="87">AD361</f>
        <v>0</v>
      </c>
      <c r="AE360" s="475">
        <f t="shared" si="87"/>
        <v>4.5</v>
      </c>
      <c r="AF360" s="475">
        <f t="shared" si="87"/>
        <v>4.5</v>
      </c>
      <c r="AG360" s="553"/>
      <c r="AH360" s="553"/>
      <c r="AI360" s="455"/>
    </row>
    <row r="361" spans="1:35" s="370" customFormat="1" x14ac:dyDescent="0.25">
      <c r="A361" s="243"/>
      <c r="B361" s="345"/>
      <c r="C361" s="346"/>
      <c r="D361" s="346"/>
      <c r="E361" s="347"/>
      <c r="F361" s="346"/>
      <c r="G361" s="351"/>
      <c r="H361" s="372"/>
      <c r="I361" s="313"/>
      <c r="J361" s="313"/>
      <c r="K361" s="313"/>
      <c r="L361" s="340"/>
      <c r="M361" s="313"/>
      <c r="N361" s="340"/>
      <c r="O361" s="349"/>
      <c r="P361" s="348"/>
      <c r="Q361" s="350"/>
      <c r="R361" s="354"/>
      <c r="S361" s="354"/>
      <c r="T361" s="354"/>
      <c r="U361" s="354"/>
      <c r="V361" s="354"/>
      <c r="W361" s="372"/>
      <c r="X361" s="519" t="s">
        <v>1781</v>
      </c>
      <c r="Y361" s="246" t="s">
        <v>1394</v>
      </c>
      <c r="Z361" s="235" t="s">
        <v>175</v>
      </c>
      <c r="AA361" s="235" t="s">
        <v>175</v>
      </c>
      <c r="AB361" s="471" t="s">
        <v>2107</v>
      </c>
      <c r="AC361" s="238">
        <v>200</v>
      </c>
      <c r="AD361" s="292">
        <f t="shared" si="87"/>
        <v>0</v>
      </c>
      <c r="AE361" s="475">
        <f t="shared" si="87"/>
        <v>4.5</v>
      </c>
      <c r="AF361" s="475">
        <f t="shared" si="87"/>
        <v>4.5</v>
      </c>
      <c r="AG361" s="553"/>
      <c r="AH361" s="553"/>
      <c r="AI361" s="455"/>
    </row>
    <row r="362" spans="1:35" s="370" customFormat="1" ht="31.5" x14ac:dyDescent="0.25">
      <c r="A362" s="243"/>
      <c r="B362" s="345"/>
      <c r="C362" s="346"/>
      <c r="D362" s="346"/>
      <c r="E362" s="347"/>
      <c r="F362" s="346"/>
      <c r="G362" s="351"/>
      <c r="H362" s="372"/>
      <c r="I362" s="313"/>
      <c r="J362" s="313"/>
      <c r="K362" s="313"/>
      <c r="L362" s="340"/>
      <c r="M362" s="313"/>
      <c r="N362" s="340"/>
      <c r="O362" s="349"/>
      <c r="P362" s="348"/>
      <c r="Q362" s="350"/>
      <c r="R362" s="354"/>
      <c r="S362" s="354"/>
      <c r="T362" s="354"/>
      <c r="U362" s="354"/>
      <c r="V362" s="354"/>
      <c r="W362" s="372"/>
      <c r="X362" s="519" t="s">
        <v>1273</v>
      </c>
      <c r="Y362" s="246" t="s">
        <v>1394</v>
      </c>
      <c r="Z362" s="235" t="s">
        <v>175</v>
      </c>
      <c r="AA362" s="235" t="s">
        <v>175</v>
      </c>
      <c r="AB362" s="471" t="s">
        <v>2107</v>
      </c>
      <c r="AC362" s="238">
        <v>240</v>
      </c>
      <c r="AD362" s="292">
        <v>0</v>
      </c>
      <c r="AE362" s="475">
        <v>4.5</v>
      </c>
      <c r="AF362" s="475">
        <v>4.5</v>
      </c>
      <c r="AG362" s="553"/>
      <c r="AH362" s="553"/>
      <c r="AI362" s="455"/>
    </row>
    <row r="363" spans="1:35" s="370" customFormat="1" ht="31.5" x14ac:dyDescent="0.25">
      <c r="A363" s="380" t="s">
        <v>929</v>
      </c>
      <c r="B363" s="283" t="s">
        <v>1394</v>
      </c>
      <c r="C363" s="235" t="s">
        <v>175</v>
      </c>
      <c r="D363" s="235" t="s">
        <v>175</v>
      </c>
      <c r="E363" s="395" t="s">
        <v>926</v>
      </c>
      <c r="F363" s="235"/>
      <c r="G363" s="379" t="e">
        <f>G371+G383</f>
        <v>#REF!</v>
      </c>
      <c r="H363" s="372"/>
      <c r="I363" s="313"/>
      <c r="J363" s="313"/>
      <c r="K363" s="313"/>
      <c r="L363" s="340"/>
      <c r="M363" s="313"/>
      <c r="N363" s="340"/>
      <c r="O363" s="349"/>
      <c r="P363" s="348"/>
      <c r="Q363" s="350"/>
      <c r="R363" s="354"/>
      <c r="S363" s="354"/>
      <c r="T363" s="354"/>
      <c r="U363" s="354"/>
      <c r="V363" s="354"/>
      <c r="W363" s="372"/>
      <c r="X363" s="520" t="s">
        <v>1988</v>
      </c>
      <c r="Y363" s="246" t="s">
        <v>1394</v>
      </c>
      <c r="Z363" s="235" t="s">
        <v>175</v>
      </c>
      <c r="AA363" s="235" t="s">
        <v>175</v>
      </c>
      <c r="AB363" s="442" t="s">
        <v>1989</v>
      </c>
      <c r="AC363" s="238"/>
      <c r="AD363" s="292">
        <f>AD364+AD369</f>
        <v>9859.6</v>
      </c>
      <c r="AE363" s="475">
        <f>AE364+AE369</f>
        <v>9764.6</v>
      </c>
      <c r="AF363" s="475">
        <f>AF364+AF369</f>
        <v>9764.6</v>
      </c>
      <c r="AG363" s="553"/>
      <c r="AH363" s="553"/>
      <c r="AI363" s="455"/>
    </row>
    <row r="364" spans="1:35" s="370" customFormat="1" x14ac:dyDescent="0.25">
      <c r="A364" s="380"/>
      <c r="B364" s="283"/>
      <c r="C364" s="235"/>
      <c r="D364" s="235"/>
      <c r="E364" s="395"/>
      <c r="F364" s="235"/>
      <c r="G364" s="379"/>
      <c r="H364" s="372"/>
      <c r="I364" s="313"/>
      <c r="J364" s="313"/>
      <c r="K364" s="313"/>
      <c r="L364" s="340"/>
      <c r="M364" s="313"/>
      <c r="N364" s="340"/>
      <c r="O364" s="349"/>
      <c r="P364" s="348"/>
      <c r="Q364" s="350"/>
      <c r="R364" s="354"/>
      <c r="S364" s="354"/>
      <c r="T364" s="354"/>
      <c r="U364" s="354"/>
      <c r="V364" s="354"/>
      <c r="W364" s="372"/>
      <c r="X364" s="517" t="s">
        <v>2368</v>
      </c>
      <c r="Y364" s="246" t="s">
        <v>1394</v>
      </c>
      <c r="Z364" s="235" t="s">
        <v>175</v>
      </c>
      <c r="AA364" s="235" t="s">
        <v>175</v>
      </c>
      <c r="AB364" s="442" t="s">
        <v>1990</v>
      </c>
      <c r="AC364" s="238"/>
      <c r="AD364" s="292">
        <f t="shared" ref="AD364:AF367" si="88">AD365</f>
        <v>239</v>
      </c>
      <c r="AE364" s="475">
        <f t="shared" si="88"/>
        <v>239</v>
      </c>
      <c r="AF364" s="475">
        <f t="shared" si="88"/>
        <v>239</v>
      </c>
      <c r="AG364" s="553"/>
      <c r="AH364" s="553"/>
      <c r="AI364" s="455"/>
    </row>
    <row r="365" spans="1:35" s="370" customFormat="1" ht="52.9" customHeight="1" x14ac:dyDescent="0.25">
      <c r="A365" s="380"/>
      <c r="B365" s="283"/>
      <c r="C365" s="235"/>
      <c r="D365" s="235"/>
      <c r="E365" s="395"/>
      <c r="F365" s="235"/>
      <c r="G365" s="379"/>
      <c r="H365" s="372"/>
      <c r="I365" s="313"/>
      <c r="J365" s="313"/>
      <c r="K365" s="313"/>
      <c r="L365" s="340"/>
      <c r="M365" s="313"/>
      <c r="N365" s="340"/>
      <c r="O365" s="349"/>
      <c r="P365" s="348"/>
      <c r="Q365" s="350"/>
      <c r="R365" s="354"/>
      <c r="S365" s="354"/>
      <c r="T365" s="354"/>
      <c r="U365" s="354"/>
      <c r="V365" s="354"/>
      <c r="W365" s="372"/>
      <c r="X365" s="520" t="s">
        <v>2369</v>
      </c>
      <c r="Y365" s="246" t="s">
        <v>1394</v>
      </c>
      <c r="Z365" s="235" t="s">
        <v>175</v>
      </c>
      <c r="AA365" s="235" t="s">
        <v>175</v>
      </c>
      <c r="AB365" s="442" t="s">
        <v>2173</v>
      </c>
      <c r="AC365" s="238"/>
      <c r="AD365" s="292">
        <f t="shared" si="88"/>
        <v>239</v>
      </c>
      <c r="AE365" s="475">
        <f t="shared" si="88"/>
        <v>239</v>
      </c>
      <c r="AF365" s="475">
        <f t="shared" si="88"/>
        <v>239</v>
      </c>
      <c r="AG365" s="553"/>
      <c r="AH365" s="553"/>
      <c r="AI365" s="455"/>
    </row>
    <row r="366" spans="1:35" s="370" customFormat="1" ht="110.25" x14ac:dyDescent="0.25">
      <c r="A366" s="380"/>
      <c r="B366" s="283"/>
      <c r="C366" s="235"/>
      <c r="D366" s="235"/>
      <c r="E366" s="395"/>
      <c r="F366" s="235"/>
      <c r="G366" s="379"/>
      <c r="H366" s="372"/>
      <c r="I366" s="313"/>
      <c r="J366" s="313"/>
      <c r="K366" s="313"/>
      <c r="L366" s="340"/>
      <c r="M366" s="313"/>
      <c r="N366" s="340"/>
      <c r="O366" s="349"/>
      <c r="P366" s="348"/>
      <c r="Q366" s="350"/>
      <c r="R366" s="354"/>
      <c r="S366" s="354"/>
      <c r="T366" s="354"/>
      <c r="U366" s="354"/>
      <c r="V366" s="354"/>
      <c r="W366" s="372"/>
      <c r="X366" s="520" t="s">
        <v>2175</v>
      </c>
      <c r="Y366" s="246" t="s">
        <v>1394</v>
      </c>
      <c r="Z366" s="235" t="s">
        <v>175</v>
      </c>
      <c r="AA366" s="235" t="s">
        <v>175</v>
      </c>
      <c r="AB366" s="442" t="s">
        <v>2174</v>
      </c>
      <c r="AC366" s="238"/>
      <c r="AD366" s="292">
        <f t="shared" si="88"/>
        <v>239</v>
      </c>
      <c r="AE366" s="475">
        <f t="shared" si="88"/>
        <v>239</v>
      </c>
      <c r="AF366" s="475">
        <f t="shared" si="88"/>
        <v>239</v>
      </c>
      <c r="AG366" s="553"/>
      <c r="AH366" s="553"/>
      <c r="AI366" s="455"/>
    </row>
    <row r="367" spans="1:35" s="370" customFormat="1" ht="47.25" x14ac:dyDescent="0.25">
      <c r="A367" s="380"/>
      <c r="B367" s="283"/>
      <c r="C367" s="235"/>
      <c r="D367" s="235"/>
      <c r="E367" s="395"/>
      <c r="F367" s="235"/>
      <c r="G367" s="379"/>
      <c r="H367" s="372"/>
      <c r="I367" s="313"/>
      <c r="J367" s="313"/>
      <c r="K367" s="313"/>
      <c r="L367" s="340"/>
      <c r="M367" s="313"/>
      <c r="N367" s="340"/>
      <c r="O367" s="349"/>
      <c r="P367" s="348"/>
      <c r="Q367" s="350"/>
      <c r="R367" s="354"/>
      <c r="S367" s="354"/>
      <c r="T367" s="354"/>
      <c r="U367" s="354"/>
      <c r="V367" s="354"/>
      <c r="W367" s="372"/>
      <c r="X367" s="519" t="s">
        <v>921</v>
      </c>
      <c r="Y367" s="246" t="s">
        <v>1394</v>
      </c>
      <c r="Z367" s="235" t="s">
        <v>175</v>
      </c>
      <c r="AA367" s="235" t="s">
        <v>175</v>
      </c>
      <c r="AB367" s="442" t="s">
        <v>2174</v>
      </c>
      <c r="AC367" s="238">
        <v>100</v>
      </c>
      <c r="AD367" s="292">
        <f t="shared" si="88"/>
        <v>239</v>
      </c>
      <c r="AE367" s="475">
        <f t="shared" si="88"/>
        <v>239</v>
      </c>
      <c r="AF367" s="475">
        <f t="shared" si="88"/>
        <v>239</v>
      </c>
      <c r="AG367" s="553"/>
      <c r="AH367" s="553"/>
      <c r="AI367" s="455"/>
    </row>
    <row r="368" spans="1:35" s="370" customFormat="1" x14ac:dyDescent="0.25">
      <c r="A368" s="380"/>
      <c r="B368" s="283"/>
      <c r="C368" s="235"/>
      <c r="D368" s="235"/>
      <c r="E368" s="395"/>
      <c r="F368" s="235"/>
      <c r="G368" s="379"/>
      <c r="H368" s="372"/>
      <c r="I368" s="313"/>
      <c r="J368" s="313"/>
      <c r="K368" s="313"/>
      <c r="L368" s="340"/>
      <c r="M368" s="313"/>
      <c r="N368" s="340"/>
      <c r="O368" s="349"/>
      <c r="P368" s="348"/>
      <c r="Q368" s="350"/>
      <c r="R368" s="354"/>
      <c r="S368" s="354"/>
      <c r="T368" s="354"/>
      <c r="U368" s="354"/>
      <c r="V368" s="354"/>
      <c r="W368" s="372"/>
      <c r="X368" s="519" t="s">
        <v>1747</v>
      </c>
      <c r="Y368" s="246" t="s">
        <v>1394</v>
      </c>
      <c r="Z368" s="235" t="s">
        <v>175</v>
      </c>
      <c r="AA368" s="235" t="s">
        <v>175</v>
      </c>
      <c r="AB368" s="442" t="s">
        <v>2174</v>
      </c>
      <c r="AC368" s="238">
        <v>120</v>
      </c>
      <c r="AD368" s="292">
        <v>239</v>
      </c>
      <c r="AE368" s="475">
        <v>239</v>
      </c>
      <c r="AF368" s="475">
        <v>239</v>
      </c>
      <c r="AG368" s="553"/>
      <c r="AH368" s="553"/>
      <c r="AI368" s="455"/>
    </row>
    <row r="369" spans="1:35" s="370" customFormat="1" x14ac:dyDescent="0.25">
      <c r="A369" s="380"/>
      <c r="B369" s="283"/>
      <c r="C369" s="235"/>
      <c r="D369" s="235"/>
      <c r="E369" s="395"/>
      <c r="F369" s="235"/>
      <c r="G369" s="379"/>
      <c r="H369" s="372"/>
      <c r="I369" s="313"/>
      <c r="J369" s="313"/>
      <c r="K369" s="313"/>
      <c r="L369" s="340"/>
      <c r="M369" s="313"/>
      <c r="N369" s="340"/>
      <c r="O369" s="349"/>
      <c r="P369" s="348"/>
      <c r="Q369" s="350"/>
      <c r="R369" s="354"/>
      <c r="S369" s="354"/>
      <c r="T369" s="354"/>
      <c r="U369" s="354"/>
      <c r="V369" s="354"/>
      <c r="W369" s="372"/>
      <c r="X369" s="520" t="s">
        <v>1160</v>
      </c>
      <c r="Y369" s="246" t="s">
        <v>1394</v>
      </c>
      <c r="Z369" s="235" t="s">
        <v>175</v>
      </c>
      <c r="AA369" s="235" t="s">
        <v>175</v>
      </c>
      <c r="AB369" s="442" t="s">
        <v>2200</v>
      </c>
      <c r="AC369" s="238"/>
      <c r="AD369" s="292">
        <f t="shared" ref="AD369:AF370" si="89">AD370</f>
        <v>9620.6</v>
      </c>
      <c r="AE369" s="475">
        <f t="shared" si="89"/>
        <v>9525.6</v>
      </c>
      <c r="AF369" s="475">
        <f t="shared" si="89"/>
        <v>9525.6</v>
      </c>
      <c r="AG369" s="553"/>
      <c r="AH369" s="553"/>
      <c r="AI369" s="455"/>
    </row>
    <row r="370" spans="1:35" s="370" customFormat="1" ht="31.5" x14ac:dyDescent="0.25">
      <c r="A370" s="380"/>
      <c r="B370" s="283"/>
      <c r="C370" s="235"/>
      <c r="D370" s="235"/>
      <c r="E370" s="395"/>
      <c r="F370" s="235"/>
      <c r="G370" s="379"/>
      <c r="H370" s="372"/>
      <c r="I370" s="313"/>
      <c r="J370" s="313"/>
      <c r="K370" s="313"/>
      <c r="L370" s="340"/>
      <c r="M370" s="313"/>
      <c r="N370" s="340"/>
      <c r="O370" s="349"/>
      <c r="P370" s="348"/>
      <c r="Q370" s="350"/>
      <c r="R370" s="354"/>
      <c r="S370" s="354"/>
      <c r="T370" s="354"/>
      <c r="U370" s="354"/>
      <c r="V370" s="354"/>
      <c r="W370" s="372"/>
      <c r="X370" s="520" t="s">
        <v>1909</v>
      </c>
      <c r="Y370" s="246" t="s">
        <v>1394</v>
      </c>
      <c r="Z370" s="235" t="s">
        <v>175</v>
      </c>
      <c r="AA370" s="235" t="s">
        <v>175</v>
      </c>
      <c r="AB370" s="442" t="s">
        <v>2199</v>
      </c>
      <c r="AC370" s="238"/>
      <c r="AD370" s="292">
        <f t="shared" si="89"/>
        <v>9620.6</v>
      </c>
      <c r="AE370" s="475">
        <f t="shared" si="89"/>
        <v>9525.6</v>
      </c>
      <c r="AF370" s="475">
        <f t="shared" si="89"/>
        <v>9525.6</v>
      </c>
      <c r="AG370" s="553"/>
      <c r="AH370" s="553"/>
      <c r="AI370" s="455"/>
    </row>
    <row r="371" spans="1:35" s="370" customFormat="1" x14ac:dyDescent="0.25">
      <c r="A371" s="380" t="s">
        <v>638</v>
      </c>
      <c r="B371" s="283" t="s">
        <v>1394</v>
      </c>
      <c r="C371" s="235" t="s">
        <v>175</v>
      </c>
      <c r="D371" s="235" t="s">
        <v>175</v>
      </c>
      <c r="E371" s="236" t="s">
        <v>927</v>
      </c>
      <c r="F371" s="235"/>
      <c r="G371" s="379" t="e">
        <f>G372+G377+G380</f>
        <v>#REF!</v>
      </c>
      <c r="H371" s="372"/>
      <c r="I371" s="313"/>
      <c r="J371" s="313"/>
      <c r="K371" s="313"/>
      <c r="L371" s="340"/>
      <c r="M371" s="313"/>
      <c r="N371" s="340"/>
      <c r="O371" s="349"/>
      <c r="P371" s="348"/>
      <c r="Q371" s="350"/>
      <c r="R371" s="354"/>
      <c r="S371" s="354"/>
      <c r="T371" s="354"/>
      <c r="U371" s="354"/>
      <c r="V371" s="354"/>
      <c r="W371" s="372"/>
      <c r="X371" s="519" t="s">
        <v>1923</v>
      </c>
      <c r="Y371" s="246" t="s">
        <v>1394</v>
      </c>
      <c r="Z371" s="235" t="s">
        <v>175</v>
      </c>
      <c r="AA371" s="235" t="s">
        <v>175</v>
      </c>
      <c r="AB371" s="442" t="s">
        <v>2198</v>
      </c>
      <c r="AC371" s="238"/>
      <c r="AD371" s="292">
        <f>AD372+AD377+AD380</f>
        <v>9620.6</v>
      </c>
      <c r="AE371" s="475">
        <f>AE372+AE377+AE380</f>
        <v>9525.6</v>
      </c>
      <c r="AF371" s="475">
        <f>AF372+AF377+AF380</f>
        <v>9525.6</v>
      </c>
      <c r="AG371" s="553"/>
      <c r="AH371" s="553"/>
      <c r="AI371" s="455"/>
    </row>
    <row r="372" spans="1:35" s="370" customFormat="1" ht="31.5" x14ac:dyDescent="0.25">
      <c r="A372" s="380" t="s">
        <v>1682</v>
      </c>
      <c r="B372" s="283" t="s">
        <v>1394</v>
      </c>
      <c r="C372" s="235" t="s">
        <v>175</v>
      </c>
      <c r="D372" s="235" t="s">
        <v>175</v>
      </c>
      <c r="E372" s="236" t="s">
        <v>928</v>
      </c>
      <c r="F372" s="235"/>
      <c r="G372" s="379" t="e">
        <f>G373+#REF!</f>
        <v>#REF!</v>
      </c>
      <c r="H372" s="372"/>
      <c r="I372" s="313"/>
      <c r="J372" s="313"/>
      <c r="K372" s="313"/>
      <c r="L372" s="340"/>
      <c r="M372" s="313"/>
      <c r="N372" s="340"/>
      <c r="O372" s="349"/>
      <c r="P372" s="348"/>
      <c r="Q372" s="350"/>
      <c r="R372" s="354"/>
      <c r="S372" s="354"/>
      <c r="T372" s="354"/>
      <c r="U372" s="354"/>
      <c r="V372" s="354"/>
      <c r="W372" s="372"/>
      <c r="X372" s="519" t="s">
        <v>1924</v>
      </c>
      <c r="Y372" s="246" t="s">
        <v>1394</v>
      </c>
      <c r="Z372" s="235" t="s">
        <v>175</v>
      </c>
      <c r="AA372" s="235" t="s">
        <v>175</v>
      </c>
      <c r="AB372" s="442" t="s">
        <v>2197</v>
      </c>
      <c r="AC372" s="238"/>
      <c r="AD372" s="292">
        <f>AD373+AD375</f>
        <v>1220.4000000000003</v>
      </c>
      <c r="AE372" s="475">
        <f>AE373+AE375</f>
        <v>1125.4000000000001</v>
      </c>
      <c r="AF372" s="475">
        <f>AF373+AF375</f>
        <v>1125.4000000000001</v>
      </c>
      <c r="AG372" s="553"/>
      <c r="AH372" s="553"/>
      <c r="AI372" s="455"/>
    </row>
    <row r="373" spans="1:35" s="370" customFormat="1" ht="31.5" x14ac:dyDescent="0.25">
      <c r="A373" s="378" t="s">
        <v>922</v>
      </c>
      <c r="B373" s="283" t="s">
        <v>1394</v>
      </c>
      <c r="C373" s="235" t="s">
        <v>175</v>
      </c>
      <c r="D373" s="235" t="s">
        <v>175</v>
      </c>
      <c r="E373" s="236" t="s">
        <v>928</v>
      </c>
      <c r="F373" s="235">
        <v>200</v>
      </c>
      <c r="G373" s="379">
        <f>G374</f>
        <v>3195.1000000000004</v>
      </c>
      <c r="H373" s="372"/>
      <c r="I373" s="313"/>
      <c r="J373" s="313"/>
      <c r="K373" s="313"/>
      <c r="L373" s="340"/>
      <c r="M373" s="313"/>
      <c r="N373" s="340"/>
      <c r="O373" s="349"/>
      <c r="P373" s="348"/>
      <c r="Q373" s="350"/>
      <c r="R373" s="354"/>
      <c r="S373" s="354"/>
      <c r="T373" s="354"/>
      <c r="U373" s="354"/>
      <c r="V373" s="354"/>
      <c r="W373" s="372"/>
      <c r="X373" s="519" t="s">
        <v>1781</v>
      </c>
      <c r="Y373" s="246" t="s">
        <v>1394</v>
      </c>
      <c r="Z373" s="235" t="s">
        <v>175</v>
      </c>
      <c r="AA373" s="235" t="s">
        <v>175</v>
      </c>
      <c r="AB373" s="442" t="s">
        <v>2197</v>
      </c>
      <c r="AC373" s="238">
        <v>200</v>
      </c>
      <c r="AD373" s="292">
        <f>AD374</f>
        <v>1195.7000000000003</v>
      </c>
      <c r="AE373" s="475">
        <f>AE374</f>
        <v>1125.4000000000001</v>
      </c>
      <c r="AF373" s="475">
        <f>AF374</f>
        <v>1125.4000000000001</v>
      </c>
      <c r="AG373" s="553"/>
      <c r="AH373" s="553"/>
      <c r="AI373" s="455"/>
    </row>
    <row r="374" spans="1:35" s="370" customFormat="1" ht="31.5" x14ac:dyDescent="0.25">
      <c r="A374" s="396" t="s">
        <v>1273</v>
      </c>
      <c r="B374" s="283" t="s">
        <v>1394</v>
      </c>
      <c r="C374" s="235" t="s">
        <v>175</v>
      </c>
      <c r="D374" s="235" t="s">
        <v>175</v>
      </c>
      <c r="E374" s="236" t="s">
        <v>928</v>
      </c>
      <c r="F374" s="235">
        <v>240</v>
      </c>
      <c r="G374" s="379">
        <f>2288.8+906.3</f>
        <v>3195.1000000000004</v>
      </c>
      <c r="H374" s="372"/>
      <c r="I374" s="313"/>
      <c r="J374" s="313"/>
      <c r="K374" s="313"/>
      <c r="L374" s="348"/>
      <c r="M374" s="313"/>
      <c r="N374" s="348"/>
      <c r="O374" s="349"/>
      <c r="P374" s="348"/>
      <c r="Q374" s="350"/>
      <c r="R374" s="354"/>
      <c r="S374" s="354"/>
      <c r="T374" s="354"/>
      <c r="U374" s="354"/>
      <c r="V374" s="354"/>
      <c r="W374" s="372"/>
      <c r="X374" s="519" t="s">
        <v>1273</v>
      </c>
      <c r="Y374" s="246" t="s">
        <v>1394</v>
      </c>
      <c r="Z374" s="235" t="s">
        <v>175</v>
      </c>
      <c r="AA374" s="235" t="s">
        <v>175</v>
      </c>
      <c r="AB374" s="442" t="s">
        <v>2197</v>
      </c>
      <c r="AC374" s="238">
        <v>240</v>
      </c>
      <c r="AD374" s="292">
        <f>1125.4-0.1-24.6+95</f>
        <v>1195.7000000000003</v>
      </c>
      <c r="AE374" s="475">
        <v>1125.4000000000001</v>
      </c>
      <c r="AF374" s="475">
        <v>1125.4000000000001</v>
      </c>
      <c r="AG374" s="553"/>
      <c r="AH374" s="553"/>
      <c r="AI374" s="455"/>
    </row>
    <row r="375" spans="1:35" s="370" customFormat="1" x14ac:dyDescent="0.25">
      <c r="A375" s="396"/>
      <c r="B375" s="283"/>
      <c r="C375" s="235"/>
      <c r="D375" s="235"/>
      <c r="E375" s="236"/>
      <c r="F375" s="235"/>
      <c r="G375" s="379"/>
      <c r="H375" s="372"/>
      <c r="I375" s="313"/>
      <c r="J375" s="313"/>
      <c r="K375" s="313"/>
      <c r="L375" s="348"/>
      <c r="M375" s="313"/>
      <c r="N375" s="348"/>
      <c r="O375" s="349"/>
      <c r="P375" s="348"/>
      <c r="Q375" s="350"/>
      <c r="R375" s="354"/>
      <c r="S375" s="354"/>
      <c r="T375" s="354"/>
      <c r="U375" s="354"/>
      <c r="V375" s="354"/>
      <c r="W375" s="372"/>
      <c r="X375" s="519" t="s">
        <v>923</v>
      </c>
      <c r="Y375" s="246" t="s">
        <v>1394</v>
      </c>
      <c r="Z375" s="235" t="s">
        <v>175</v>
      </c>
      <c r="AA375" s="235" t="s">
        <v>175</v>
      </c>
      <c r="AB375" s="442" t="s">
        <v>2197</v>
      </c>
      <c r="AC375" s="238">
        <v>800</v>
      </c>
      <c r="AD375" s="292">
        <f>AD376</f>
        <v>24.7</v>
      </c>
      <c r="AE375" s="475">
        <f>AE376</f>
        <v>0</v>
      </c>
      <c r="AF375" s="475">
        <f>AF376</f>
        <v>0</v>
      </c>
      <c r="AG375" s="553"/>
      <c r="AH375" s="553"/>
      <c r="AI375" s="455"/>
    </row>
    <row r="376" spans="1:35" s="370" customFormat="1" x14ac:dyDescent="0.25">
      <c r="A376" s="396"/>
      <c r="B376" s="283"/>
      <c r="C376" s="235"/>
      <c r="D376" s="235"/>
      <c r="E376" s="236"/>
      <c r="F376" s="235"/>
      <c r="G376" s="379"/>
      <c r="H376" s="372"/>
      <c r="I376" s="313"/>
      <c r="J376" s="313"/>
      <c r="K376" s="313"/>
      <c r="L376" s="348"/>
      <c r="M376" s="313"/>
      <c r="N376" s="348"/>
      <c r="O376" s="349"/>
      <c r="P376" s="348"/>
      <c r="Q376" s="350"/>
      <c r="R376" s="354"/>
      <c r="S376" s="354"/>
      <c r="T376" s="354"/>
      <c r="U376" s="354"/>
      <c r="V376" s="354"/>
      <c r="W376" s="372"/>
      <c r="X376" s="519" t="s">
        <v>1319</v>
      </c>
      <c r="Y376" s="246" t="s">
        <v>1394</v>
      </c>
      <c r="Z376" s="235" t="s">
        <v>175</v>
      </c>
      <c r="AA376" s="235" t="s">
        <v>175</v>
      </c>
      <c r="AB376" s="442" t="s">
        <v>2197</v>
      </c>
      <c r="AC376" s="238">
        <v>850</v>
      </c>
      <c r="AD376" s="292">
        <f>24.7</f>
        <v>24.7</v>
      </c>
      <c r="AE376" s="475">
        <v>0</v>
      </c>
      <c r="AF376" s="475">
        <v>0</v>
      </c>
      <c r="AG376" s="553"/>
      <c r="AH376" s="553"/>
      <c r="AI376" s="455"/>
    </row>
    <row r="377" spans="1:35" s="370" customFormat="1" ht="47.25" x14ac:dyDescent="0.25">
      <c r="A377" s="380" t="s">
        <v>1294</v>
      </c>
      <c r="B377" s="283" t="s">
        <v>1394</v>
      </c>
      <c r="C377" s="235" t="s">
        <v>175</v>
      </c>
      <c r="D377" s="235" t="s">
        <v>175</v>
      </c>
      <c r="E377" s="236" t="s">
        <v>930</v>
      </c>
      <c r="F377" s="235"/>
      <c r="G377" s="379">
        <f>G378</f>
        <v>7341.9</v>
      </c>
      <c r="H377" s="372"/>
      <c r="I377" s="313"/>
      <c r="J377" s="313"/>
      <c r="K377" s="313"/>
      <c r="L377" s="340"/>
      <c r="M377" s="313"/>
      <c r="N377" s="340"/>
      <c r="O377" s="349"/>
      <c r="P377" s="348"/>
      <c r="Q377" s="350"/>
      <c r="R377" s="354"/>
      <c r="S377" s="354"/>
      <c r="T377" s="354"/>
      <c r="U377" s="354"/>
      <c r="V377" s="354"/>
      <c r="W377" s="372"/>
      <c r="X377" s="519" t="s">
        <v>1925</v>
      </c>
      <c r="Y377" s="246" t="s">
        <v>1394</v>
      </c>
      <c r="Z377" s="235" t="s">
        <v>175</v>
      </c>
      <c r="AA377" s="235" t="s">
        <v>175</v>
      </c>
      <c r="AB377" s="442" t="s">
        <v>2196</v>
      </c>
      <c r="AC377" s="238"/>
      <c r="AD377" s="292">
        <f t="shared" ref="AD377:AF378" si="90">AD378</f>
        <v>4697.3</v>
      </c>
      <c r="AE377" s="475">
        <f t="shared" si="90"/>
        <v>4697.3</v>
      </c>
      <c r="AF377" s="475">
        <f t="shared" si="90"/>
        <v>4697.3</v>
      </c>
      <c r="AG377" s="553"/>
      <c r="AH377" s="553"/>
      <c r="AI377" s="455"/>
    </row>
    <row r="378" spans="1:35" s="370" customFormat="1" ht="63" x14ac:dyDescent="0.25">
      <c r="A378" s="396" t="s">
        <v>921</v>
      </c>
      <c r="B378" s="283" t="s">
        <v>1394</v>
      </c>
      <c r="C378" s="235" t="s">
        <v>175</v>
      </c>
      <c r="D378" s="235" t="s">
        <v>175</v>
      </c>
      <c r="E378" s="236" t="s">
        <v>930</v>
      </c>
      <c r="F378" s="235">
        <v>100</v>
      </c>
      <c r="G378" s="379">
        <f>G379</f>
        <v>7341.9</v>
      </c>
      <c r="H378" s="372"/>
      <c r="I378" s="313"/>
      <c r="J378" s="313"/>
      <c r="K378" s="313"/>
      <c r="L378" s="348"/>
      <c r="M378" s="313"/>
      <c r="N378" s="348"/>
      <c r="O378" s="349"/>
      <c r="P378" s="348"/>
      <c r="Q378" s="350"/>
      <c r="R378" s="354"/>
      <c r="S378" s="354"/>
      <c r="T378" s="354"/>
      <c r="U378" s="354"/>
      <c r="V378" s="354"/>
      <c r="W378" s="372"/>
      <c r="X378" s="519" t="s">
        <v>921</v>
      </c>
      <c r="Y378" s="246" t="s">
        <v>1394</v>
      </c>
      <c r="Z378" s="235" t="s">
        <v>175</v>
      </c>
      <c r="AA378" s="235" t="s">
        <v>175</v>
      </c>
      <c r="AB378" s="442" t="s">
        <v>2196</v>
      </c>
      <c r="AC378" s="238">
        <v>100</v>
      </c>
      <c r="AD378" s="292">
        <f t="shared" si="90"/>
        <v>4697.3</v>
      </c>
      <c r="AE378" s="475">
        <f t="shared" si="90"/>
        <v>4697.3</v>
      </c>
      <c r="AF378" s="475">
        <f t="shared" si="90"/>
        <v>4697.3</v>
      </c>
      <c r="AG378" s="553"/>
      <c r="AH378" s="553"/>
      <c r="AI378" s="455"/>
    </row>
    <row r="379" spans="1:35" s="370" customFormat="1" ht="31.5" x14ac:dyDescent="0.25">
      <c r="A379" s="378" t="s">
        <v>1747</v>
      </c>
      <c r="B379" s="283" t="s">
        <v>1394</v>
      </c>
      <c r="C379" s="235" t="s">
        <v>175</v>
      </c>
      <c r="D379" s="235" t="s">
        <v>175</v>
      </c>
      <c r="E379" s="236" t="s">
        <v>930</v>
      </c>
      <c r="F379" s="235">
        <v>120</v>
      </c>
      <c r="G379" s="379">
        <f>1564+5777.9</f>
        <v>7341.9</v>
      </c>
      <c r="H379" s="372"/>
      <c r="I379" s="313"/>
      <c r="J379" s="313"/>
      <c r="K379" s="313"/>
      <c r="L379" s="340"/>
      <c r="M379" s="313"/>
      <c r="N379" s="340"/>
      <c r="O379" s="349"/>
      <c r="P379" s="348"/>
      <c r="Q379" s="350"/>
      <c r="R379" s="354"/>
      <c r="S379" s="354"/>
      <c r="T379" s="354"/>
      <c r="U379" s="354"/>
      <c r="V379" s="354"/>
      <c r="W379" s="372"/>
      <c r="X379" s="519" t="s">
        <v>1747</v>
      </c>
      <c r="Y379" s="246" t="s">
        <v>1394</v>
      </c>
      <c r="Z379" s="235" t="s">
        <v>175</v>
      </c>
      <c r="AA379" s="235" t="s">
        <v>175</v>
      </c>
      <c r="AB379" s="442" t="s">
        <v>2196</v>
      </c>
      <c r="AC379" s="238">
        <v>120</v>
      </c>
      <c r="AD379" s="292">
        <v>4697.3</v>
      </c>
      <c r="AE379" s="475">
        <v>4697.3</v>
      </c>
      <c r="AF379" s="475">
        <v>4697.3</v>
      </c>
      <c r="AG379" s="553"/>
      <c r="AH379" s="553"/>
      <c r="AI379" s="455"/>
    </row>
    <row r="380" spans="1:35" s="370" customFormat="1" ht="31.5" x14ac:dyDescent="0.25">
      <c r="A380" s="380" t="s">
        <v>720</v>
      </c>
      <c r="B380" s="283" t="s">
        <v>1394</v>
      </c>
      <c r="C380" s="235" t="s">
        <v>175</v>
      </c>
      <c r="D380" s="235" t="s">
        <v>175</v>
      </c>
      <c r="E380" s="236" t="s">
        <v>931</v>
      </c>
      <c r="F380" s="235"/>
      <c r="G380" s="379">
        <f>G381</f>
        <v>16897.099999999999</v>
      </c>
      <c r="H380" s="372"/>
      <c r="I380" s="313"/>
      <c r="J380" s="313"/>
      <c r="K380" s="313"/>
      <c r="L380" s="340"/>
      <c r="M380" s="313"/>
      <c r="N380" s="340"/>
      <c r="O380" s="349"/>
      <c r="P380" s="348"/>
      <c r="Q380" s="350"/>
      <c r="R380" s="354"/>
      <c r="S380" s="354"/>
      <c r="T380" s="354"/>
      <c r="U380" s="354"/>
      <c r="V380" s="354"/>
      <c r="W380" s="372"/>
      <c r="X380" s="519" t="s">
        <v>1926</v>
      </c>
      <c r="Y380" s="246" t="s">
        <v>1394</v>
      </c>
      <c r="Z380" s="235" t="s">
        <v>175</v>
      </c>
      <c r="AA380" s="235" t="s">
        <v>175</v>
      </c>
      <c r="AB380" s="442" t="s">
        <v>2195</v>
      </c>
      <c r="AC380" s="238"/>
      <c r="AD380" s="292">
        <f t="shared" ref="AD380:AF381" si="91">AD381</f>
        <v>3702.9</v>
      </c>
      <c r="AE380" s="475">
        <f t="shared" si="91"/>
        <v>3702.9</v>
      </c>
      <c r="AF380" s="475">
        <f t="shared" si="91"/>
        <v>3702.9</v>
      </c>
      <c r="AG380" s="553"/>
      <c r="AH380" s="553"/>
      <c r="AI380" s="455"/>
    </row>
    <row r="381" spans="1:35" s="370" customFormat="1" ht="63" x14ac:dyDescent="0.25">
      <c r="A381" s="396" t="s">
        <v>921</v>
      </c>
      <c r="B381" s="283" t="s">
        <v>1394</v>
      </c>
      <c r="C381" s="235" t="s">
        <v>175</v>
      </c>
      <c r="D381" s="235" t="s">
        <v>175</v>
      </c>
      <c r="E381" s="236" t="s">
        <v>931</v>
      </c>
      <c r="F381" s="235">
        <v>100</v>
      </c>
      <c r="G381" s="379">
        <f>G382</f>
        <v>16897.099999999999</v>
      </c>
      <c r="H381" s="372"/>
      <c r="I381" s="313"/>
      <c r="J381" s="313"/>
      <c r="K381" s="313"/>
      <c r="L381" s="340"/>
      <c r="M381" s="313"/>
      <c r="N381" s="340"/>
      <c r="O381" s="349"/>
      <c r="P381" s="348"/>
      <c r="Q381" s="350"/>
      <c r="R381" s="354"/>
      <c r="S381" s="354"/>
      <c r="T381" s="354"/>
      <c r="U381" s="354"/>
      <c r="V381" s="354"/>
      <c r="W381" s="372"/>
      <c r="X381" s="519" t="s">
        <v>921</v>
      </c>
      <c r="Y381" s="246" t="s">
        <v>1394</v>
      </c>
      <c r="Z381" s="235" t="s">
        <v>175</v>
      </c>
      <c r="AA381" s="235" t="s">
        <v>175</v>
      </c>
      <c r="AB381" s="442" t="s">
        <v>2195</v>
      </c>
      <c r="AC381" s="238">
        <v>100</v>
      </c>
      <c r="AD381" s="292">
        <f t="shared" si="91"/>
        <v>3702.9</v>
      </c>
      <c r="AE381" s="475">
        <f t="shared" si="91"/>
        <v>3702.9</v>
      </c>
      <c r="AF381" s="475">
        <f t="shared" si="91"/>
        <v>3702.9</v>
      </c>
      <c r="AG381" s="553"/>
      <c r="AH381" s="553"/>
      <c r="AI381" s="455"/>
    </row>
    <row r="382" spans="1:35" s="370" customFormat="1" ht="31.5" x14ac:dyDescent="0.25">
      <c r="A382" s="378" t="s">
        <v>1747</v>
      </c>
      <c r="B382" s="283" t="s">
        <v>1394</v>
      </c>
      <c r="C382" s="235" t="s">
        <v>175</v>
      </c>
      <c r="D382" s="235" t="s">
        <v>175</v>
      </c>
      <c r="E382" s="236" t="s">
        <v>931</v>
      </c>
      <c r="F382" s="235">
        <v>120</v>
      </c>
      <c r="G382" s="379">
        <f>5536.1+11361</f>
        <v>16897.099999999999</v>
      </c>
      <c r="H382" s="372"/>
      <c r="I382" s="313"/>
      <c r="J382" s="313"/>
      <c r="K382" s="313"/>
      <c r="L382" s="340"/>
      <c r="M382" s="313"/>
      <c r="N382" s="340"/>
      <c r="O382" s="349"/>
      <c r="P382" s="348"/>
      <c r="Q382" s="350"/>
      <c r="R382" s="354"/>
      <c r="S382" s="354"/>
      <c r="T382" s="354"/>
      <c r="U382" s="354"/>
      <c r="V382" s="354"/>
      <c r="W382" s="372"/>
      <c r="X382" s="519" t="s">
        <v>1747</v>
      </c>
      <c r="Y382" s="246" t="s">
        <v>1394</v>
      </c>
      <c r="Z382" s="235" t="s">
        <v>175</v>
      </c>
      <c r="AA382" s="235" t="s">
        <v>175</v>
      </c>
      <c r="AB382" s="442" t="s">
        <v>2195</v>
      </c>
      <c r="AC382" s="238">
        <v>120</v>
      </c>
      <c r="AD382" s="292">
        <v>3702.9</v>
      </c>
      <c r="AE382" s="475">
        <v>3702.9</v>
      </c>
      <c r="AF382" s="475">
        <v>3702.9</v>
      </c>
      <c r="AG382" s="553"/>
      <c r="AH382" s="553"/>
      <c r="AI382" s="455"/>
    </row>
    <row r="383" spans="1:35" s="344" customFormat="1" x14ac:dyDescent="0.25">
      <c r="A383" s="335"/>
      <c r="B383" s="336"/>
      <c r="C383" s="338"/>
      <c r="D383" s="339"/>
      <c r="E383" s="339"/>
      <c r="F383" s="339"/>
      <c r="G383" s="340"/>
      <c r="H383" s="340"/>
      <c r="I383" s="340"/>
      <c r="J383" s="340"/>
      <c r="K383" s="340"/>
      <c r="L383" s="340"/>
      <c r="M383" s="340"/>
      <c r="N383" s="340"/>
      <c r="O383" s="341"/>
      <c r="P383" s="340"/>
      <c r="Q383" s="342"/>
      <c r="R383" s="362"/>
      <c r="S383" s="362"/>
      <c r="T383" s="362"/>
      <c r="U383" s="362"/>
      <c r="V383" s="362"/>
      <c r="W383" s="362"/>
      <c r="X383" s="558" t="s">
        <v>174</v>
      </c>
      <c r="Y383" s="574" t="s">
        <v>1394</v>
      </c>
      <c r="Z383" s="247" t="s">
        <v>205</v>
      </c>
      <c r="AA383" s="248"/>
      <c r="AB383" s="271"/>
      <c r="AC383" s="575"/>
      <c r="AD383" s="733">
        <f>AD384+AD408+AD427</f>
        <v>66195</v>
      </c>
      <c r="AE383" s="478">
        <f>AE384+AE408+AE427</f>
        <v>48002.9</v>
      </c>
      <c r="AF383" s="478">
        <f>AF384+AF408+AF427</f>
        <v>47980</v>
      </c>
      <c r="AG383" s="640"/>
      <c r="AH383" s="640"/>
      <c r="AI383" s="455"/>
    </row>
    <row r="384" spans="1:35" s="344" customFormat="1" x14ac:dyDescent="0.25">
      <c r="A384" s="335"/>
      <c r="B384" s="336"/>
      <c r="C384" s="338"/>
      <c r="D384" s="339"/>
      <c r="E384" s="339"/>
      <c r="F384" s="339"/>
      <c r="G384" s="340"/>
      <c r="H384" s="340"/>
      <c r="I384" s="340"/>
      <c r="J384" s="340"/>
      <c r="K384" s="340"/>
      <c r="L384" s="340"/>
      <c r="M384" s="340"/>
      <c r="N384" s="340"/>
      <c r="O384" s="341"/>
      <c r="P384" s="340"/>
      <c r="Q384" s="342"/>
      <c r="R384" s="362"/>
      <c r="S384" s="362"/>
      <c r="T384" s="362"/>
      <c r="U384" s="362"/>
      <c r="V384" s="362"/>
      <c r="W384" s="362"/>
      <c r="X384" s="519" t="s">
        <v>1812</v>
      </c>
      <c r="Y384" s="246" t="s">
        <v>1394</v>
      </c>
      <c r="Z384" s="236" t="s">
        <v>205</v>
      </c>
      <c r="AA384" s="235" t="s">
        <v>193</v>
      </c>
      <c r="AB384" s="271"/>
      <c r="AC384" s="575"/>
      <c r="AD384" s="292">
        <f>AD395+AD385+AD402</f>
        <v>63050.5</v>
      </c>
      <c r="AE384" s="292">
        <f t="shared" ref="AE384:AF384" si="92">AE395+AE385+AE402</f>
        <v>43460.5</v>
      </c>
      <c r="AF384" s="292">
        <f t="shared" si="92"/>
        <v>43460.5</v>
      </c>
      <c r="AG384" s="553"/>
      <c r="AH384" s="553"/>
      <c r="AI384" s="455"/>
    </row>
    <row r="385" spans="1:35" s="344" customFormat="1" x14ac:dyDescent="0.25">
      <c r="A385" s="335"/>
      <c r="B385" s="336"/>
      <c r="C385" s="338"/>
      <c r="D385" s="339"/>
      <c r="E385" s="339"/>
      <c r="F385" s="339"/>
      <c r="G385" s="340"/>
      <c r="H385" s="340"/>
      <c r="I385" s="340"/>
      <c r="J385" s="340"/>
      <c r="K385" s="340"/>
      <c r="L385" s="340"/>
      <c r="M385" s="340"/>
      <c r="N385" s="340"/>
      <c r="O385" s="341"/>
      <c r="P385" s="340"/>
      <c r="Q385" s="342"/>
      <c r="R385" s="362"/>
      <c r="S385" s="362"/>
      <c r="T385" s="362"/>
      <c r="U385" s="362"/>
      <c r="V385" s="362"/>
      <c r="W385" s="362"/>
      <c r="X385" s="520" t="s">
        <v>1998</v>
      </c>
      <c r="Y385" s="246" t="s">
        <v>1394</v>
      </c>
      <c r="Z385" s="236" t="s">
        <v>205</v>
      </c>
      <c r="AA385" s="235" t="s">
        <v>193</v>
      </c>
      <c r="AB385" s="442" t="s">
        <v>1774</v>
      </c>
      <c r="AC385" s="575"/>
      <c r="AD385" s="292">
        <f>AD386+AD390</f>
        <v>62695.5</v>
      </c>
      <c r="AE385" s="475">
        <f>AE386+AE390</f>
        <v>43445.5</v>
      </c>
      <c r="AF385" s="475">
        <f>AF386+AF390</f>
        <v>43445.5</v>
      </c>
      <c r="AG385" s="553"/>
      <c r="AH385" s="553"/>
      <c r="AI385" s="455"/>
    </row>
    <row r="386" spans="1:35" s="344" customFormat="1" ht="47.25" x14ac:dyDescent="0.25">
      <c r="A386" s="335"/>
      <c r="B386" s="336"/>
      <c r="C386" s="338"/>
      <c r="D386" s="339"/>
      <c r="E386" s="339"/>
      <c r="F386" s="339"/>
      <c r="G386" s="340"/>
      <c r="H386" s="340"/>
      <c r="I386" s="340"/>
      <c r="J386" s="340"/>
      <c r="K386" s="340"/>
      <c r="L386" s="340"/>
      <c r="M386" s="340"/>
      <c r="N386" s="340"/>
      <c r="O386" s="341"/>
      <c r="P386" s="340"/>
      <c r="Q386" s="342"/>
      <c r="R386" s="362"/>
      <c r="S386" s="362"/>
      <c r="T386" s="362"/>
      <c r="U386" s="362"/>
      <c r="V386" s="362"/>
      <c r="W386" s="362"/>
      <c r="X386" s="552" t="s">
        <v>2415</v>
      </c>
      <c r="Y386" s="246" t="s">
        <v>1394</v>
      </c>
      <c r="Z386" s="236" t="s">
        <v>205</v>
      </c>
      <c r="AA386" s="235" t="s">
        <v>193</v>
      </c>
      <c r="AB386" s="442" t="s">
        <v>2267</v>
      </c>
      <c r="AC386" s="238"/>
      <c r="AD386" s="292">
        <f>AD387</f>
        <v>14250</v>
      </c>
      <c r="AE386" s="475">
        <f>AE387</f>
        <v>0</v>
      </c>
      <c r="AF386" s="475">
        <f>AF387</f>
        <v>0</v>
      </c>
      <c r="AG386" s="553"/>
      <c r="AH386" s="553"/>
      <c r="AI386" s="455"/>
    </row>
    <row r="387" spans="1:35" s="344" customFormat="1" ht="47.25" x14ac:dyDescent="0.25">
      <c r="A387" s="335"/>
      <c r="B387" s="336"/>
      <c r="C387" s="338"/>
      <c r="D387" s="339"/>
      <c r="E387" s="339"/>
      <c r="F387" s="339"/>
      <c r="G387" s="340"/>
      <c r="H387" s="340"/>
      <c r="I387" s="340"/>
      <c r="J387" s="340"/>
      <c r="K387" s="340"/>
      <c r="L387" s="340"/>
      <c r="M387" s="340"/>
      <c r="N387" s="340"/>
      <c r="O387" s="341"/>
      <c r="P387" s="340"/>
      <c r="Q387" s="342"/>
      <c r="R387" s="362"/>
      <c r="S387" s="362"/>
      <c r="T387" s="362"/>
      <c r="U387" s="362"/>
      <c r="V387" s="362"/>
      <c r="W387" s="362"/>
      <c r="X387" s="523" t="s">
        <v>2219</v>
      </c>
      <c r="Y387" s="246" t="s">
        <v>1394</v>
      </c>
      <c r="Z387" s="235" t="s">
        <v>205</v>
      </c>
      <c r="AA387" s="235" t="s">
        <v>193</v>
      </c>
      <c r="AB387" s="442" t="s">
        <v>2322</v>
      </c>
      <c r="AC387" s="576"/>
      <c r="AD387" s="734">
        <f>AD388</f>
        <v>14250</v>
      </c>
      <c r="AE387" s="488">
        <v>0</v>
      </c>
      <c r="AF387" s="488">
        <v>0</v>
      </c>
      <c r="AG387" s="553"/>
      <c r="AH387" s="553"/>
      <c r="AI387" s="455"/>
    </row>
    <row r="388" spans="1:35" s="344" customFormat="1" ht="31.5" x14ac:dyDescent="0.25">
      <c r="A388" s="335"/>
      <c r="B388" s="336"/>
      <c r="C388" s="338"/>
      <c r="D388" s="339"/>
      <c r="E388" s="339"/>
      <c r="F388" s="339"/>
      <c r="G388" s="340"/>
      <c r="H388" s="340"/>
      <c r="I388" s="340"/>
      <c r="J388" s="340"/>
      <c r="K388" s="340"/>
      <c r="L388" s="340"/>
      <c r="M388" s="340"/>
      <c r="N388" s="340"/>
      <c r="O388" s="341"/>
      <c r="P388" s="340"/>
      <c r="Q388" s="342"/>
      <c r="R388" s="362"/>
      <c r="S388" s="362"/>
      <c r="T388" s="362"/>
      <c r="U388" s="362"/>
      <c r="V388" s="362"/>
      <c r="W388" s="362"/>
      <c r="X388" s="519" t="s">
        <v>1342</v>
      </c>
      <c r="Y388" s="246" t="s">
        <v>1394</v>
      </c>
      <c r="Z388" s="235" t="s">
        <v>205</v>
      </c>
      <c r="AA388" s="235" t="s">
        <v>193</v>
      </c>
      <c r="AB388" s="442" t="s">
        <v>2322</v>
      </c>
      <c r="AC388" s="576">
        <v>600</v>
      </c>
      <c r="AD388" s="734">
        <f>AD389</f>
        <v>14250</v>
      </c>
      <c r="AE388" s="488">
        <v>0</v>
      </c>
      <c r="AF388" s="488">
        <v>0</v>
      </c>
      <c r="AG388" s="553"/>
      <c r="AH388" s="553"/>
      <c r="AI388" s="455"/>
    </row>
    <row r="389" spans="1:35" s="344" customFormat="1" x14ac:dyDescent="0.25">
      <c r="A389" s="335"/>
      <c r="B389" s="336"/>
      <c r="C389" s="338"/>
      <c r="D389" s="339"/>
      <c r="E389" s="339"/>
      <c r="F389" s="339"/>
      <c r="G389" s="340"/>
      <c r="H389" s="340"/>
      <c r="I389" s="340"/>
      <c r="J389" s="340"/>
      <c r="K389" s="340"/>
      <c r="L389" s="340"/>
      <c r="M389" s="340"/>
      <c r="N389" s="340"/>
      <c r="O389" s="341"/>
      <c r="P389" s="340"/>
      <c r="Q389" s="342"/>
      <c r="R389" s="362"/>
      <c r="S389" s="362"/>
      <c r="T389" s="362"/>
      <c r="U389" s="362"/>
      <c r="V389" s="362"/>
      <c r="W389" s="362"/>
      <c r="X389" s="519" t="s">
        <v>1343</v>
      </c>
      <c r="Y389" s="246" t="s">
        <v>1394</v>
      </c>
      <c r="Z389" s="235" t="s">
        <v>205</v>
      </c>
      <c r="AA389" s="235" t="s">
        <v>193</v>
      </c>
      <c r="AB389" s="442" t="s">
        <v>2322</v>
      </c>
      <c r="AC389" s="576">
        <v>610</v>
      </c>
      <c r="AD389" s="734">
        <f>7125+7125</f>
        <v>14250</v>
      </c>
      <c r="AE389" s="488">
        <v>0</v>
      </c>
      <c r="AF389" s="488">
        <v>0</v>
      </c>
      <c r="AG389" s="553"/>
      <c r="AH389" s="553"/>
      <c r="AI389" s="455"/>
    </row>
    <row r="390" spans="1:35" s="344" customFormat="1" x14ac:dyDescent="0.25">
      <c r="A390" s="335"/>
      <c r="B390" s="336"/>
      <c r="C390" s="338"/>
      <c r="D390" s="339"/>
      <c r="E390" s="339"/>
      <c r="F390" s="339"/>
      <c r="G390" s="340"/>
      <c r="H390" s="340"/>
      <c r="I390" s="340"/>
      <c r="J390" s="340"/>
      <c r="K390" s="340"/>
      <c r="L390" s="340"/>
      <c r="M390" s="340"/>
      <c r="N390" s="340"/>
      <c r="O390" s="341"/>
      <c r="P390" s="340"/>
      <c r="Q390" s="342"/>
      <c r="R390" s="362"/>
      <c r="S390" s="362"/>
      <c r="T390" s="362"/>
      <c r="U390" s="362"/>
      <c r="V390" s="362"/>
      <c r="W390" s="362"/>
      <c r="X390" s="519" t="s">
        <v>2364</v>
      </c>
      <c r="Y390" s="246" t="s">
        <v>1394</v>
      </c>
      <c r="Z390" s="236" t="s">
        <v>205</v>
      </c>
      <c r="AA390" s="235" t="s">
        <v>193</v>
      </c>
      <c r="AB390" s="442" t="s">
        <v>2365</v>
      </c>
      <c r="AC390" s="576"/>
      <c r="AD390" s="734">
        <f t="shared" ref="AD390:AF393" si="93">AD391</f>
        <v>48445.5</v>
      </c>
      <c r="AE390" s="488">
        <f t="shared" si="93"/>
        <v>43445.5</v>
      </c>
      <c r="AF390" s="488">
        <f t="shared" si="93"/>
        <v>43445.5</v>
      </c>
      <c r="AG390" s="553"/>
      <c r="AH390" s="553"/>
      <c r="AI390" s="455"/>
    </row>
    <row r="391" spans="1:35" s="344" customFormat="1" ht="31.5" x14ac:dyDescent="0.25">
      <c r="A391" s="335"/>
      <c r="B391" s="336"/>
      <c r="C391" s="338"/>
      <c r="D391" s="339"/>
      <c r="E391" s="339"/>
      <c r="F391" s="339"/>
      <c r="G391" s="340"/>
      <c r="H391" s="340"/>
      <c r="I391" s="340"/>
      <c r="J391" s="340"/>
      <c r="K391" s="340"/>
      <c r="L391" s="340"/>
      <c r="M391" s="340"/>
      <c r="N391" s="340"/>
      <c r="O391" s="341"/>
      <c r="P391" s="340"/>
      <c r="Q391" s="342"/>
      <c r="R391" s="362"/>
      <c r="S391" s="362"/>
      <c r="T391" s="362"/>
      <c r="U391" s="362"/>
      <c r="V391" s="362"/>
      <c r="W391" s="362"/>
      <c r="X391" s="519" t="s">
        <v>2362</v>
      </c>
      <c r="Y391" s="246" t="s">
        <v>1394</v>
      </c>
      <c r="Z391" s="235" t="s">
        <v>205</v>
      </c>
      <c r="AA391" s="235" t="s">
        <v>193</v>
      </c>
      <c r="AB391" s="442" t="s">
        <v>2366</v>
      </c>
      <c r="AC391" s="576"/>
      <c r="AD391" s="734">
        <f t="shared" si="93"/>
        <v>48445.5</v>
      </c>
      <c r="AE391" s="488">
        <f t="shared" si="93"/>
        <v>43445.5</v>
      </c>
      <c r="AF391" s="488">
        <f t="shared" si="93"/>
        <v>43445.5</v>
      </c>
      <c r="AG391" s="553"/>
      <c r="AH391" s="553"/>
      <c r="AI391" s="455"/>
    </row>
    <row r="392" spans="1:35" s="344" customFormat="1" ht="51" customHeight="1" thickBot="1" x14ac:dyDescent="0.3">
      <c r="A392" s="335"/>
      <c r="B392" s="336"/>
      <c r="C392" s="338"/>
      <c r="D392" s="339"/>
      <c r="E392" s="339"/>
      <c r="F392" s="339"/>
      <c r="G392" s="340"/>
      <c r="H392" s="340"/>
      <c r="I392" s="340"/>
      <c r="J392" s="340"/>
      <c r="K392" s="340"/>
      <c r="L392" s="340"/>
      <c r="M392" s="340"/>
      <c r="N392" s="340"/>
      <c r="O392" s="341"/>
      <c r="P392" s="340"/>
      <c r="Q392" s="342"/>
      <c r="R392" s="362"/>
      <c r="S392" s="362"/>
      <c r="T392" s="362"/>
      <c r="U392" s="362"/>
      <c r="V392" s="362"/>
      <c r="W392" s="362"/>
      <c r="X392" s="833" t="s">
        <v>2363</v>
      </c>
      <c r="Y392" s="246" t="s">
        <v>1394</v>
      </c>
      <c r="Z392" s="235" t="s">
        <v>205</v>
      </c>
      <c r="AA392" s="235" t="s">
        <v>193</v>
      </c>
      <c r="AB392" s="442" t="s">
        <v>2367</v>
      </c>
      <c r="AC392" s="576"/>
      <c r="AD392" s="734">
        <f t="shared" si="93"/>
        <v>48445.5</v>
      </c>
      <c r="AE392" s="488">
        <f t="shared" si="93"/>
        <v>43445.5</v>
      </c>
      <c r="AF392" s="488">
        <f t="shared" si="93"/>
        <v>43445.5</v>
      </c>
      <c r="AG392" s="553"/>
      <c r="AH392" s="553"/>
      <c r="AI392" s="455"/>
    </row>
    <row r="393" spans="1:35" s="344" customFormat="1" ht="31.5" x14ac:dyDescent="0.25">
      <c r="A393" s="335"/>
      <c r="B393" s="336"/>
      <c r="C393" s="338"/>
      <c r="D393" s="339"/>
      <c r="E393" s="339"/>
      <c r="F393" s="339"/>
      <c r="G393" s="340"/>
      <c r="H393" s="340"/>
      <c r="I393" s="340"/>
      <c r="J393" s="340"/>
      <c r="K393" s="340"/>
      <c r="L393" s="340"/>
      <c r="M393" s="340"/>
      <c r="N393" s="340"/>
      <c r="O393" s="341"/>
      <c r="P393" s="340"/>
      <c r="Q393" s="342"/>
      <c r="R393" s="362"/>
      <c r="S393" s="362"/>
      <c r="T393" s="362"/>
      <c r="U393" s="362"/>
      <c r="V393" s="362"/>
      <c r="W393" s="362"/>
      <c r="X393" s="519" t="s">
        <v>1342</v>
      </c>
      <c r="Y393" s="246" t="s">
        <v>1394</v>
      </c>
      <c r="Z393" s="235" t="s">
        <v>205</v>
      </c>
      <c r="AA393" s="235" t="s">
        <v>193</v>
      </c>
      <c r="AB393" s="442" t="s">
        <v>2367</v>
      </c>
      <c r="AC393" s="576">
        <v>600</v>
      </c>
      <c r="AD393" s="734">
        <f t="shared" si="93"/>
        <v>48445.5</v>
      </c>
      <c r="AE393" s="488">
        <f t="shared" si="93"/>
        <v>43445.5</v>
      </c>
      <c r="AF393" s="488">
        <f t="shared" si="93"/>
        <v>43445.5</v>
      </c>
      <c r="AG393" s="553"/>
      <c r="AH393" s="553"/>
      <c r="AI393" s="455"/>
    </row>
    <row r="394" spans="1:35" s="344" customFormat="1" x14ac:dyDescent="0.25">
      <c r="A394" s="335"/>
      <c r="B394" s="336"/>
      <c r="C394" s="338"/>
      <c r="D394" s="339"/>
      <c r="E394" s="339"/>
      <c r="F394" s="339"/>
      <c r="G394" s="340"/>
      <c r="H394" s="340"/>
      <c r="I394" s="340"/>
      <c r="J394" s="340"/>
      <c r="K394" s="340"/>
      <c r="L394" s="340"/>
      <c r="M394" s="340"/>
      <c r="N394" s="340"/>
      <c r="O394" s="341"/>
      <c r="P394" s="340"/>
      <c r="Q394" s="342"/>
      <c r="R394" s="362"/>
      <c r="S394" s="362"/>
      <c r="T394" s="362"/>
      <c r="U394" s="362"/>
      <c r="V394" s="362"/>
      <c r="W394" s="362"/>
      <c r="X394" s="519" t="s">
        <v>1343</v>
      </c>
      <c r="Y394" s="246" t="s">
        <v>1394</v>
      </c>
      <c r="Z394" s="235" t="s">
        <v>205</v>
      </c>
      <c r="AA394" s="235" t="s">
        <v>193</v>
      </c>
      <c r="AB394" s="442" t="s">
        <v>2367</v>
      </c>
      <c r="AC394" s="576">
        <v>610</v>
      </c>
      <c r="AD394" s="734">
        <f>43445.5+5000</f>
        <v>48445.5</v>
      </c>
      <c r="AE394" s="488">
        <v>43445.5</v>
      </c>
      <c r="AF394" s="488">
        <v>43445.5</v>
      </c>
      <c r="AG394" s="553"/>
      <c r="AH394" s="553"/>
      <c r="AI394" s="455"/>
    </row>
    <row r="395" spans="1:35" s="370" customFormat="1" x14ac:dyDescent="0.25">
      <c r="A395" s="311"/>
      <c r="B395" s="345"/>
      <c r="C395" s="347"/>
      <c r="D395" s="346"/>
      <c r="E395" s="347"/>
      <c r="F395" s="347"/>
      <c r="G395" s="348"/>
      <c r="H395" s="372"/>
      <c r="I395" s="313"/>
      <c r="J395" s="313"/>
      <c r="K395" s="313"/>
      <c r="L395" s="348"/>
      <c r="M395" s="313"/>
      <c r="N395" s="348"/>
      <c r="O395" s="353"/>
      <c r="P395" s="348"/>
      <c r="Q395" s="350"/>
      <c r="R395" s="354"/>
      <c r="S395" s="354"/>
      <c r="T395" s="354"/>
      <c r="U395" s="354"/>
      <c r="V395" s="354"/>
      <c r="W395" s="354"/>
      <c r="X395" s="520" t="s">
        <v>2021</v>
      </c>
      <c r="Y395" s="246" t="s">
        <v>1394</v>
      </c>
      <c r="Z395" s="235" t="s">
        <v>205</v>
      </c>
      <c r="AA395" s="235" t="s">
        <v>193</v>
      </c>
      <c r="AB395" s="249" t="s">
        <v>1759</v>
      </c>
      <c r="AC395" s="238"/>
      <c r="AD395" s="292">
        <f t="shared" ref="AD395:AF396" si="94">AD396</f>
        <v>15</v>
      </c>
      <c r="AE395" s="475">
        <f t="shared" si="94"/>
        <v>15</v>
      </c>
      <c r="AF395" s="475">
        <f t="shared" si="94"/>
        <v>15</v>
      </c>
      <c r="AG395" s="553"/>
      <c r="AH395" s="553"/>
      <c r="AI395" s="455"/>
    </row>
    <row r="396" spans="1:35" s="370" customFormat="1" ht="31.5" x14ac:dyDescent="0.25">
      <c r="A396" s="311"/>
      <c r="B396" s="345"/>
      <c r="C396" s="347"/>
      <c r="D396" s="346"/>
      <c r="E396" s="347"/>
      <c r="F396" s="347"/>
      <c r="G396" s="348"/>
      <c r="H396" s="372"/>
      <c r="I396" s="313"/>
      <c r="J396" s="313"/>
      <c r="K396" s="313"/>
      <c r="L396" s="340"/>
      <c r="M396" s="313"/>
      <c r="N396" s="340"/>
      <c r="O396" s="353"/>
      <c r="P396" s="348"/>
      <c r="Q396" s="350"/>
      <c r="R396" s="354"/>
      <c r="S396" s="354"/>
      <c r="T396" s="354"/>
      <c r="U396" s="354"/>
      <c r="V396" s="354"/>
      <c r="W396" s="354"/>
      <c r="X396" s="520" t="s">
        <v>2038</v>
      </c>
      <c r="Y396" s="246" t="s">
        <v>1394</v>
      </c>
      <c r="Z396" s="235" t="s">
        <v>205</v>
      </c>
      <c r="AA396" s="235" t="s">
        <v>193</v>
      </c>
      <c r="AB396" s="442" t="s">
        <v>1778</v>
      </c>
      <c r="AC396" s="576"/>
      <c r="AD396" s="292">
        <f>AD397</f>
        <v>15</v>
      </c>
      <c r="AE396" s="475">
        <f t="shared" si="94"/>
        <v>15</v>
      </c>
      <c r="AF396" s="475">
        <f t="shared" si="94"/>
        <v>15</v>
      </c>
      <c r="AG396" s="553"/>
      <c r="AH396" s="553"/>
      <c r="AI396" s="455"/>
    </row>
    <row r="397" spans="1:35" s="370" customFormat="1" ht="31.5" x14ac:dyDescent="0.25">
      <c r="A397" s="311"/>
      <c r="B397" s="345"/>
      <c r="C397" s="347"/>
      <c r="D397" s="346"/>
      <c r="E397" s="347"/>
      <c r="F397" s="347"/>
      <c r="G397" s="348"/>
      <c r="H397" s="372"/>
      <c r="I397" s="313"/>
      <c r="J397" s="313"/>
      <c r="K397" s="313"/>
      <c r="L397" s="340"/>
      <c r="M397" s="313"/>
      <c r="N397" s="340"/>
      <c r="O397" s="353"/>
      <c r="P397" s="348"/>
      <c r="Q397" s="350"/>
      <c r="R397" s="354"/>
      <c r="S397" s="354"/>
      <c r="T397" s="354"/>
      <c r="U397" s="354"/>
      <c r="V397" s="354"/>
      <c r="W397" s="354"/>
      <c r="X397" s="520" t="s">
        <v>2039</v>
      </c>
      <c r="Y397" s="246" t="s">
        <v>1394</v>
      </c>
      <c r="Z397" s="235" t="s">
        <v>205</v>
      </c>
      <c r="AA397" s="235" t="s">
        <v>193</v>
      </c>
      <c r="AB397" s="442" t="s">
        <v>2183</v>
      </c>
      <c r="AC397" s="576"/>
      <c r="AD397" s="292">
        <f>AD398</f>
        <v>15</v>
      </c>
      <c r="AE397" s="475">
        <f>AE398</f>
        <v>15</v>
      </c>
      <c r="AF397" s="475">
        <f>AF398</f>
        <v>15</v>
      </c>
      <c r="AG397" s="553"/>
      <c r="AH397" s="553"/>
      <c r="AI397" s="455"/>
    </row>
    <row r="398" spans="1:35" s="370" customFormat="1" ht="31.5" x14ac:dyDescent="0.25">
      <c r="A398" s="311"/>
      <c r="B398" s="345"/>
      <c r="C398" s="347"/>
      <c r="D398" s="346"/>
      <c r="E398" s="347"/>
      <c r="F398" s="347"/>
      <c r="G398" s="348"/>
      <c r="H398" s="372"/>
      <c r="I398" s="313"/>
      <c r="J398" s="313"/>
      <c r="K398" s="313"/>
      <c r="L398" s="340"/>
      <c r="M398" s="313"/>
      <c r="N398" s="340"/>
      <c r="O398" s="353"/>
      <c r="P398" s="348"/>
      <c r="Q398" s="350"/>
      <c r="R398" s="354"/>
      <c r="S398" s="354"/>
      <c r="T398" s="354"/>
      <c r="U398" s="354"/>
      <c r="V398" s="354"/>
      <c r="W398" s="354"/>
      <c r="X398" s="520" t="s">
        <v>2040</v>
      </c>
      <c r="Y398" s="246" t="s">
        <v>1394</v>
      </c>
      <c r="Z398" s="235" t="s">
        <v>205</v>
      </c>
      <c r="AA398" s="235" t="s">
        <v>193</v>
      </c>
      <c r="AB398" s="442" t="s">
        <v>2184</v>
      </c>
      <c r="AC398" s="576"/>
      <c r="AD398" s="292">
        <f>AD399</f>
        <v>15</v>
      </c>
      <c r="AE398" s="475">
        <f>AE399</f>
        <v>15</v>
      </c>
      <c r="AF398" s="475">
        <f>AF399</f>
        <v>15</v>
      </c>
      <c r="AG398" s="553"/>
      <c r="AH398" s="553"/>
      <c r="AI398" s="455"/>
    </row>
    <row r="399" spans="1:35" s="370" customFormat="1" ht="31.5" x14ac:dyDescent="0.25">
      <c r="A399" s="311"/>
      <c r="B399" s="345"/>
      <c r="C399" s="347"/>
      <c r="D399" s="346"/>
      <c r="E399" s="347"/>
      <c r="F399" s="347"/>
      <c r="G399" s="348"/>
      <c r="H399" s="372"/>
      <c r="I399" s="313"/>
      <c r="J399" s="313"/>
      <c r="K399" s="313"/>
      <c r="L399" s="340"/>
      <c r="M399" s="313"/>
      <c r="N399" s="340"/>
      <c r="O399" s="353"/>
      <c r="P399" s="348"/>
      <c r="Q399" s="350"/>
      <c r="R399" s="354"/>
      <c r="S399" s="354"/>
      <c r="T399" s="354"/>
      <c r="U399" s="354"/>
      <c r="V399" s="354"/>
      <c r="W399" s="354"/>
      <c r="X399" s="519" t="s">
        <v>2186</v>
      </c>
      <c r="Y399" s="246" t="s">
        <v>1394</v>
      </c>
      <c r="Z399" s="235" t="s">
        <v>205</v>
      </c>
      <c r="AA399" s="235" t="s">
        <v>193</v>
      </c>
      <c r="AB399" s="442" t="s">
        <v>2188</v>
      </c>
      <c r="AC399" s="576"/>
      <c r="AD399" s="734">
        <f t="shared" ref="AD399:AF400" si="95">AD400</f>
        <v>15</v>
      </c>
      <c r="AE399" s="488">
        <f t="shared" si="95"/>
        <v>15</v>
      </c>
      <c r="AF399" s="488">
        <f t="shared" si="95"/>
        <v>15</v>
      </c>
      <c r="AG399" s="641"/>
      <c r="AH399" s="641"/>
      <c r="AI399" s="455"/>
    </row>
    <row r="400" spans="1:35" s="370" customFormat="1" ht="31.5" x14ac:dyDescent="0.25">
      <c r="A400" s="311"/>
      <c r="B400" s="345"/>
      <c r="C400" s="347"/>
      <c r="D400" s="346"/>
      <c r="E400" s="347"/>
      <c r="F400" s="347"/>
      <c r="G400" s="348"/>
      <c r="H400" s="372"/>
      <c r="I400" s="313"/>
      <c r="J400" s="313"/>
      <c r="K400" s="313"/>
      <c r="L400" s="340"/>
      <c r="M400" s="313"/>
      <c r="N400" s="340"/>
      <c r="O400" s="353"/>
      <c r="P400" s="348"/>
      <c r="Q400" s="350"/>
      <c r="R400" s="354"/>
      <c r="S400" s="354"/>
      <c r="T400" s="354"/>
      <c r="U400" s="354"/>
      <c r="V400" s="354"/>
      <c r="W400" s="354"/>
      <c r="X400" s="519" t="s">
        <v>1342</v>
      </c>
      <c r="Y400" s="246" t="s">
        <v>1394</v>
      </c>
      <c r="Z400" s="235" t="s">
        <v>205</v>
      </c>
      <c r="AA400" s="235" t="s">
        <v>193</v>
      </c>
      <c r="AB400" s="442" t="s">
        <v>2188</v>
      </c>
      <c r="AC400" s="576">
        <v>600</v>
      </c>
      <c r="AD400" s="734">
        <f t="shared" si="95"/>
        <v>15</v>
      </c>
      <c r="AE400" s="488">
        <f t="shared" si="95"/>
        <v>15</v>
      </c>
      <c r="AF400" s="488">
        <f t="shared" si="95"/>
        <v>15</v>
      </c>
      <c r="AG400" s="641"/>
      <c r="AH400" s="641"/>
      <c r="AI400" s="455"/>
    </row>
    <row r="401" spans="1:35" s="370" customFormat="1" x14ac:dyDescent="0.25">
      <c r="A401" s="311"/>
      <c r="B401" s="345"/>
      <c r="C401" s="347"/>
      <c r="D401" s="346"/>
      <c r="E401" s="347"/>
      <c r="F401" s="347"/>
      <c r="G401" s="348"/>
      <c r="H401" s="372"/>
      <c r="I401" s="313"/>
      <c r="J401" s="313"/>
      <c r="K401" s="313"/>
      <c r="L401" s="340"/>
      <c r="M401" s="313"/>
      <c r="N401" s="340"/>
      <c r="O401" s="353"/>
      <c r="P401" s="348"/>
      <c r="Q401" s="350"/>
      <c r="R401" s="354"/>
      <c r="S401" s="354"/>
      <c r="T401" s="354"/>
      <c r="U401" s="354"/>
      <c r="V401" s="354"/>
      <c r="W401" s="354"/>
      <c r="X401" s="519" t="s">
        <v>1343</v>
      </c>
      <c r="Y401" s="246" t="s">
        <v>1394</v>
      </c>
      <c r="Z401" s="235" t="s">
        <v>205</v>
      </c>
      <c r="AA401" s="235" t="s">
        <v>193</v>
      </c>
      <c r="AB401" s="442" t="s">
        <v>2188</v>
      </c>
      <c r="AC401" s="576">
        <v>610</v>
      </c>
      <c r="AD401" s="734">
        <v>15</v>
      </c>
      <c r="AE401" s="488">
        <v>15</v>
      </c>
      <c r="AF401" s="488">
        <v>15</v>
      </c>
      <c r="AG401" s="641"/>
      <c r="AH401" s="641"/>
      <c r="AI401" s="455"/>
    </row>
    <row r="402" spans="1:35" s="370" customFormat="1" ht="31.5" x14ac:dyDescent="0.25">
      <c r="A402" s="311"/>
      <c r="B402" s="345"/>
      <c r="C402" s="347"/>
      <c r="D402" s="346"/>
      <c r="E402" s="347"/>
      <c r="F402" s="347"/>
      <c r="G402" s="348"/>
      <c r="H402" s="372"/>
      <c r="I402" s="313"/>
      <c r="J402" s="313"/>
      <c r="K402" s="313"/>
      <c r="L402" s="340"/>
      <c r="M402" s="313"/>
      <c r="N402" s="340"/>
      <c r="O402" s="353"/>
      <c r="P402" s="348"/>
      <c r="Q402" s="350"/>
      <c r="R402" s="354"/>
      <c r="S402" s="354"/>
      <c r="T402" s="354"/>
      <c r="U402" s="354"/>
      <c r="V402" s="354"/>
      <c r="W402" s="354"/>
      <c r="X402" s="548" t="s">
        <v>1853</v>
      </c>
      <c r="Y402" s="246" t="s">
        <v>1394</v>
      </c>
      <c r="Z402" s="235" t="s">
        <v>205</v>
      </c>
      <c r="AA402" s="235" t="s">
        <v>193</v>
      </c>
      <c r="AB402" s="249" t="s">
        <v>1761</v>
      </c>
      <c r="AC402" s="576"/>
      <c r="AD402" s="734">
        <f>AD403</f>
        <v>340</v>
      </c>
      <c r="AE402" s="734">
        <f t="shared" ref="AE402:AF402" si="96">AE403</f>
        <v>0</v>
      </c>
      <c r="AF402" s="734">
        <f t="shared" si="96"/>
        <v>0</v>
      </c>
      <c r="AG402" s="641"/>
      <c r="AH402" s="641"/>
      <c r="AI402" s="455"/>
    </row>
    <row r="403" spans="1:35" s="370" customFormat="1" ht="31.5" x14ac:dyDescent="0.25">
      <c r="A403" s="311"/>
      <c r="B403" s="345"/>
      <c r="C403" s="346"/>
      <c r="D403" s="346"/>
      <c r="E403" s="347"/>
      <c r="F403" s="371"/>
      <c r="G403" s="348"/>
      <c r="H403" s="348"/>
      <c r="I403" s="348"/>
      <c r="J403" s="348"/>
      <c r="K403" s="348"/>
      <c r="L403" s="340"/>
      <c r="M403" s="348"/>
      <c r="N403" s="340"/>
      <c r="O403" s="348"/>
      <c r="P403" s="348"/>
      <c r="Q403" s="350"/>
      <c r="R403" s="354"/>
      <c r="S403" s="354"/>
      <c r="T403" s="354"/>
      <c r="U403" s="354"/>
      <c r="V403" s="354"/>
      <c r="W403" s="354"/>
      <c r="X403" s="548" t="s">
        <v>2275</v>
      </c>
      <c r="Y403" s="246" t="s">
        <v>1394</v>
      </c>
      <c r="Z403" s="235" t="s">
        <v>205</v>
      </c>
      <c r="AA403" s="235" t="s">
        <v>193</v>
      </c>
      <c r="AB403" s="442" t="s">
        <v>1763</v>
      </c>
      <c r="AC403" s="238"/>
      <c r="AD403" s="292">
        <f t="shared" ref="AD403:AF405" si="97">AD404</f>
        <v>340</v>
      </c>
      <c r="AE403" s="475">
        <f t="shared" si="97"/>
        <v>0</v>
      </c>
      <c r="AF403" s="475">
        <f t="shared" si="97"/>
        <v>0</v>
      </c>
      <c r="AG403" s="553"/>
      <c r="AH403" s="553"/>
      <c r="AI403" s="455"/>
    </row>
    <row r="404" spans="1:35" s="370" customFormat="1" x14ac:dyDescent="0.25">
      <c r="A404" s="311"/>
      <c r="B404" s="345"/>
      <c r="C404" s="346"/>
      <c r="D404" s="346"/>
      <c r="E404" s="347"/>
      <c r="F404" s="371"/>
      <c r="G404" s="348"/>
      <c r="H404" s="348"/>
      <c r="I404" s="348"/>
      <c r="J404" s="348"/>
      <c r="K404" s="348"/>
      <c r="L404" s="340"/>
      <c r="M404" s="348"/>
      <c r="N404" s="340"/>
      <c r="O404" s="348"/>
      <c r="P404" s="348"/>
      <c r="Q404" s="350"/>
      <c r="R404" s="354"/>
      <c r="S404" s="354"/>
      <c r="T404" s="354"/>
      <c r="U404" s="354"/>
      <c r="V404" s="354"/>
      <c r="W404" s="354"/>
      <c r="X404" s="529" t="s">
        <v>1880</v>
      </c>
      <c r="Y404" s="246" t="s">
        <v>1394</v>
      </c>
      <c r="Z404" s="235" t="s">
        <v>205</v>
      </c>
      <c r="AA404" s="235" t="s">
        <v>193</v>
      </c>
      <c r="AB404" s="442" t="s">
        <v>1789</v>
      </c>
      <c r="AC404" s="579"/>
      <c r="AD404" s="292">
        <f t="shared" si="97"/>
        <v>340</v>
      </c>
      <c r="AE404" s="475">
        <f t="shared" si="97"/>
        <v>0</v>
      </c>
      <c r="AF404" s="475">
        <f t="shared" si="97"/>
        <v>0</v>
      </c>
      <c r="AG404" s="553"/>
      <c r="AH404" s="553"/>
      <c r="AI404" s="455"/>
    </row>
    <row r="405" spans="1:35" s="370" customFormat="1" x14ac:dyDescent="0.25">
      <c r="A405" s="311"/>
      <c r="B405" s="345"/>
      <c r="C405" s="346"/>
      <c r="D405" s="346"/>
      <c r="E405" s="347"/>
      <c r="F405" s="371"/>
      <c r="G405" s="348"/>
      <c r="H405" s="348"/>
      <c r="I405" s="348"/>
      <c r="J405" s="348"/>
      <c r="K405" s="348"/>
      <c r="L405" s="340"/>
      <c r="M405" s="348"/>
      <c r="N405" s="340"/>
      <c r="O405" s="348"/>
      <c r="P405" s="348"/>
      <c r="Q405" s="350"/>
      <c r="R405" s="354"/>
      <c r="S405" s="354"/>
      <c r="T405" s="354"/>
      <c r="U405" s="354"/>
      <c r="V405" s="354"/>
      <c r="W405" s="354"/>
      <c r="X405" s="519" t="s">
        <v>1876</v>
      </c>
      <c r="Y405" s="246" t="s">
        <v>1394</v>
      </c>
      <c r="Z405" s="235" t="s">
        <v>205</v>
      </c>
      <c r="AA405" s="235" t="s">
        <v>193</v>
      </c>
      <c r="AB405" s="442" t="s">
        <v>1877</v>
      </c>
      <c r="AC405" s="238"/>
      <c r="AD405" s="292">
        <f>AD406</f>
        <v>340</v>
      </c>
      <c r="AE405" s="292">
        <f t="shared" si="97"/>
        <v>0</v>
      </c>
      <c r="AF405" s="292">
        <f t="shared" si="97"/>
        <v>0</v>
      </c>
      <c r="AG405" s="553"/>
      <c r="AH405" s="553"/>
      <c r="AI405" s="455"/>
    </row>
    <row r="406" spans="1:35" s="370" customFormat="1" ht="31.5" x14ac:dyDescent="0.25">
      <c r="A406" s="311"/>
      <c r="B406" s="345"/>
      <c r="C406" s="347"/>
      <c r="D406" s="346"/>
      <c r="E406" s="347"/>
      <c r="F406" s="347"/>
      <c r="G406" s="348"/>
      <c r="H406" s="372"/>
      <c r="I406" s="313"/>
      <c r="J406" s="313"/>
      <c r="K406" s="313"/>
      <c r="L406" s="340"/>
      <c r="M406" s="313"/>
      <c r="N406" s="340"/>
      <c r="O406" s="353"/>
      <c r="P406" s="348"/>
      <c r="Q406" s="350"/>
      <c r="R406" s="354"/>
      <c r="S406" s="354"/>
      <c r="T406" s="354"/>
      <c r="U406" s="354"/>
      <c r="V406" s="354"/>
      <c r="W406" s="354"/>
      <c r="X406" s="519" t="s">
        <v>1342</v>
      </c>
      <c r="Y406" s="246" t="s">
        <v>1394</v>
      </c>
      <c r="Z406" s="235" t="s">
        <v>205</v>
      </c>
      <c r="AA406" s="235" t="s">
        <v>193</v>
      </c>
      <c r="AB406" s="442" t="s">
        <v>1877</v>
      </c>
      <c r="AC406" s="576">
        <v>600</v>
      </c>
      <c r="AD406" s="734">
        <f>AD407</f>
        <v>340</v>
      </c>
      <c r="AE406" s="734">
        <f t="shared" ref="AE406:AF406" si="98">AE407</f>
        <v>0</v>
      </c>
      <c r="AF406" s="734">
        <f t="shared" si="98"/>
        <v>0</v>
      </c>
      <c r="AG406" s="641"/>
      <c r="AH406" s="641"/>
      <c r="AI406" s="455"/>
    </row>
    <row r="407" spans="1:35" s="370" customFormat="1" x14ac:dyDescent="0.25">
      <c r="A407" s="311"/>
      <c r="B407" s="345"/>
      <c r="C407" s="347"/>
      <c r="D407" s="346"/>
      <c r="E407" s="347"/>
      <c r="F407" s="347"/>
      <c r="G407" s="348"/>
      <c r="H407" s="372"/>
      <c r="I407" s="313"/>
      <c r="J407" s="313"/>
      <c r="K407" s="313"/>
      <c r="L407" s="340"/>
      <c r="M407" s="313"/>
      <c r="N407" s="340"/>
      <c r="O407" s="353"/>
      <c r="P407" s="348"/>
      <c r="Q407" s="350"/>
      <c r="R407" s="354"/>
      <c r="S407" s="354"/>
      <c r="T407" s="354"/>
      <c r="U407" s="354"/>
      <c r="V407" s="354"/>
      <c r="W407" s="354"/>
      <c r="X407" s="519" t="s">
        <v>1343</v>
      </c>
      <c r="Y407" s="246" t="s">
        <v>1394</v>
      </c>
      <c r="Z407" s="235" t="s">
        <v>205</v>
      </c>
      <c r="AA407" s="235" t="s">
        <v>193</v>
      </c>
      <c r="AB407" s="442" t="s">
        <v>1877</v>
      </c>
      <c r="AC407" s="576">
        <v>610</v>
      </c>
      <c r="AD407" s="734">
        <f>120+100+120</f>
        <v>340</v>
      </c>
      <c r="AE407" s="734">
        <v>0</v>
      </c>
      <c r="AF407" s="734">
        <v>0</v>
      </c>
      <c r="AG407" s="641"/>
      <c r="AH407" s="641"/>
      <c r="AI407" s="455"/>
    </row>
    <row r="408" spans="1:35" x14ac:dyDescent="0.25">
      <c r="A408" s="311"/>
      <c r="B408" s="345"/>
      <c r="C408" s="346"/>
      <c r="D408" s="346"/>
      <c r="E408" s="347"/>
      <c r="F408" s="347"/>
      <c r="G408" s="348"/>
      <c r="H408" s="348"/>
      <c r="I408" s="348"/>
      <c r="J408" s="348"/>
      <c r="K408" s="348"/>
      <c r="L408" s="340"/>
      <c r="M408" s="348"/>
      <c r="N408" s="340"/>
      <c r="O408" s="349"/>
      <c r="P408" s="348"/>
      <c r="Q408" s="350"/>
      <c r="R408" s="354"/>
      <c r="S408" s="354"/>
      <c r="T408" s="354"/>
      <c r="U408" s="354"/>
      <c r="V408" s="354"/>
      <c r="W408" s="354"/>
      <c r="X408" s="519" t="s">
        <v>1813</v>
      </c>
      <c r="Y408" s="246" t="s">
        <v>1394</v>
      </c>
      <c r="Z408" s="235" t="s">
        <v>205</v>
      </c>
      <c r="AA408" s="235" t="s">
        <v>205</v>
      </c>
      <c r="AB408" s="249"/>
      <c r="AC408" s="576"/>
      <c r="AD408" s="292">
        <f>AD409+AD419</f>
        <v>996.90000000000009</v>
      </c>
      <c r="AE408" s="475">
        <f>AE409+AE419</f>
        <v>1130.5</v>
      </c>
      <c r="AF408" s="475">
        <f>AF409+AF419</f>
        <v>1130.5</v>
      </c>
      <c r="AG408" s="553"/>
      <c r="AH408" s="553"/>
      <c r="AI408" s="455"/>
    </row>
    <row r="409" spans="1:35" ht="31.5" x14ac:dyDescent="0.25">
      <c r="A409" s="311"/>
      <c r="B409" s="345"/>
      <c r="C409" s="346"/>
      <c r="D409" s="346"/>
      <c r="E409" s="347"/>
      <c r="F409" s="347"/>
      <c r="G409" s="348"/>
      <c r="H409" s="348"/>
      <c r="I409" s="348"/>
      <c r="J409" s="348"/>
      <c r="K409" s="348"/>
      <c r="L409" s="340"/>
      <c r="M409" s="348"/>
      <c r="N409" s="340"/>
      <c r="O409" s="349"/>
      <c r="P409" s="348"/>
      <c r="Q409" s="350"/>
      <c r="R409" s="354"/>
      <c r="S409" s="354"/>
      <c r="T409" s="354"/>
      <c r="U409" s="354"/>
      <c r="V409" s="354"/>
      <c r="W409" s="354"/>
      <c r="X409" s="548" t="s">
        <v>1853</v>
      </c>
      <c r="Y409" s="246" t="s">
        <v>1394</v>
      </c>
      <c r="Z409" s="235" t="s">
        <v>205</v>
      </c>
      <c r="AA409" s="235" t="s">
        <v>205</v>
      </c>
      <c r="AB409" s="249" t="s">
        <v>1761</v>
      </c>
      <c r="AC409" s="576"/>
      <c r="AD409" s="292">
        <f>AD410</f>
        <v>296.3</v>
      </c>
      <c r="AE409" s="475">
        <f>AE410</f>
        <v>355.5</v>
      </c>
      <c r="AF409" s="475">
        <f>AF410</f>
        <v>355.5</v>
      </c>
      <c r="AG409" s="553"/>
      <c r="AH409" s="553"/>
      <c r="AI409" s="455"/>
    </row>
    <row r="410" spans="1:35" x14ac:dyDescent="0.25">
      <c r="A410" s="311"/>
      <c r="B410" s="345"/>
      <c r="C410" s="346"/>
      <c r="D410" s="346"/>
      <c r="E410" s="347"/>
      <c r="F410" s="347"/>
      <c r="G410" s="348"/>
      <c r="H410" s="348"/>
      <c r="I410" s="348"/>
      <c r="J410" s="348"/>
      <c r="K410" s="348"/>
      <c r="L410" s="340"/>
      <c r="M410" s="348"/>
      <c r="N410" s="340"/>
      <c r="O410" s="349"/>
      <c r="P410" s="348"/>
      <c r="Q410" s="350"/>
      <c r="R410" s="354"/>
      <c r="S410" s="354"/>
      <c r="T410" s="354"/>
      <c r="U410" s="354"/>
      <c r="V410" s="354"/>
      <c r="W410" s="354"/>
      <c r="X410" s="548" t="s">
        <v>1854</v>
      </c>
      <c r="Y410" s="246" t="s">
        <v>1394</v>
      </c>
      <c r="Z410" s="235" t="s">
        <v>205</v>
      </c>
      <c r="AA410" s="235" t="s">
        <v>205</v>
      </c>
      <c r="AB410" s="249" t="s">
        <v>1765</v>
      </c>
      <c r="AC410" s="576"/>
      <c r="AD410" s="292">
        <f>AD411+AD415</f>
        <v>296.3</v>
      </c>
      <c r="AE410" s="475">
        <f>AE411+AE415</f>
        <v>355.5</v>
      </c>
      <c r="AF410" s="475">
        <f>AF411+AF415</f>
        <v>355.5</v>
      </c>
      <c r="AG410" s="553"/>
      <c r="AH410" s="553"/>
      <c r="AI410" s="455"/>
    </row>
    <row r="411" spans="1:35" ht="47.25" x14ac:dyDescent="0.25">
      <c r="A411" s="311"/>
      <c r="B411" s="345"/>
      <c r="C411" s="346"/>
      <c r="D411" s="346"/>
      <c r="E411" s="347"/>
      <c r="F411" s="347"/>
      <c r="G411" s="348"/>
      <c r="H411" s="348"/>
      <c r="I411" s="348"/>
      <c r="J411" s="348"/>
      <c r="K411" s="348"/>
      <c r="L411" s="340"/>
      <c r="M411" s="348"/>
      <c r="N411" s="340"/>
      <c r="O411" s="349"/>
      <c r="P411" s="348"/>
      <c r="Q411" s="350"/>
      <c r="R411" s="354"/>
      <c r="S411" s="354"/>
      <c r="T411" s="354"/>
      <c r="U411" s="354"/>
      <c r="V411" s="354"/>
      <c r="W411" s="354"/>
      <c r="X411" s="529" t="s">
        <v>2254</v>
      </c>
      <c r="Y411" s="246" t="s">
        <v>1394</v>
      </c>
      <c r="Z411" s="235" t="s">
        <v>205</v>
      </c>
      <c r="AA411" s="235" t="s">
        <v>205</v>
      </c>
      <c r="AB411" s="442" t="s">
        <v>1861</v>
      </c>
      <c r="AC411" s="576"/>
      <c r="AD411" s="292">
        <f t="shared" ref="AD411:AF412" si="99">AD412</f>
        <v>272.2</v>
      </c>
      <c r="AE411" s="475">
        <f t="shared" si="99"/>
        <v>292</v>
      </c>
      <c r="AF411" s="475">
        <f t="shared" si="99"/>
        <v>292</v>
      </c>
      <c r="AG411" s="553"/>
      <c r="AH411" s="553"/>
      <c r="AI411" s="455"/>
    </row>
    <row r="412" spans="1:35" ht="47.25" x14ac:dyDescent="0.25">
      <c r="A412" s="311"/>
      <c r="B412" s="345"/>
      <c r="C412" s="346"/>
      <c r="D412" s="346"/>
      <c r="E412" s="347"/>
      <c r="F412" s="347"/>
      <c r="G412" s="348"/>
      <c r="H412" s="348"/>
      <c r="I412" s="348"/>
      <c r="J412" s="348"/>
      <c r="K412" s="348"/>
      <c r="L412" s="340"/>
      <c r="M412" s="348"/>
      <c r="N412" s="340"/>
      <c r="O412" s="349"/>
      <c r="P412" s="348"/>
      <c r="Q412" s="350"/>
      <c r="R412" s="354"/>
      <c r="S412" s="354"/>
      <c r="T412" s="354"/>
      <c r="U412" s="354"/>
      <c r="V412" s="354"/>
      <c r="W412" s="354"/>
      <c r="X412" s="548" t="s">
        <v>1855</v>
      </c>
      <c r="Y412" s="246" t="s">
        <v>1394</v>
      </c>
      <c r="Z412" s="235" t="s">
        <v>205</v>
      </c>
      <c r="AA412" s="235" t="s">
        <v>205</v>
      </c>
      <c r="AB412" s="442" t="s">
        <v>1862</v>
      </c>
      <c r="AC412" s="576"/>
      <c r="AD412" s="292">
        <f t="shared" si="99"/>
        <v>272.2</v>
      </c>
      <c r="AE412" s="475">
        <f t="shared" si="99"/>
        <v>292</v>
      </c>
      <c r="AF412" s="475">
        <f t="shared" si="99"/>
        <v>292</v>
      </c>
      <c r="AG412" s="553"/>
      <c r="AH412" s="553"/>
      <c r="AI412" s="455"/>
    </row>
    <row r="413" spans="1:35" x14ac:dyDescent="0.25">
      <c r="A413" s="311"/>
      <c r="B413" s="345"/>
      <c r="C413" s="346"/>
      <c r="D413" s="346"/>
      <c r="E413" s="347"/>
      <c r="F413" s="347"/>
      <c r="G413" s="348"/>
      <c r="H413" s="348"/>
      <c r="I413" s="348"/>
      <c r="J413" s="348"/>
      <c r="K413" s="348"/>
      <c r="L413" s="340"/>
      <c r="M413" s="348"/>
      <c r="N413" s="340"/>
      <c r="O413" s="349"/>
      <c r="P413" s="348"/>
      <c r="Q413" s="350"/>
      <c r="R413" s="354"/>
      <c r="S413" s="354"/>
      <c r="T413" s="354"/>
      <c r="U413" s="354"/>
      <c r="V413" s="354"/>
      <c r="W413" s="354"/>
      <c r="X413" s="519" t="s">
        <v>1781</v>
      </c>
      <c r="Y413" s="246" t="s">
        <v>1394</v>
      </c>
      <c r="Z413" s="235" t="s">
        <v>205</v>
      </c>
      <c r="AA413" s="235" t="s">
        <v>205</v>
      </c>
      <c r="AB413" s="442" t="s">
        <v>1862</v>
      </c>
      <c r="AC413" s="238">
        <v>200</v>
      </c>
      <c r="AD413" s="292">
        <f>AD414</f>
        <v>272.2</v>
      </c>
      <c r="AE413" s="475">
        <f>AE414</f>
        <v>292</v>
      </c>
      <c r="AF413" s="475">
        <f>AF414</f>
        <v>292</v>
      </c>
      <c r="AG413" s="553"/>
      <c r="AH413" s="553"/>
      <c r="AI413" s="455"/>
    </row>
    <row r="414" spans="1:35" ht="31.5" x14ac:dyDescent="0.25">
      <c r="A414" s="311"/>
      <c r="B414" s="345"/>
      <c r="C414" s="346"/>
      <c r="D414" s="346"/>
      <c r="E414" s="347"/>
      <c r="F414" s="347"/>
      <c r="G414" s="348"/>
      <c r="H414" s="348"/>
      <c r="I414" s="348"/>
      <c r="J414" s="348"/>
      <c r="K414" s="348"/>
      <c r="L414" s="340"/>
      <c r="M414" s="348"/>
      <c r="N414" s="340"/>
      <c r="O414" s="349"/>
      <c r="P414" s="348"/>
      <c r="Q414" s="350"/>
      <c r="R414" s="354"/>
      <c r="S414" s="354"/>
      <c r="T414" s="354"/>
      <c r="U414" s="354"/>
      <c r="V414" s="354"/>
      <c r="W414" s="354"/>
      <c r="X414" s="519" t="s">
        <v>1273</v>
      </c>
      <c r="Y414" s="246" t="s">
        <v>1394</v>
      </c>
      <c r="Z414" s="235" t="s">
        <v>205</v>
      </c>
      <c r="AA414" s="235" t="s">
        <v>205</v>
      </c>
      <c r="AB414" s="442" t="s">
        <v>1862</v>
      </c>
      <c r="AC414" s="238">
        <v>240</v>
      </c>
      <c r="AD414" s="292">
        <f>292-19.8</f>
        <v>272.2</v>
      </c>
      <c r="AE414" s="475">
        <v>292</v>
      </c>
      <c r="AF414" s="475">
        <v>292</v>
      </c>
      <c r="AG414" s="553"/>
      <c r="AH414" s="553"/>
      <c r="AI414" s="455"/>
    </row>
    <row r="415" spans="1:35" ht="78.75" x14ac:dyDescent="0.25">
      <c r="A415" s="311"/>
      <c r="B415" s="345"/>
      <c r="C415" s="346"/>
      <c r="D415" s="346"/>
      <c r="E415" s="347"/>
      <c r="F415" s="346"/>
      <c r="G415" s="348"/>
      <c r="H415" s="348"/>
      <c r="I415" s="348"/>
      <c r="J415" s="348"/>
      <c r="K415" s="348"/>
      <c r="L415" s="348"/>
      <c r="M415" s="348"/>
      <c r="N415" s="348"/>
      <c r="O415" s="349"/>
      <c r="P415" s="348"/>
      <c r="Q415" s="350"/>
      <c r="R415" s="354"/>
      <c r="S415" s="354"/>
      <c r="T415" s="354"/>
      <c r="U415" s="354"/>
      <c r="V415" s="354"/>
      <c r="W415" s="354"/>
      <c r="X415" s="519" t="s">
        <v>1867</v>
      </c>
      <c r="Y415" s="246" t="s">
        <v>1394</v>
      </c>
      <c r="Z415" s="235" t="s">
        <v>205</v>
      </c>
      <c r="AA415" s="235" t="s">
        <v>205</v>
      </c>
      <c r="AB415" s="464" t="s">
        <v>1868</v>
      </c>
      <c r="AC415" s="238"/>
      <c r="AD415" s="292">
        <f t="shared" ref="AD415:AF416" si="100">AD416</f>
        <v>24.1</v>
      </c>
      <c r="AE415" s="475">
        <f t="shared" si="100"/>
        <v>63.5</v>
      </c>
      <c r="AF415" s="475">
        <f t="shared" si="100"/>
        <v>63.5</v>
      </c>
      <c r="AG415" s="553"/>
      <c r="AH415" s="553"/>
      <c r="AI415" s="455"/>
    </row>
    <row r="416" spans="1:35" ht="63" x14ac:dyDescent="0.25">
      <c r="A416" s="311"/>
      <c r="B416" s="345"/>
      <c r="C416" s="346"/>
      <c r="D416" s="346"/>
      <c r="E416" s="347"/>
      <c r="F416" s="346"/>
      <c r="G416" s="348"/>
      <c r="H416" s="348"/>
      <c r="I416" s="348"/>
      <c r="J416" s="348"/>
      <c r="K416" s="348"/>
      <c r="L416" s="340"/>
      <c r="M416" s="348"/>
      <c r="N416" s="340"/>
      <c r="O416" s="349"/>
      <c r="P416" s="348"/>
      <c r="Q416" s="350"/>
      <c r="R416" s="354"/>
      <c r="S416" s="354"/>
      <c r="T416" s="354"/>
      <c r="U416" s="354"/>
      <c r="V416" s="354"/>
      <c r="W416" s="354"/>
      <c r="X416" s="531" t="s">
        <v>1869</v>
      </c>
      <c r="Y416" s="246" t="s">
        <v>1394</v>
      </c>
      <c r="Z416" s="235" t="s">
        <v>205</v>
      </c>
      <c r="AA416" s="235" t="s">
        <v>205</v>
      </c>
      <c r="AB416" s="442" t="s">
        <v>1870</v>
      </c>
      <c r="AC416" s="238"/>
      <c r="AD416" s="292">
        <f t="shared" si="100"/>
        <v>24.1</v>
      </c>
      <c r="AE416" s="475">
        <f t="shared" si="100"/>
        <v>63.5</v>
      </c>
      <c r="AF416" s="475">
        <f t="shared" si="100"/>
        <v>63.5</v>
      </c>
      <c r="AG416" s="553"/>
      <c r="AH416" s="553"/>
      <c r="AI416" s="455"/>
    </row>
    <row r="417" spans="1:35" s="370" customFormat="1" x14ac:dyDescent="0.25">
      <c r="A417" s="397"/>
      <c r="B417" s="345"/>
      <c r="C417" s="345"/>
      <c r="D417" s="345"/>
      <c r="E417" s="347"/>
      <c r="F417" s="346"/>
      <c r="G417" s="348"/>
      <c r="H417" s="398"/>
      <c r="I417" s="313"/>
      <c r="J417" s="313"/>
      <c r="K417" s="313"/>
      <c r="L417" s="340"/>
      <c r="M417" s="313"/>
      <c r="N417" s="340"/>
      <c r="O417" s="349"/>
      <c r="P417" s="348"/>
      <c r="Q417" s="350"/>
      <c r="R417" s="354"/>
      <c r="S417" s="354"/>
      <c r="T417" s="354"/>
      <c r="U417" s="354"/>
      <c r="V417" s="354"/>
      <c r="W417" s="372"/>
      <c r="X417" s="519" t="s">
        <v>1781</v>
      </c>
      <c r="Y417" s="246" t="s">
        <v>1394</v>
      </c>
      <c r="Z417" s="255" t="s">
        <v>205</v>
      </c>
      <c r="AA417" s="255" t="s">
        <v>205</v>
      </c>
      <c r="AB417" s="442" t="s">
        <v>1870</v>
      </c>
      <c r="AC417" s="238">
        <v>200</v>
      </c>
      <c r="AD417" s="292">
        <f>AD418</f>
        <v>24.1</v>
      </c>
      <c r="AE417" s="475">
        <f>AE418</f>
        <v>63.5</v>
      </c>
      <c r="AF417" s="475">
        <f>AF418</f>
        <v>63.5</v>
      </c>
      <c r="AG417" s="553"/>
      <c r="AH417" s="553"/>
      <c r="AI417" s="455"/>
    </row>
    <row r="418" spans="1:35" ht="31.5" x14ac:dyDescent="0.25">
      <c r="A418" s="357"/>
      <c r="B418" s="345"/>
      <c r="C418" s="345"/>
      <c r="D418" s="345"/>
      <c r="E418" s="347"/>
      <c r="F418" s="346"/>
      <c r="G418" s="348"/>
      <c r="H418" s="300"/>
      <c r="I418" s="358"/>
      <c r="J418" s="358"/>
      <c r="K418" s="358"/>
      <c r="L418" s="348"/>
      <c r="M418" s="358"/>
      <c r="N418" s="348"/>
      <c r="O418" s="349"/>
      <c r="P418" s="303"/>
      <c r="Q418" s="350"/>
      <c r="R418" s="354"/>
      <c r="S418" s="354"/>
      <c r="T418" s="354"/>
      <c r="U418" s="354"/>
      <c r="V418" s="354"/>
      <c r="X418" s="519" t="s">
        <v>1273</v>
      </c>
      <c r="Y418" s="246" t="s">
        <v>1394</v>
      </c>
      <c r="Z418" s="255" t="s">
        <v>205</v>
      </c>
      <c r="AA418" s="255" t="s">
        <v>205</v>
      </c>
      <c r="AB418" s="442" t="s">
        <v>1870</v>
      </c>
      <c r="AC418" s="238">
        <v>240</v>
      </c>
      <c r="AD418" s="292">
        <f>63.5-39.4</f>
        <v>24.1</v>
      </c>
      <c r="AE418" s="475">
        <v>63.5</v>
      </c>
      <c r="AF418" s="475">
        <v>63.5</v>
      </c>
      <c r="AG418" s="553"/>
      <c r="AH418" s="553"/>
      <c r="AI418" s="455"/>
    </row>
    <row r="419" spans="1:35" ht="31.5" x14ac:dyDescent="0.25">
      <c r="A419" s="357"/>
      <c r="B419" s="345"/>
      <c r="C419" s="345"/>
      <c r="D419" s="345"/>
      <c r="E419" s="347"/>
      <c r="F419" s="346"/>
      <c r="G419" s="348"/>
      <c r="H419" s="300"/>
      <c r="I419" s="358"/>
      <c r="J419" s="358"/>
      <c r="K419" s="358"/>
      <c r="L419" s="348"/>
      <c r="M419" s="358"/>
      <c r="N419" s="348"/>
      <c r="O419" s="349"/>
      <c r="P419" s="303"/>
      <c r="Q419" s="350"/>
      <c r="R419" s="354"/>
      <c r="S419" s="354"/>
      <c r="T419" s="354"/>
      <c r="U419" s="354"/>
      <c r="V419" s="354"/>
      <c r="X419" s="520" t="s">
        <v>2102</v>
      </c>
      <c r="Y419" s="246" t="s">
        <v>1394</v>
      </c>
      <c r="Z419" s="235" t="s">
        <v>205</v>
      </c>
      <c r="AA419" s="235" t="s">
        <v>205</v>
      </c>
      <c r="AB419" s="442" t="s">
        <v>1805</v>
      </c>
      <c r="AC419" s="238"/>
      <c r="AD419" s="292">
        <f t="shared" ref="AD419:AF423" si="101">AD420</f>
        <v>700.6</v>
      </c>
      <c r="AE419" s="475">
        <f t="shared" si="101"/>
        <v>775</v>
      </c>
      <c r="AF419" s="475">
        <f t="shared" si="101"/>
        <v>775</v>
      </c>
      <c r="AG419" s="553"/>
      <c r="AH419" s="553"/>
      <c r="AI419" s="455"/>
    </row>
    <row r="420" spans="1:35" x14ac:dyDescent="0.25">
      <c r="A420" s="357"/>
      <c r="B420" s="345"/>
      <c r="C420" s="345"/>
      <c r="D420" s="345"/>
      <c r="E420" s="347"/>
      <c r="F420" s="346"/>
      <c r="G420" s="348"/>
      <c r="H420" s="300"/>
      <c r="I420" s="358"/>
      <c r="J420" s="358"/>
      <c r="K420" s="358"/>
      <c r="L420" s="348"/>
      <c r="M420" s="358"/>
      <c r="N420" s="348"/>
      <c r="O420" s="349"/>
      <c r="P420" s="303"/>
      <c r="Q420" s="350"/>
      <c r="R420" s="354"/>
      <c r="S420" s="354"/>
      <c r="T420" s="354"/>
      <c r="U420" s="354"/>
      <c r="V420" s="354"/>
      <c r="X420" s="520" t="s">
        <v>2111</v>
      </c>
      <c r="Y420" s="246" t="s">
        <v>1394</v>
      </c>
      <c r="Z420" s="255" t="s">
        <v>205</v>
      </c>
      <c r="AA420" s="255" t="s">
        <v>205</v>
      </c>
      <c r="AB420" s="442" t="s">
        <v>2112</v>
      </c>
      <c r="AC420" s="238"/>
      <c r="AD420" s="292">
        <f t="shared" si="101"/>
        <v>700.6</v>
      </c>
      <c r="AE420" s="475">
        <f t="shared" si="101"/>
        <v>775</v>
      </c>
      <c r="AF420" s="475">
        <f t="shared" si="101"/>
        <v>775</v>
      </c>
      <c r="AG420" s="553"/>
      <c r="AH420" s="553"/>
      <c r="AI420" s="455"/>
    </row>
    <row r="421" spans="1:35" ht="63" x14ac:dyDescent="0.25">
      <c r="A421" s="357"/>
      <c r="B421" s="345"/>
      <c r="C421" s="345"/>
      <c r="D421" s="345"/>
      <c r="E421" s="347"/>
      <c r="F421" s="346"/>
      <c r="G421" s="348"/>
      <c r="H421" s="300"/>
      <c r="I421" s="358"/>
      <c r="J421" s="358"/>
      <c r="K421" s="358"/>
      <c r="L421" s="348"/>
      <c r="M421" s="358"/>
      <c r="N421" s="348"/>
      <c r="O421" s="349"/>
      <c r="P421" s="303"/>
      <c r="Q421" s="350"/>
      <c r="R421" s="354"/>
      <c r="S421" s="354"/>
      <c r="T421" s="354"/>
      <c r="U421" s="354"/>
      <c r="V421" s="354"/>
      <c r="X421" s="528" t="s">
        <v>2113</v>
      </c>
      <c r="Y421" s="246" t="s">
        <v>1394</v>
      </c>
      <c r="Z421" s="255" t="s">
        <v>205</v>
      </c>
      <c r="AA421" s="255" t="s">
        <v>205</v>
      </c>
      <c r="AB421" s="442" t="s">
        <v>2114</v>
      </c>
      <c r="AC421" s="238"/>
      <c r="AD421" s="292">
        <f t="shared" si="101"/>
        <v>700.6</v>
      </c>
      <c r="AE421" s="475">
        <f t="shared" si="101"/>
        <v>775</v>
      </c>
      <c r="AF421" s="475">
        <f t="shared" si="101"/>
        <v>775</v>
      </c>
      <c r="AG421" s="553"/>
      <c r="AH421" s="553"/>
      <c r="AI421" s="455"/>
    </row>
    <row r="422" spans="1:35" ht="31.5" x14ac:dyDescent="0.25">
      <c r="A422" s="357"/>
      <c r="B422" s="345"/>
      <c r="C422" s="345"/>
      <c r="D422" s="345"/>
      <c r="E422" s="347"/>
      <c r="F422" s="346"/>
      <c r="G422" s="348"/>
      <c r="H422" s="300"/>
      <c r="I422" s="358"/>
      <c r="J422" s="358"/>
      <c r="K422" s="358"/>
      <c r="L422" s="348"/>
      <c r="M422" s="358"/>
      <c r="N422" s="348"/>
      <c r="O422" s="349"/>
      <c r="P422" s="303"/>
      <c r="Q422" s="350"/>
      <c r="R422" s="354"/>
      <c r="S422" s="354"/>
      <c r="T422" s="354"/>
      <c r="U422" s="354"/>
      <c r="V422" s="354"/>
      <c r="X422" s="528" t="s">
        <v>2115</v>
      </c>
      <c r="Y422" s="246" t="s">
        <v>1394</v>
      </c>
      <c r="Z422" s="235" t="s">
        <v>205</v>
      </c>
      <c r="AA422" s="235" t="s">
        <v>205</v>
      </c>
      <c r="AB422" s="442" t="s">
        <v>2116</v>
      </c>
      <c r="AC422" s="238"/>
      <c r="AD422" s="292">
        <f>AD423+AD425</f>
        <v>700.6</v>
      </c>
      <c r="AE422" s="475">
        <f t="shared" si="101"/>
        <v>775</v>
      </c>
      <c r="AF422" s="475">
        <f t="shared" si="101"/>
        <v>775</v>
      </c>
      <c r="AG422" s="553"/>
      <c r="AH422" s="553"/>
      <c r="AI422" s="455"/>
    </row>
    <row r="423" spans="1:35" x14ac:dyDescent="0.25">
      <c r="A423" s="357"/>
      <c r="B423" s="345"/>
      <c r="C423" s="345"/>
      <c r="D423" s="345"/>
      <c r="E423" s="347"/>
      <c r="F423" s="346"/>
      <c r="G423" s="348"/>
      <c r="H423" s="300"/>
      <c r="I423" s="358"/>
      <c r="J423" s="358"/>
      <c r="K423" s="358"/>
      <c r="L423" s="348"/>
      <c r="M423" s="358"/>
      <c r="N423" s="348"/>
      <c r="O423" s="349"/>
      <c r="P423" s="303"/>
      <c r="Q423" s="350"/>
      <c r="R423" s="354"/>
      <c r="S423" s="354"/>
      <c r="T423" s="354"/>
      <c r="U423" s="354"/>
      <c r="V423" s="354"/>
      <c r="X423" s="519" t="s">
        <v>1781</v>
      </c>
      <c r="Y423" s="246" t="s">
        <v>1394</v>
      </c>
      <c r="Z423" s="255" t="s">
        <v>205</v>
      </c>
      <c r="AA423" s="255" t="s">
        <v>205</v>
      </c>
      <c r="AB423" s="442" t="s">
        <v>2116</v>
      </c>
      <c r="AC423" s="238">
        <v>200</v>
      </c>
      <c r="AD423" s="292">
        <f t="shared" si="101"/>
        <v>425.6</v>
      </c>
      <c r="AE423" s="475">
        <f t="shared" si="101"/>
        <v>775</v>
      </c>
      <c r="AF423" s="475">
        <f t="shared" si="101"/>
        <v>775</v>
      </c>
      <c r="AG423" s="553"/>
      <c r="AH423" s="553"/>
      <c r="AI423" s="455"/>
    </row>
    <row r="424" spans="1:35" ht="31.5" x14ac:dyDescent="0.25">
      <c r="A424" s="357"/>
      <c r="B424" s="345"/>
      <c r="C424" s="345"/>
      <c r="D424" s="345"/>
      <c r="E424" s="347"/>
      <c r="F424" s="346"/>
      <c r="G424" s="348"/>
      <c r="H424" s="300"/>
      <c r="I424" s="358"/>
      <c r="J424" s="358"/>
      <c r="K424" s="358"/>
      <c r="L424" s="348"/>
      <c r="M424" s="358"/>
      <c r="N424" s="348"/>
      <c r="O424" s="349"/>
      <c r="P424" s="303"/>
      <c r="Q424" s="350"/>
      <c r="R424" s="354"/>
      <c r="S424" s="354"/>
      <c r="T424" s="354"/>
      <c r="U424" s="354"/>
      <c r="V424" s="354"/>
      <c r="X424" s="519" t="s">
        <v>1273</v>
      </c>
      <c r="Y424" s="246" t="s">
        <v>1394</v>
      </c>
      <c r="Z424" s="255" t="s">
        <v>205</v>
      </c>
      <c r="AA424" s="255" t="s">
        <v>205</v>
      </c>
      <c r="AB424" s="442" t="s">
        <v>2116</v>
      </c>
      <c r="AC424" s="238">
        <v>240</v>
      </c>
      <c r="AD424" s="292">
        <f>775-30-315-4.4</f>
        <v>425.6</v>
      </c>
      <c r="AE424" s="475">
        <v>775</v>
      </c>
      <c r="AF424" s="475">
        <v>775</v>
      </c>
      <c r="AG424" s="553"/>
      <c r="AH424" s="553"/>
      <c r="AI424" s="455"/>
    </row>
    <row r="425" spans="1:35" ht="31.5" x14ac:dyDescent="0.25">
      <c r="A425" s="357"/>
      <c r="B425" s="345"/>
      <c r="C425" s="345"/>
      <c r="D425" s="345"/>
      <c r="E425" s="347"/>
      <c r="F425" s="346"/>
      <c r="G425" s="348"/>
      <c r="H425" s="300"/>
      <c r="I425" s="358"/>
      <c r="J425" s="358"/>
      <c r="K425" s="358"/>
      <c r="L425" s="348"/>
      <c r="M425" s="358"/>
      <c r="N425" s="348"/>
      <c r="O425" s="349"/>
      <c r="P425" s="303"/>
      <c r="Q425" s="350"/>
      <c r="R425" s="354"/>
      <c r="S425" s="354"/>
      <c r="T425" s="354"/>
      <c r="U425" s="354"/>
      <c r="V425" s="354"/>
      <c r="X425" s="519" t="s">
        <v>1342</v>
      </c>
      <c r="Y425" s="246" t="s">
        <v>1394</v>
      </c>
      <c r="Z425" s="255" t="s">
        <v>205</v>
      </c>
      <c r="AA425" s="255" t="s">
        <v>205</v>
      </c>
      <c r="AB425" s="442" t="s">
        <v>2116</v>
      </c>
      <c r="AC425" s="238">
        <v>600</v>
      </c>
      <c r="AD425" s="292">
        <f>AD426</f>
        <v>275</v>
      </c>
      <c r="AE425" s="475">
        <f>AE426</f>
        <v>0</v>
      </c>
      <c r="AF425" s="475">
        <f>AF426</f>
        <v>0</v>
      </c>
      <c r="AG425" s="553"/>
      <c r="AH425" s="553"/>
      <c r="AI425" s="455"/>
    </row>
    <row r="426" spans="1:35" x14ac:dyDescent="0.25">
      <c r="A426" s="357"/>
      <c r="B426" s="345"/>
      <c r="C426" s="345"/>
      <c r="D426" s="345"/>
      <c r="E426" s="347"/>
      <c r="F426" s="346"/>
      <c r="G426" s="348"/>
      <c r="H426" s="300"/>
      <c r="I426" s="358"/>
      <c r="J426" s="358"/>
      <c r="K426" s="358"/>
      <c r="L426" s="348"/>
      <c r="M426" s="358"/>
      <c r="N426" s="348"/>
      <c r="O426" s="349"/>
      <c r="P426" s="303"/>
      <c r="Q426" s="350"/>
      <c r="R426" s="354"/>
      <c r="S426" s="354"/>
      <c r="T426" s="354"/>
      <c r="U426" s="354"/>
      <c r="V426" s="354"/>
      <c r="X426" s="519" t="s">
        <v>1343</v>
      </c>
      <c r="Y426" s="246" t="s">
        <v>1394</v>
      </c>
      <c r="Z426" s="255" t="s">
        <v>205</v>
      </c>
      <c r="AA426" s="255" t="s">
        <v>205</v>
      </c>
      <c r="AB426" s="442" t="s">
        <v>2116</v>
      </c>
      <c r="AC426" s="238">
        <v>610</v>
      </c>
      <c r="AD426" s="292">
        <f>30+315-70</f>
        <v>275</v>
      </c>
      <c r="AE426" s="475">
        <v>0</v>
      </c>
      <c r="AF426" s="475">
        <v>0</v>
      </c>
      <c r="AG426" s="553"/>
      <c r="AH426" s="553"/>
      <c r="AI426" s="455"/>
    </row>
    <row r="427" spans="1:35" x14ac:dyDescent="0.25">
      <c r="A427" s="357"/>
      <c r="B427" s="345"/>
      <c r="C427" s="345"/>
      <c r="D427" s="345"/>
      <c r="E427" s="347"/>
      <c r="F427" s="346"/>
      <c r="G427" s="348"/>
      <c r="H427" s="300"/>
      <c r="I427" s="358"/>
      <c r="J427" s="358"/>
      <c r="K427" s="358"/>
      <c r="L427" s="348"/>
      <c r="M427" s="358"/>
      <c r="N427" s="348"/>
      <c r="O427" s="349"/>
      <c r="P427" s="303"/>
      <c r="Q427" s="350"/>
      <c r="R427" s="354"/>
      <c r="S427" s="354"/>
      <c r="T427" s="354"/>
      <c r="U427" s="354"/>
      <c r="V427" s="354"/>
      <c r="X427" s="519" t="s">
        <v>840</v>
      </c>
      <c r="Y427" s="246" t="s">
        <v>1394</v>
      </c>
      <c r="Z427" s="235" t="s">
        <v>205</v>
      </c>
      <c r="AA427" s="235" t="s">
        <v>406</v>
      </c>
      <c r="AB427" s="249"/>
      <c r="AC427" s="238"/>
      <c r="AD427" s="292">
        <f>AD429</f>
        <v>2147.5999999999995</v>
      </c>
      <c r="AE427" s="475">
        <f>AE429</f>
        <v>3411.8999999999996</v>
      </c>
      <c r="AF427" s="475">
        <f>AF429</f>
        <v>3389</v>
      </c>
      <c r="AG427" s="553"/>
      <c r="AH427" s="553"/>
      <c r="AI427" s="455"/>
    </row>
    <row r="428" spans="1:35" x14ac:dyDescent="0.25">
      <c r="A428" s="357"/>
      <c r="B428" s="345"/>
      <c r="C428" s="345"/>
      <c r="D428" s="345"/>
      <c r="E428" s="347"/>
      <c r="F428" s="346"/>
      <c r="G428" s="348"/>
      <c r="H428" s="300"/>
      <c r="I428" s="358"/>
      <c r="J428" s="358"/>
      <c r="K428" s="358"/>
      <c r="L428" s="348"/>
      <c r="M428" s="358"/>
      <c r="N428" s="348"/>
      <c r="O428" s="349"/>
      <c r="P428" s="303"/>
      <c r="Q428" s="350"/>
      <c r="R428" s="354"/>
      <c r="S428" s="354"/>
      <c r="T428" s="354"/>
      <c r="U428" s="354"/>
      <c r="V428" s="354"/>
      <c r="X428" s="548" t="s">
        <v>2074</v>
      </c>
      <c r="Y428" s="246" t="s">
        <v>1394</v>
      </c>
      <c r="Z428" s="235" t="s">
        <v>205</v>
      </c>
      <c r="AA428" s="235" t="s">
        <v>406</v>
      </c>
      <c r="AB428" s="442" t="s">
        <v>1768</v>
      </c>
      <c r="AC428" s="238"/>
      <c r="AD428" s="292">
        <f t="shared" ref="AD428:AF434" si="102">AD429</f>
        <v>2147.5999999999995</v>
      </c>
      <c r="AE428" s="475">
        <f t="shared" si="102"/>
        <v>3411.8999999999996</v>
      </c>
      <c r="AF428" s="475">
        <f t="shared" si="102"/>
        <v>3389</v>
      </c>
      <c r="AG428" s="553"/>
      <c r="AH428" s="553"/>
      <c r="AI428" s="455"/>
    </row>
    <row r="429" spans="1:35" x14ac:dyDescent="0.25">
      <c r="A429" s="357"/>
      <c r="B429" s="345"/>
      <c r="C429" s="345"/>
      <c r="D429" s="345"/>
      <c r="E429" s="347"/>
      <c r="F429" s="346"/>
      <c r="G429" s="348"/>
      <c r="H429" s="300"/>
      <c r="I429" s="358"/>
      <c r="J429" s="358"/>
      <c r="K429" s="358"/>
      <c r="L429" s="340"/>
      <c r="M429" s="358"/>
      <c r="N429" s="340"/>
      <c r="O429" s="349"/>
      <c r="P429" s="303"/>
      <c r="Q429" s="350"/>
      <c r="R429" s="354"/>
      <c r="S429" s="354"/>
      <c r="T429" s="354"/>
      <c r="U429" s="354"/>
      <c r="V429" s="354"/>
      <c r="X429" s="548" t="s">
        <v>2089</v>
      </c>
      <c r="Y429" s="246" t="s">
        <v>1394</v>
      </c>
      <c r="Z429" s="235" t="s">
        <v>205</v>
      </c>
      <c r="AA429" s="235" t="s">
        <v>406</v>
      </c>
      <c r="AB429" s="442" t="s">
        <v>2090</v>
      </c>
      <c r="AC429" s="238"/>
      <c r="AD429" s="292">
        <f t="shared" si="102"/>
        <v>2147.5999999999995</v>
      </c>
      <c r="AE429" s="475">
        <f t="shared" si="102"/>
        <v>3411.8999999999996</v>
      </c>
      <c r="AF429" s="475">
        <f t="shared" si="102"/>
        <v>3389</v>
      </c>
      <c r="AG429" s="553"/>
      <c r="AH429" s="553"/>
      <c r="AI429" s="455"/>
    </row>
    <row r="430" spans="1:35" ht="31.5" x14ac:dyDescent="0.25">
      <c r="A430" s="357"/>
      <c r="B430" s="345"/>
      <c r="C430" s="345"/>
      <c r="D430" s="345"/>
      <c r="E430" s="347"/>
      <c r="F430" s="346"/>
      <c r="G430" s="348"/>
      <c r="H430" s="300"/>
      <c r="I430" s="358"/>
      <c r="J430" s="358"/>
      <c r="K430" s="358"/>
      <c r="L430" s="340"/>
      <c r="M430" s="358"/>
      <c r="N430" s="340"/>
      <c r="O430" s="349"/>
      <c r="P430" s="303"/>
      <c r="Q430" s="350"/>
      <c r="R430" s="354"/>
      <c r="S430" s="354"/>
      <c r="T430" s="354"/>
      <c r="U430" s="354"/>
      <c r="V430" s="354"/>
      <c r="X430" s="531" t="s">
        <v>2091</v>
      </c>
      <c r="Y430" s="246" t="s">
        <v>1394</v>
      </c>
      <c r="Z430" s="235" t="s">
        <v>205</v>
      </c>
      <c r="AA430" s="235" t="s">
        <v>406</v>
      </c>
      <c r="AB430" s="442" t="s">
        <v>2092</v>
      </c>
      <c r="AC430" s="238"/>
      <c r="AD430" s="292">
        <f>AD431+AD434</f>
        <v>2147.5999999999995</v>
      </c>
      <c r="AE430" s="292">
        <f t="shared" ref="AE430:AF430" si="103">AE431+AE434</f>
        <v>3411.8999999999996</v>
      </c>
      <c r="AF430" s="292">
        <f t="shared" si="103"/>
        <v>3389</v>
      </c>
      <c r="AG430" s="553"/>
      <c r="AH430" s="553"/>
      <c r="AI430" s="455"/>
    </row>
    <row r="431" spans="1:35" ht="54.6" customHeight="1" x14ac:dyDescent="0.25">
      <c r="A431" s="357"/>
      <c r="B431" s="345"/>
      <c r="C431" s="345"/>
      <c r="D431" s="345"/>
      <c r="E431" s="347"/>
      <c r="F431" s="346"/>
      <c r="G431" s="348"/>
      <c r="H431" s="300"/>
      <c r="I431" s="358"/>
      <c r="J431" s="358"/>
      <c r="K431" s="358"/>
      <c r="L431" s="340"/>
      <c r="M431" s="358"/>
      <c r="N431" s="340"/>
      <c r="O431" s="349"/>
      <c r="P431" s="303"/>
      <c r="Q431" s="350"/>
      <c r="R431" s="354"/>
      <c r="S431" s="354"/>
      <c r="T431" s="354"/>
      <c r="U431" s="354"/>
      <c r="V431" s="354"/>
      <c r="X431" s="531" t="s">
        <v>2485</v>
      </c>
      <c r="Y431" s="246" t="s">
        <v>1394</v>
      </c>
      <c r="Z431" s="235" t="s">
        <v>205</v>
      </c>
      <c r="AA431" s="235" t="s">
        <v>406</v>
      </c>
      <c r="AB431" s="442" t="s">
        <v>2484</v>
      </c>
      <c r="AC431" s="238"/>
      <c r="AD431" s="292">
        <f>AD432</f>
        <v>74.400000000000006</v>
      </c>
      <c r="AE431" s="292">
        <f t="shared" ref="AE431:AF432" si="104">AE432</f>
        <v>0</v>
      </c>
      <c r="AF431" s="292">
        <f t="shared" si="104"/>
        <v>0</v>
      </c>
      <c r="AG431" s="553"/>
      <c r="AH431" s="553"/>
      <c r="AI431" s="455"/>
    </row>
    <row r="432" spans="1:35" x14ac:dyDescent="0.25">
      <c r="A432" s="357"/>
      <c r="B432" s="345"/>
      <c r="C432" s="345"/>
      <c r="D432" s="345"/>
      <c r="E432" s="347"/>
      <c r="F432" s="346"/>
      <c r="G432" s="348"/>
      <c r="H432" s="300"/>
      <c r="I432" s="358"/>
      <c r="J432" s="358"/>
      <c r="K432" s="358"/>
      <c r="L432" s="340"/>
      <c r="M432" s="358"/>
      <c r="N432" s="340"/>
      <c r="O432" s="349"/>
      <c r="P432" s="303"/>
      <c r="Q432" s="350"/>
      <c r="R432" s="354"/>
      <c r="S432" s="354"/>
      <c r="T432" s="354"/>
      <c r="U432" s="354"/>
      <c r="V432" s="354"/>
      <c r="X432" s="519" t="s">
        <v>1754</v>
      </c>
      <c r="Y432" s="246" t="s">
        <v>1394</v>
      </c>
      <c r="Z432" s="235" t="s">
        <v>205</v>
      </c>
      <c r="AA432" s="235" t="s">
        <v>406</v>
      </c>
      <c r="AB432" s="442" t="s">
        <v>2484</v>
      </c>
      <c r="AC432" s="238">
        <v>300</v>
      </c>
      <c r="AD432" s="292">
        <f>AD433</f>
        <v>74.400000000000006</v>
      </c>
      <c r="AE432" s="292">
        <f t="shared" si="104"/>
        <v>0</v>
      </c>
      <c r="AF432" s="292">
        <f t="shared" si="104"/>
        <v>0</v>
      </c>
      <c r="AG432" s="553"/>
      <c r="AH432" s="553"/>
      <c r="AI432" s="455"/>
    </row>
    <row r="433" spans="1:35" x14ac:dyDescent="0.25">
      <c r="A433" s="357"/>
      <c r="B433" s="345"/>
      <c r="C433" s="345"/>
      <c r="D433" s="345"/>
      <c r="E433" s="347"/>
      <c r="F433" s="346"/>
      <c r="G433" s="348"/>
      <c r="H433" s="300"/>
      <c r="I433" s="358"/>
      <c r="J433" s="358"/>
      <c r="K433" s="358"/>
      <c r="L433" s="340"/>
      <c r="M433" s="358"/>
      <c r="N433" s="340"/>
      <c r="O433" s="349"/>
      <c r="P433" s="303"/>
      <c r="Q433" s="350"/>
      <c r="R433" s="354"/>
      <c r="S433" s="354"/>
      <c r="T433" s="354"/>
      <c r="U433" s="354"/>
      <c r="V433" s="354"/>
      <c r="X433" s="519" t="s">
        <v>868</v>
      </c>
      <c r="Y433" s="246" t="s">
        <v>1394</v>
      </c>
      <c r="Z433" s="235" t="s">
        <v>205</v>
      </c>
      <c r="AA433" s="235" t="s">
        <v>406</v>
      </c>
      <c r="AB433" s="442" t="s">
        <v>2484</v>
      </c>
      <c r="AC433" s="238">
        <v>320</v>
      </c>
      <c r="AD433" s="292">
        <v>74.400000000000006</v>
      </c>
      <c r="AE433" s="292">
        <v>0</v>
      </c>
      <c r="AF433" s="292">
        <v>0</v>
      </c>
      <c r="AG433" s="553"/>
      <c r="AH433" s="553"/>
      <c r="AI433" s="455"/>
    </row>
    <row r="434" spans="1:35" x14ac:dyDescent="0.25">
      <c r="A434" s="357"/>
      <c r="B434" s="345"/>
      <c r="C434" s="345"/>
      <c r="D434" s="345"/>
      <c r="E434" s="347"/>
      <c r="F434" s="346"/>
      <c r="G434" s="348"/>
      <c r="H434" s="300"/>
      <c r="I434" s="358"/>
      <c r="J434" s="358"/>
      <c r="K434" s="358"/>
      <c r="L434" s="340"/>
      <c r="M434" s="358"/>
      <c r="N434" s="340"/>
      <c r="O434" s="349"/>
      <c r="P434" s="303"/>
      <c r="Q434" s="350"/>
      <c r="R434" s="354"/>
      <c r="S434" s="354"/>
      <c r="T434" s="354"/>
      <c r="U434" s="354"/>
      <c r="V434" s="354"/>
      <c r="X434" s="525" t="s">
        <v>2093</v>
      </c>
      <c r="Y434" s="246" t="s">
        <v>1394</v>
      </c>
      <c r="Z434" s="235" t="s">
        <v>205</v>
      </c>
      <c r="AA434" s="235" t="s">
        <v>406</v>
      </c>
      <c r="AB434" s="442" t="s">
        <v>2094</v>
      </c>
      <c r="AC434" s="238"/>
      <c r="AD434" s="292">
        <f t="shared" si="102"/>
        <v>2073.1999999999994</v>
      </c>
      <c r="AE434" s="475">
        <f t="shared" si="102"/>
        <v>3411.8999999999996</v>
      </c>
      <c r="AF434" s="475">
        <f t="shared" si="102"/>
        <v>3389</v>
      </c>
      <c r="AG434" s="553"/>
      <c r="AH434" s="553"/>
      <c r="AI434" s="455"/>
    </row>
    <row r="435" spans="1:35" ht="47.25" x14ac:dyDescent="0.25">
      <c r="A435" s="357"/>
      <c r="B435" s="345"/>
      <c r="C435" s="345"/>
      <c r="D435" s="345"/>
      <c r="E435" s="347"/>
      <c r="F435" s="346"/>
      <c r="G435" s="348"/>
      <c r="H435" s="300"/>
      <c r="I435" s="358"/>
      <c r="J435" s="358"/>
      <c r="K435" s="358"/>
      <c r="L435" s="340"/>
      <c r="M435" s="358"/>
      <c r="N435" s="340"/>
      <c r="O435" s="349"/>
      <c r="P435" s="303"/>
      <c r="Q435" s="350"/>
      <c r="R435" s="354"/>
      <c r="S435" s="354"/>
      <c r="T435" s="354"/>
      <c r="U435" s="354"/>
      <c r="V435" s="354"/>
      <c r="X435" s="525" t="s">
        <v>2134</v>
      </c>
      <c r="Y435" s="246" t="s">
        <v>1394</v>
      </c>
      <c r="Z435" s="235" t="s">
        <v>205</v>
      </c>
      <c r="AA435" s="235" t="s">
        <v>406</v>
      </c>
      <c r="AB435" s="442" t="s">
        <v>2135</v>
      </c>
      <c r="AC435" s="238"/>
      <c r="AD435" s="292">
        <f>AD438+AD436+AD440</f>
        <v>2073.1999999999994</v>
      </c>
      <c r="AE435" s="292">
        <f t="shared" ref="AE435:AF435" si="105">AE438+AE436+AE440</f>
        <v>3411.8999999999996</v>
      </c>
      <c r="AF435" s="292">
        <f t="shared" si="105"/>
        <v>3389</v>
      </c>
      <c r="AG435" s="553"/>
      <c r="AH435" s="553"/>
      <c r="AI435" s="455"/>
    </row>
    <row r="436" spans="1:35" x14ac:dyDescent="0.25">
      <c r="A436" s="357"/>
      <c r="B436" s="345"/>
      <c r="C436" s="345"/>
      <c r="D436" s="345"/>
      <c r="E436" s="347"/>
      <c r="F436" s="346"/>
      <c r="G436" s="348"/>
      <c r="H436" s="300"/>
      <c r="I436" s="358"/>
      <c r="J436" s="358"/>
      <c r="K436" s="358"/>
      <c r="L436" s="340"/>
      <c r="M436" s="358"/>
      <c r="N436" s="340"/>
      <c r="O436" s="349"/>
      <c r="P436" s="303"/>
      <c r="Q436" s="350"/>
      <c r="R436" s="354"/>
      <c r="S436" s="354"/>
      <c r="T436" s="354"/>
      <c r="U436" s="354"/>
      <c r="V436" s="354"/>
      <c r="X436" s="523" t="s">
        <v>1781</v>
      </c>
      <c r="Y436" s="246" t="s">
        <v>1394</v>
      </c>
      <c r="Z436" s="235" t="s">
        <v>205</v>
      </c>
      <c r="AA436" s="235" t="s">
        <v>406</v>
      </c>
      <c r="AB436" s="442" t="s">
        <v>2135</v>
      </c>
      <c r="AC436" s="238">
        <v>200</v>
      </c>
      <c r="AD436" s="292">
        <f>AD437</f>
        <v>1720.1</v>
      </c>
      <c r="AE436" s="475">
        <f>AE437</f>
        <v>120</v>
      </c>
      <c r="AF436" s="475">
        <f>AF437</f>
        <v>120</v>
      </c>
      <c r="AG436" s="553"/>
      <c r="AH436" s="553"/>
      <c r="AI436" s="455"/>
    </row>
    <row r="437" spans="1:35" ht="31.5" x14ac:dyDescent="0.25">
      <c r="A437" s="357"/>
      <c r="B437" s="345"/>
      <c r="C437" s="345"/>
      <c r="D437" s="345"/>
      <c r="E437" s="347"/>
      <c r="F437" s="346"/>
      <c r="G437" s="348"/>
      <c r="H437" s="300"/>
      <c r="I437" s="358"/>
      <c r="J437" s="358"/>
      <c r="K437" s="358"/>
      <c r="L437" s="340"/>
      <c r="M437" s="358"/>
      <c r="N437" s="340"/>
      <c r="O437" s="349"/>
      <c r="P437" s="303"/>
      <c r="Q437" s="350"/>
      <c r="R437" s="354"/>
      <c r="S437" s="354"/>
      <c r="T437" s="354"/>
      <c r="U437" s="354"/>
      <c r="V437" s="354"/>
      <c r="X437" s="523" t="s">
        <v>1273</v>
      </c>
      <c r="Y437" s="246" t="s">
        <v>1394</v>
      </c>
      <c r="Z437" s="235" t="s">
        <v>205</v>
      </c>
      <c r="AA437" s="235" t="s">
        <v>406</v>
      </c>
      <c r="AB437" s="442" t="s">
        <v>2135</v>
      </c>
      <c r="AC437" s="238">
        <v>240</v>
      </c>
      <c r="AD437" s="292">
        <f>120+1674-54.7-19.2</f>
        <v>1720.1</v>
      </c>
      <c r="AE437" s="475">
        <v>120</v>
      </c>
      <c r="AF437" s="475">
        <v>120</v>
      </c>
      <c r="AG437" s="553"/>
      <c r="AH437" s="553"/>
      <c r="AI437" s="455"/>
    </row>
    <row r="438" spans="1:35" x14ac:dyDescent="0.25">
      <c r="A438" s="357"/>
      <c r="B438" s="345"/>
      <c r="C438" s="345"/>
      <c r="D438" s="345"/>
      <c r="E438" s="347"/>
      <c r="F438" s="346"/>
      <c r="G438" s="348"/>
      <c r="H438" s="300"/>
      <c r="I438" s="358"/>
      <c r="J438" s="358"/>
      <c r="K438" s="358"/>
      <c r="L438" s="340"/>
      <c r="M438" s="358"/>
      <c r="N438" s="340"/>
      <c r="O438" s="349"/>
      <c r="P438" s="303"/>
      <c r="Q438" s="350"/>
      <c r="R438" s="354"/>
      <c r="S438" s="354"/>
      <c r="T438" s="354"/>
      <c r="U438" s="354"/>
      <c r="V438" s="354"/>
      <c r="X438" s="519" t="s">
        <v>1754</v>
      </c>
      <c r="Y438" s="246" t="s">
        <v>1394</v>
      </c>
      <c r="Z438" s="235" t="s">
        <v>205</v>
      </c>
      <c r="AA438" s="235" t="s">
        <v>406</v>
      </c>
      <c r="AB438" s="442" t="s">
        <v>2135</v>
      </c>
      <c r="AC438" s="238">
        <v>300</v>
      </c>
      <c r="AD438" s="292">
        <f>AD439</f>
        <v>346.89999999999964</v>
      </c>
      <c r="AE438" s="475">
        <f>AE439</f>
        <v>3291.8999999999996</v>
      </c>
      <c r="AF438" s="475">
        <f>AF439</f>
        <v>3269</v>
      </c>
      <c r="AG438" s="553"/>
      <c r="AH438" s="553"/>
      <c r="AI438" s="455"/>
    </row>
    <row r="439" spans="1:35" x14ac:dyDescent="0.25">
      <c r="A439" s="357"/>
      <c r="B439" s="345"/>
      <c r="C439" s="345"/>
      <c r="D439" s="345"/>
      <c r="E439" s="347"/>
      <c r="F439" s="346"/>
      <c r="G439" s="348"/>
      <c r="H439" s="300"/>
      <c r="I439" s="358"/>
      <c r="J439" s="358"/>
      <c r="K439" s="358"/>
      <c r="L439" s="340"/>
      <c r="M439" s="358"/>
      <c r="N439" s="340"/>
      <c r="O439" s="349"/>
      <c r="P439" s="303"/>
      <c r="Q439" s="350"/>
      <c r="R439" s="354"/>
      <c r="S439" s="354"/>
      <c r="T439" s="354"/>
      <c r="U439" s="354"/>
      <c r="V439" s="354"/>
      <c r="X439" s="519" t="s">
        <v>868</v>
      </c>
      <c r="Y439" s="246" t="s">
        <v>1394</v>
      </c>
      <c r="Z439" s="235" t="s">
        <v>205</v>
      </c>
      <c r="AA439" s="235" t="s">
        <v>406</v>
      </c>
      <c r="AB439" s="442" t="s">
        <v>2135</v>
      </c>
      <c r="AC439" s="238">
        <v>320</v>
      </c>
      <c r="AD439" s="292">
        <f>2176+2105.9-870-120-1340-1674+54.7-40-6.2+41.3+19.2</f>
        <v>346.89999999999964</v>
      </c>
      <c r="AE439" s="475">
        <f>2176+2105.9-870-120</f>
        <v>3291.8999999999996</v>
      </c>
      <c r="AF439" s="475">
        <f>2176+2083-870-120</f>
        <v>3269</v>
      </c>
      <c r="AG439" s="553"/>
      <c r="AH439" s="553"/>
      <c r="AI439" s="455"/>
    </row>
    <row r="440" spans="1:35" ht="31.5" x14ac:dyDescent="0.25">
      <c r="A440" s="357"/>
      <c r="B440" s="345"/>
      <c r="C440" s="345"/>
      <c r="D440" s="345"/>
      <c r="E440" s="347"/>
      <c r="F440" s="346"/>
      <c r="G440" s="348"/>
      <c r="H440" s="300"/>
      <c r="I440" s="358"/>
      <c r="J440" s="358"/>
      <c r="K440" s="358"/>
      <c r="L440" s="340"/>
      <c r="M440" s="358"/>
      <c r="N440" s="340"/>
      <c r="O440" s="349"/>
      <c r="P440" s="303"/>
      <c r="Q440" s="350"/>
      <c r="R440" s="354"/>
      <c r="S440" s="354"/>
      <c r="T440" s="354"/>
      <c r="U440" s="354"/>
      <c r="V440" s="354"/>
      <c r="X440" s="519" t="s">
        <v>1342</v>
      </c>
      <c r="Y440" s="246" t="s">
        <v>1394</v>
      </c>
      <c r="Z440" s="235" t="s">
        <v>205</v>
      </c>
      <c r="AA440" s="235" t="s">
        <v>406</v>
      </c>
      <c r="AB440" s="442" t="s">
        <v>2135</v>
      </c>
      <c r="AC440" s="238">
        <v>600</v>
      </c>
      <c r="AD440" s="292">
        <f>AD441</f>
        <v>6.2</v>
      </c>
      <c r="AE440" s="292">
        <f t="shared" ref="AE440:AF440" si="106">AE441</f>
        <v>0</v>
      </c>
      <c r="AF440" s="292">
        <f t="shared" si="106"/>
        <v>0</v>
      </c>
      <c r="AG440" s="553"/>
      <c r="AH440" s="553"/>
      <c r="AI440" s="455"/>
    </row>
    <row r="441" spans="1:35" x14ac:dyDescent="0.25">
      <c r="A441" s="357"/>
      <c r="B441" s="345"/>
      <c r="C441" s="345"/>
      <c r="D441" s="345"/>
      <c r="E441" s="347"/>
      <c r="F441" s="346"/>
      <c r="G441" s="348"/>
      <c r="H441" s="300"/>
      <c r="I441" s="358"/>
      <c r="J441" s="358"/>
      <c r="K441" s="358"/>
      <c r="L441" s="340"/>
      <c r="M441" s="358"/>
      <c r="N441" s="340"/>
      <c r="O441" s="349"/>
      <c r="P441" s="303"/>
      <c r="Q441" s="350"/>
      <c r="R441" s="354"/>
      <c r="S441" s="354"/>
      <c r="T441" s="354"/>
      <c r="U441" s="354"/>
      <c r="V441" s="354"/>
      <c r="X441" s="519" t="s">
        <v>1343</v>
      </c>
      <c r="Y441" s="246" t="s">
        <v>1394</v>
      </c>
      <c r="Z441" s="235" t="s">
        <v>205</v>
      </c>
      <c r="AA441" s="235" t="s">
        <v>406</v>
      </c>
      <c r="AB441" s="442" t="s">
        <v>2135</v>
      </c>
      <c r="AC441" s="238">
        <v>610</v>
      </c>
      <c r="AD441" s="292">
        <v>6.2</v>
      </c>
      <c r="AE441" s="475">
        <v>0</v>
      </c>
      <c r="AF441" s="475">
        <v>0</v>
      </c>
      <c r="AG441" s="553"/>
      <c r="AH441" s="553"/>
      <c r="AI441" s="455"/>
    </row>
    <row r="442" spans="1:35" s="344" customFormat="1" ht="18.75" x14ac:dyDescent="0.3">
      <c r="A442" s="335"/>
      <c r="B442" s="336"/>
      <c r="C442" s="338"/>
      <c r="D442" s="339"/>
      <c r="E442" s="339"/>
      <c r="F442" s="339"/>
      <c r="G442" s="340"/>
      <c r="H442" s="340"/>
      <c r="I442" s="340"/>
      <c r="J442" s="340"/>
      <c r="K442" s="340"/>
      <c r="L442" s="399"/>
      <c r="M442" s="340"/>
      <c r="N442" s="340"/>
      <c r="O442" s="341"/>
      <c r="P442" s="340"/>
      <c r="Q442" s="342"/>
      <c r="R442" s="362"/>
      <c r="S442" s="362"/>
      <c r="T442" s="362"/>
      <c r="U442" s="362"/>
      <c r="V442" s="362"/>
      <c r="W442" s="362"/>
      <c r="X442" s="558" t="s">
        <v>403</v>
      </c>
      <c r="Y442" s="574" t="s">
        <v>1394</v>
      </c>
      <c r="Z442" s="247" t="s">
        <v>290</v>
      </c>
      <c r="AA442" s="248"/>
      <c r="AB442" s="271"/>
      <c r="AC442" s="575"/>
      <c r="AD442" s="733">
        <f>AD443</f>
        <v>112847.1</v>
      </c>
      <c r="AE442" s="478">
        <f>AE443</f>
        <v>89536</v>
      </c>
      <c r="AF442" s="478">
        <f>AF443</f>
        <v>89536</v>
      </c>
      <c r="AG442" s="640"/>
      <c r="AH442" s="640"/>
      <c r="AI442" s="455"/>
    </row>
    <row r="443" spans="1:35" s="370" customFormat="1" x14ac:dyDescent="0.25">
      <c r="A443" s="311"/>
      <c r="B443" s="345"/>
      <c r="C443" s="346"/>
      <c r="D443" s="346"/>
      <c r="E443" s="347"/>
      <c r="F443" s="347"/>
      <c r="G443" s="348"/>
      <c r="H443" s="348"/>
      <c r="I443" s="348"/>
      <c r="J443" s="348"/>
      <c r="K443" s="348"/>
      <c r="L443" s="340"/>
      <c r="M443" s="348"/>
      <c r="N443" s="340"/>
      <c r="O443" s="359"/>
      <c r="P443" s="348"/>
      <c r="Q443" s="350"/>
      <c r="R443" s="354"/>
      <c r="S443" s="354"/>
      <c r="T443" s="354"/>
      <c r="U443" s="354"/>
      <c r="V443" s="354"/>
      <c r="W443" s="354"/>
      <c r="X443" s="519" t="s">
        <v>1402</v>
      </c>
      <c r="Y443" s="246" t="s">
        <v>1394</v>
      </c>
      <c r="Z443" s="235" t="s">
        <v>290</v>
      </c>
      <c r="AA443" s="235" t="s">
        <v>566</v>
      </c>
      <c r="AB443" s="249"/>
      <c r="AC443" s="576"/>
      <c r="AD443" s="292">
        <f>AD444+AD480+AD486</f>
        <v>112847.1</v>
      </c>
      <c r="AE443" s="475">
        <f>AE444+AE480+AE486</f>
        <v>89536</v>
      </c>
      <c r="AF443" s="475">
        <f>AF444+AF480+AF486</f>
        <v>89536</v>
      </c>
      <c r="AG443" s="553"/>
      <c r="AH443" s="553"/>
      <c r="AI443" s="455"/>
    </row>
    <row r="444" spans="1:35" s="370" customFormat="1" x14ac:dyDescent="0.25">
      <c r="A444" s="311"/>
      <c r="B444" s="345"/>
      <c r="C444" s="346"/>
      <c r="D444" s="346"/>
      <c r="E444" s="347"/>
      <c r="F444" s="347"/>
      <c r="G444" s="348"/>
      <c r="H444" s="348"/>
      <c r="I444" s="348"/>
      <c r="J444" s="348"/>
      <c r="K444" s="348"/>
      <c r="L444" s="348"/>
      <c r="M444" s="348"/>
      <c r="N444" s="348"/>
      <c r="O444" s="359"/>
      <c r="P444" s="348"/>
      <c r="Q444" s="350"/>
      <c r="R444" s="354"/>
      <c r="S444" s="354"/>
      <c r="T444" s="354"/>
      <c r="U444" s="354"/>
      <c r="V444" s="354"/>
      <c r="W444" s="354"/>
      <c r="X444" s="520" t="s">
        <v>1998</v>
      </c>
      <c r="Y444" s="246" t="s">
        <v>1394</v>
      </c>
      <c r="Z444" s="235" t="s">
        <v>290</v>
      </c>
      <c r="AA444" s="235" t="s">
        <v>566</v>
      </c>
      <c r="AB444" s="442" t="s">
        <v>1774</v>
      </c>
      <c r="AC444" s="576"/>
      <c r="AD444" s="292">
        <f>AD445+AD450+AD461</f>
        <v>110647</v>
      </c>
      <c r="AE444" s="475">
        <f>AE445+AE450+AE461</f>
        <v>89536</v>
      </c>
      <c r="AF444" s="475">
        <f>AF445+AF450+AF461</f>
        <v>89536</v>
      </c>
      <c r="AG444" s="553"/>
      <c r="AH444" s="553"/>
      <c r="AI444" s="455"/>
    </row>
    <row r="445" spans="1:35" s="370" customFormat="1" x14ac:dyDescent="0.25">
      <c r="A445" s="311"/>
      <c r="B445" s="345"/>
      <c r="C445" s="346"/>
      <c r="D445" s="346"/>
      <c r="E445" s="347"/>
      <c r="F445" s="347"/>
      <c r="G445" s="348"/>
      <c r="H445" s="348"/>
      <c r="I445" s="348"/>
      <c r="J445" s="348"/>
      <c r="K445" s="348"/>
      <c r="L445" s="340"/>
      <c r="M445" s="348"/>
      <c r="N445" s="340"/>
      <c r="O445" s="359"/>
      <c r="P445" s="348"/>
      <c r="Q445" s="350"/>
      <c r="R445" s="354"/>
      <c r="S445" s="354"/>
      <c r="T445" s="354"/>
      <c r="U445" s="354"/>
      <c r="V445" s="354"/>
      <c r="W445" s="354"/>
      <c r="X445" s="520" t="s">
        <v>2333</v>
      </c>
      <c r="Y445" s="246" t="s">
        <v>1394</v>
      </c>
      <c r="Z445" s="235" t="s">
        <v>290</v>
      </c>
      <c r="AA445" s="235" t="s">
        <v>566</v>
      </c>
      <c r="AB445" s="442" t="s">
        <v>2128</v>
      </c>
      <c r="AC445" s="576"/>
      <c r="AD445" s="292">
        <f t="shared" ref="AD445:AF446" si="107">AD446</f>
        <v>16732.5</v>
      </c>
      <c r="AE445" s="475">
        <f t="shared" si="107"/>
        <v>15732.5</v>
      </c>
      <c r="AF445" s="475">
        <f t="shared" si="107"/>
        <v>15732.5</v>
      </c>
      <c r="AG445" s="553"/>
      <c r="AH445" s="553"/>
      <c r="AI445" s="455"/>
    </row>
    <row r="446" spans="1:35" s="370" customFormat="1" x14ac:dyDescent="0.25">
      <c r="A446" s="311"/>
      <c r="B446" s="345"/>
      <c r="C446" s="346"/>
      <c r="D446" s="346"/>
      <c r="E446" s="347"/>
      <c r="F446" s="347"/>
      <c r="G446" s="348"/>
      <c r="H446" s="348"/>
      <c r="I446" s="348"/>
      <c r="J446" s="348"/>
      <c r="K446" s="348"/>
      <c r="L446" s="340"/>
      <c r="M446" s="348"/>
      <c r="N446" s="340"/>
      <c r="O446" s="359"/>
      <c r="P446" s="348"/>
      <c r="Q446" s="350"/>
      <c r="R446" s="354"/>
      <c r="S446" s="354"/>
      <c r="T446" s="354"/>
      <c r="U446" s="354"/>
      <c r="V446" s="354"/>
      <c r="W446" s="354"/>
      <c r="X446" s="520" t="s">
        <v>2129</v>
      </c>
      <c r="Y446" s="246" t="s">
        <v>1394</v>
      </c>
      <c r="Z446" s="235" t="s">
        <v>290</v>
      </c>
      <c r="AA446" s="235" t="s">
        <v>566</v>
      </c>
      <c r="AB446" s="442" t="s">
        <v>2130</v>
      </c>
      <c r="AC446" s="576"/>
      <c r="AD446" s="292">
        <f t="shared" si="107"/>
        <v>16732.5</v>
      </c>
      <c r="AE446" s="475">
        <f t="shared" si="107"/>
        <v>15732.5</v>
      </c>
      <c r="AF446" s="475">
        <f t="shared" si="107"/>
        <v>15732.5</v>
      </c>
      <c r="AG446" s="553"/>
      <c r="AH446" s="553"/>
      <c r="AI446" s="455"/>
    </row>
    <row r="447" spans="1:35" s="370" customFormat="1" ht="31.5" x14ac:dyDescent="0.25">
      <c r="A447" s="311"/>
      <c r="B447" s="345"/>
      <c r="C447" s="346"/>
      <c r="D447" s="346"/>
      <c r="E447" s="347"/>
      <c r="F447" s="347"/>
      <c r="G447" s="348"/>
      <c r="H447" s="348"/>
      <c r="I447" s="348"/>
      <c r="J447" s="348"/>
      <c r="K447" s="348"/>
      <c r="L447" s="340"/>
      <c r="M447" s="348"/>
      <c r="N447" s="340"/>
      <c r="O447" s="359"/>
      <c r="P447" s="348"/>
      <c r="Q447" s="350"/>
      <c r="R447" s="354"/>
      <c r="S447" s="354"/>
      <c r="T447" s="354"/>
      <c r="U447" s="354"/>
      <c r="V447" s="354"/>
      <c r="W447" s="354"/>
      <c r="X447" s="559" t="s">
        <v>1999</v>
      </c>
      <c r="Y447" s="246" t="s">
        <v>1394</v>
      </c>
      <c r="Z447" s="235" t="s">
        <v>290</v>
      </c>
      <c r="AA447" s="235" t="s">
        <v>566</v>
      </c>
      <c r="AB447" s="442" t="s">
        <v>2000</v>
      </c>
      <c r="AC447" s="576"/>
      <c r="AD447" s="292">
        <f t="shared" ref="AD447:AF448" si="108">AD448</f>
        <v>16732.5</v>
      </c>
      <c r="AE447" s="475">
        <f t="shared" si="108"/>
        <v>15732.5</v>
      </c>
      <c r="AF447" s="475">
        <f t="shared" si="108"/>
        <v>15732.5</v>
      </c>
      <c r="AG447" s="553"/>
      <c r="AH447" s="553"/>
      <c r="AI447" s="455"/>
    </row>
    <row r="448" spans="1:35" s="370" customFormat="1" ht="31.5" x14ac:dyDescent="0.25">
      <c r="A448" s="311"/>
      <c r="B448" s="345"/>
      <c r="C448" s="346"/>
      <c r="D448" s="346"/>
      <c r="E448" s="347"/>
      <c r="F448" s="347"/>
      <c r="G448" s="348"/>
      <c r="H448" s="348"/>
      <c r="I448" s="348"/>
      <c r="J448" s="348"/>
      <c r="K448" s="348"/>
      <c r="L448" s="340"/>
      <c r="M448" s="348"/>
      <c r="N448" s="340"/>
      <c r="O448" s="359"/>
      <c r="P448" s="348"/>
      <c r="Q448" s="350"/>
      <c r="R448" s="354"/>
      <c r="S448" s="354"/>
      <c r="T448" s="354"/>
      <c r="U448" s="354"/>
      <c r="V448" s="354"/>
      <c r="W448" s="354"/>
      <c r="X448" s="519" t="s">
        <v>1342</v>
      </c>
      <c r="Y448" s="246" t="s">
        <v>1394</v>
      </c>
      <c r="Z448" s="235" t="s">
        <v>290</v>
      </c>
      <c r="AA448" s="235" t="s">
        <v>566</v>
      </c>
      <c r="AB448" s="442" t="s">
        <v>2000</v>
      </c>
      <c r="AC448" s="238">
        <v>600</v>
      </c>
      <c r="AD448" s="292">
        <f t="shared" si="108"/>
        <v>16732.5</v>
      </c>
      <c r="AE448" s="475">
        <f t="shared" si="108"/>
        <v>15732.5</v>
      </c>
      <c r="AF448" s="475">
        <f t="shared" si="108"/>
        <v>15732.5</v>
      </c>
      <c r="AG448" s="553"/>
      <c r="AH448" s="553"/>
      <c r="AI448" s="455"/>
    </row>
    <row r="449" spans="1:35" s="370" customFormat="1" x14ac:dyDescent="0.25">
      <c r="A449" s="311"/>
      <c r="B449" s="345"/>
      <c r="C449" s="346"/>
      <c r="D449" s="346"/>
      <c r="E449" s="347"/>
      <c r="F449" s="347"/>
      <c r="G449" s="348"/>
      <c r="H449" s="348"/>
      <c r="I449" s="348"/>
      <c r="J449" s="348"/>
      <c r="K449" s="348"/>
      <c r="L449" s="340"/>
      <c r="M449" s="348"/>
      <c r="N449" s="340"/>
      <c r="O449" s="359"/>
      <c r="P449" s="348"/>
      <c r="Q449" s="350"/>
      <c r="R449" s="354"/>
      <c r="S449" s="354"/>
      <c r="T449" s="354"/>
      <c r="U449" s="354"/>
      <c r="V449" s="354"/>
      <c r="W449" s="354"/>
      <c r="X449" s="519" t="s">
        <v>1343</v>
      </c>
      <c r="Y449" s="246" t="s">
        <v>1394</v>
      </c>
      <c r="Z449" s="235" t="s">
        <v>290</v>
      </c>
      <c r="AA449" s="235" t="s">
        <v>566</v>
      </c>
      <c r="AB449" s="442" t="s">
        <v>2000</v>
      </c>
      <c r="AC449" s="238">
        <v>610</v>
      </c>
      <c r="AD449" s="734">
        <f>15732.5+1000</f>
        <v>16732.5</v>
      </c>
      <c r="AE449" s="488">
        <v>15732.5</v>
      </c>
      <c r="AF449" s="488">
        <v>15732.5</v>
      </c>
      <c r="AG449" s="641"/>
      <c r="AH449" s="641"/>
      <c r="AI449" s="455"/>
    </row>
    <row r="450" spans="1:35" s="370" customFormat="1" x14ac:dyDescent="0.25">
      <c r="A450" s="311"/>
      <c r="B450" s="345"/>
      <c r="C450" s="346"/>
      <c r="D450" s="346"/>
      <c r="E450" s="347"/>
      <c r="F450" s="347"/>
      <c r="G450" s="348"/>
      <c r="H450" s="348"/>
      <c r="I450" s="348"/>
      <c r="J450" s="348"/>
      <c r="K450" s="348"/>
      <c r="L450" s="340"/>
      <c r="M450" s="348"/>
      <c r="N450" s="340"/>
      <c r="O450" s="359"/>
      <c r="P450" s="348"/>
      <c r="Q450" s="350"/>
      <c r="R450" s="354"/>
      <c r="S450" s="354"/>
      <c r="T450" s="354"/>
      <c r="U450" s="354"/>
      <c r="V450" s="354"/>
      <c r="W450" s="354"/>
      <c r="X450" s="517" t="s">
        <v>2335</v>
      </c>
      <c r="Y450" s="246" t="s">
        <v>1394</v>
      </c>
      <c r="Z450" s="235" t="s">
        <v>290</v>
      </c>
      <c r="AA450" s="235" t="s">
        <v>566</v>
      </c>
      <c r="AB450" s="442" t="s">
        <v>1820</v>
      </c>
      <c r="AC450" s="587"/>
      <c r="AD450" s="734">
        <f>AD451</f>
        <v>28335.899999999998</v>
      </c>
      <c r="AE450" s="488">
        <f>AE451</f>
        <v>23482.799999999999</v>
      </c>
      <c r="AF450" s="488">
        <f>AF451</f>
        <v>23482.799999999999</v>
      </c>
      <c r="AG450" s="641"/>
      <c r="AH450" s="641"/>
      <c r="AI450" s="455"/>
    </row>
    <row r="451" spans="1:35" s="370" customFormat="1" ht="31.5" x14ac:dyDescent="0.25">
      <c r="A451" s="311"/>
      <c r="B451" s="345"/>
      <c r="C451" s="346"/>
      <c r="D451" s="346"/>
      <c r="E451" s="347"/>
      <c r="F451" s="347"/>
      <c r="G451" s="348"/>
      <c r="H451" s="348"/>
      <c r="I451" s="348"/>
      <c r="J451" s="348"/>
      <c r="K451" s="348"/>
      <c r="L451" s="340"/>
      <c r="M451" s="348"/>
      <c r="N451" s="340"/>
      <c r="O451" s="359"/>
      <c r="P451" s="348"/>
      <c r="Q451" s="350"/>
      <c r="R451" s="354"/>
      <c r="S451" s="354"/>
      <c r="T451" s="354"/>
      <c r="U451" s="354"/>
      <c r="V451" s="354"/>
      <c r="W451" s="354"/>
      <c r="X451" s="520" t="s">
        <v>2001</v>
      </c>
      <c r="Y451" s="246" t="s">
        <v>1394</v>
      </c>
      <c r="Z451" s="235" t="s">
        <v>290</v>
      </c>
      <c r="AA451" s="235" t="s">
        <v>566</v>
      </c>
      <c r="AB451" s="442" t="s">
        <v>1821</v>
      </c>
      <c r="AC451" s="238"/>
      <c r="AD451" s="292">
        <f>AD452+AD455+AD458</f>
        <v>28335.899999999998</v>
      </c>
      <c r="AE451" s="292">
        <f t="shared" ref="AE451:AF451" si="109">AE452+AE455+AE458</f>
        <v>23482.799999999999</v>
      </c>
      <c r="AF451" s="292">
        <f t="shared" si="109"/>
        <v>23482.799999999999</v>
      </c>
      <c r="AG451" s="553"/>
      <c r="AH451" s="553"/>
      <c r="AI451" s="455"/>
    </row>
    <row r="452" spans="1:35" s="370" customFormat="1" ht="31.5" x14ac:dyDescent="0.25">
      <c r="A452" s="311"/>
      <c r="B452" s="345"/>
      <c r="C452" s="346"/>
      <c r="D452" s="346"/>
      <c r="E452" s="347"/>
      <c r="F452" s="347"/>
      <c r="G452" s="348"/>
      <c r="H452" s="348"/>
      <c r="I452" s="348"/>
      <c r="J452" s="348"/>
      <c r="K452" s="348"/>
      <c r="L452" s="340"/>
      <c r="M452" s="348"/>
      <c r="N452" s="340"/>
      <c r="O452" s="359"/>
      <c r="P452" s="348"/>
      <c r="Q452" s="350"/>
      <c r="R452" s="354"/>
      <c r="S452" s="354"/>
      <c r="T452" s="354"/>
      <c r="U452" s="354"/>
      <c r="V452" s="354"/>
      <c r="W452" s="354"/>
      <c r="X452" s="559" t="s">
        <v>2002</v>
      </c>
      <c r="Y452" s="246" t="s">
        <v>1394</v>
      </c>
      <c r="Z452" s="235" t="s">
        <v>290</v>
      </c>
      <c r="AA452" s="235" t="s">
        <v>566</v>
      </c>
      <c r="AB452" s="442" t="s">
        <v>2003</v>
      </c>
      <c r="AC452" s="238"/>
      <c r="AD452" s="292">
        <f t="shared" ref="AD452:AF453" si="110">AD453</f>
        <v>1000</v>
      </c>
      <c r="AE452" s="475">
        <f t="shared" si="110"/>
        <v>1000</v>
      </c>
      <c r="AF452" s="475">
        <f t="shared" si="110"/>
        <v>1000</v>
      </c>
      <c r="AG452" s="553"/>
      <c r="AH452" s="553"/>
      <c r="AI452" s="455"/>
    </row>
    <row r="453" spans="1:35" s="370" customFormat="1" ht="31.5" x14ac:dyDescent="0.25">
      <c r="A453" s="311"/>
      <c r="B453" s="345"/>
      <c r="C453" s="346"/>
      <c r="D453" s="346"/>
      <c r="E453" s="347"/>
      <c r="F453" s="347"/>
      <c r="G453" s="348"/>
      <c r="H453" s="348"/>
      <c r="I453" s="348"/>
      <c r="J453" s="348"/>
      <c r="K453" s="348"/>
      <c r="L453" s="340"/>
      <c r="M453" s="348"/>
      <c r="N453" s="340"/>
      <c r="O453" s="359"/>
      <c r="P453" s="348"/>
      <c r="Q453" s="350"/>
      <c r="R453" s="354"/>
      <c r="S453" s="354"/>
      <c r="T453" s="354"/>
      <c r="U453" s="354"/>
      <c r="V453" s="354"/>
      <c r="W453" s="354"/>
      <c r="X453" s="519" t="s">
        <v>1342</v>
      </c>
      <c r="Y453" s="246" t="s">
        <v>1394</v>
      </c>
      <c r="Z453" s="235" t="s">
        <v>290</v>
      </c>
      <c r="AA453" s="235" t="s">
        <v>566</v>
      </c>
      <c r="AB453" s="442" t="s">
        <v>2003</v>
      </c>
      <c r="AC453" s="238">
        <v>600</v>
      </c>
      <c r="AD453" s="292">
        <f t="shared" si="110"/>
        <v>1000</v>
      </c>
      <c r="AE453" s="475">
        <f t="shared" si="110"/>
        <v>1000</v>
      </c>
      <c r="AF453" s="475">
        <f t="shared" si="110"/>
        <v>1000</v>
      </c>
      <c r="AG453" s="553"/>
      <c r="AH453" s="553"/>
      <c r="AI453" s="455"/>
    </row>
    <row r="454" spans="1:35" s="370" customFormat="1" x14ac:dyDescent="0.25">
      <c r="A454" s="311"/>
      <c r="B454" s="345"/>
      <c r="C454" s="346"/>
      <c r="D454" s="346"/>
      <c r="E454" s="347"/>
      <c r="F454" s="347"/>
      <c r="G454" s="348"/>
      <c r="H454" s="348"/>
      <c r="I454" s="348"/>
      <c r="J454" s="348"/>
      <c r="K454" s="348"/>
      <c r="L454" s="340"/>
      <c r="M454" s="348"/>
      <c r="N454" s="340"/>
      <c r="O454" s="359"/>
      <c r="P454" s="348"/>
      <c r="Q454" s="350"/>
      <c r="R454" s="354"/>
      <c r="S454" s="354"/>
      <c r="T454" s="354"/>
      <c r="U454" s="354"/>
      <c r="V454" s="354"/>
      <c r="W454" s="354"/>
      <c r="X454" s="519" t="s">
        <v>1343</v>
      </c>
      <c r="Y454" s="246" t="s">
        <v>1394</v>
      </c>
      <c r="Z454" s="235" t="s">
        <v>290</v>
      </c>
      <c r="AA454" s="235" t="s">
        <v>566</v>
      </c>
      <c r="AB454" s="442" t="s">
        <v>2003</v>
      </c>
      <c r="AC454" s="238">
        <v>610</v>
      </c>
      <c r="AD454" s="292">
        <v>1000</v>
      </c>
      <c r="AE454" s="475">
        <v>1000</v>
      </c>
      <c r="AF454" s="475">
        <v>1000</v>
      </c>
      <c r="AG454" s="553"/>
      <c r="AH454" s="553"/>
      <c r="AI454" s="455"/>
    </row>
    <row r="455" spans="1:35" s="370" customFormat="1" ht="31.5" x14ac:dyDescent="0.25">
      <c r="A455" s="311"/>
      <c r="B455" s="345"/>
      <c r="C455" s="346"/>
      <c r="D455" s="346"/>
      <c r="E455" s="347"/>
      <c r="F455" s="347"/>
      <c r="G455" s="348"/>
      <c r="H455" s="348"/>
      <c r="I455" s="348"/>
      <c r="J455" s="348"/>
      <c r="K455" s="348"/>
      <c r="L455" s="340"/>
      <c r="M455" s="348"/>
      <c r="N455" s="340"/>
      <c r="O455" s="359"/>
      <c r="P455" s="348"/>
      <c r="Q455" s="350"/>
      <c r="R455" s="354"/>
      <c r="S455" s="354"/>
      <c r="T455" s="354"/>
      <c r="U455" s="354"/>
      <c r="V455" s="354"/>
      <c r="W455" s="354"/>
      <c r="X455" s="519" t="s">
        <v>2004</v>
      </c>
      <c r="Y455" s="246" t="s">
        <v>1394</v>
      </c>
      <c r="Z455" s="235" t="s">
        <v>290</v>
      </c>
      <c r="AA455" s="235" t="s">
        <v>566</v>
      </c>
      <c r="AB455" s="442" t="s">
        <v>2005</v>
      </c>
      <c r="AC455" s="238"/>
      <c r="AD455" s="292">
        <f t="shared" ref="AD455:AF456" si="111">AD456</f>
        <v>26952.799999999999</v>
      </c>
      <c r="AE455" s="475">
        <f t="shared" si="111"/>
        <v>22482.799999999999</v>
      </c>
      <c r="AF455" s="475">
        <f t="shared" si="111"/>
        <v>22482.799999999999</v>
      </c>
      <c r="AG455" s="553"/>
      <c r="AH455" s="553"/>
      <c r="AI455" s="455"/>
    </row>
    <row r="456" spans="1:35" s="370" customFormat="1" ht="31.5" x14ac:dyDescent="0.25">
      <c r="A456" s="311"/>
      <c r="B456" s="345"/>
      <c r="C456" s="346"/>
      <c r="D456" s="346"/>
      <c r="E456" s="347"/>
      <c r="F456" s="347"/>
      <c r="G456" s="348"/>
      <c r="H456" s="348"/>
      <c r="I456" s="348"/>
      <c r="J456" s="348"/>
      <c r="K456" s="348"/>
      <c r="L456" s="340"/>
      <c r="M456" s="348"/>
      <c r="N456" s="340"/>
      <c r="O456" s="359"/>
      <c r="P456" s="348"/>
      <c r="Q456" s="350"/>
      <c r="R456" s="354"/>
      <c r="S456" s="354"/>
      <c r="T456" s="354"/>
      <c r="U456" s="354"/>
      <c r="V456" s="354"/>
      <c r="W456" s="354"/>
      <c r="X456" s="519" t="s">
        <v>1342</v>
      </c>
      <c r="Y456" s="246" t="s">
        <v>1394</v>
      </c>
      <c r="Z456" s="235" t="s">
        <v>290</v>
      </c>
      <c r="AA456" s="235" t="s">
        <v>566</v>
      </c>
      <c r="AB456" s="442" t="s">
        <v>2005</v>
      </c>
      <c r="AC456" s="238">
        <v>600</v>
      </c>
      <c r="AD456" s="292">
        <f t="shared" si="111"/>
        <v>26952.799999999999</v>
      </c>
      <c r="AE456" s="475">
        <f t="shared" si="111"/>
        <v>22482.799999999999</v>
      </c>
      <c r="AF456" s="475">
        <f t="shared" si="111"/>
        <v>22482.799999999999</v>
      </c>
      <c r="AG456" s="553"/>
      <c r="AH456" s="553"/>
      <c r="AI456" s="455"/>
    </row>
    <row r="457" spans="1:35" s="370" customFormat="1" x14ac:dyDescent="0.25">
      <c r="A457" s="311"/>
      <c r="B457" s="345"/>
      <c r="C457" s="346"/>
      <c r="D457" s="346"/>
      <c r="E457" s="347"/>
      <c r="F457" s="347"/>
      <c r="G457" s="348"/>
      <c r="H457" s="348"/>
      <c r="I457" s="348"/>
      <c r="J457" s="348"/>
      <c r="K457" s="348"/>
      <c r="L457" s="340"/>
      <c r="M457" s="348"/>
      <c r="N457" s="340"/>
      <c r="O457" s="359"/>
      <c r="P457" s="348"/>
      <c r="Q457" s="350"/>
      <c r="R457" s="354"/>
      <c r="S457" s="354"/>
      <c r="T457" s="354"/>
      <c r="U457" s="354"/>
      <c r="V457" s="354"/>
      <c r="W457" s="354"/>
      <c r="X457" s="519" t="s">
        <v>1343</v>
      </c>
      <c r="Y457" s="246" t="s">
        <v>1394</v>
      </c>
      <c r="Z457" s="235" t="s">
        <v>290</v>
      </c>
      <c r="AA457" s="235" t="s">
        <v>566</v>
      </c>
      <c r="AB457" s="442" t="s">
        <v>2005</v>
      </c>
      <c r="AC457" s="238">
        <v>610</v>
      </c>
      <c r="AD457" s="292">
        <f>22482.8+4470</f>
        <v>26952.799999999999</v>
      </c>
      <c r="AE457" s="475">
        <v>22482.799999999999</v>
      </c>
      <c r="AF457" s="475">
        <v>22482.799999999999</v>
      </c>
      <c r="AG457" s="553"/>
      <c r="AH457" s="553"/>
      <c r="AI457" s="455"/>
    </row>
    <row r="458" spans="1:35" s="370" customFormat="1" ht="66.599999999999994" customHeight="1" x14ac:dyDescent="0.25">
      <c r="A458" s="311"/>
      <c r="B458" s="345"/>
      <c r="C458" s="346"/>
      <c r="D458" s="346"/>
      <c r="E458" s="347"/>
      <c r="F458" s="347"/>
      <c r="G458" s="348"/>
      <c r="H458" s="348"/>
      <c r="I458" s="348"/>
      <c r="J458" s="348"/>
      <c r="K458" s="348"/>
      <c r="L458" s="340"/>
      <c r="M458" s="348"/>
      <c r="N458" s="340"/>
      <c r="O458" s="359"/>
      <c r="P458" s="348"/>
      <c r="Q458" s="350"/>
      <c r="R458" s="354"/>
      <c r="S458" s="354"/>
      <c r="T458" s="354"/>
      <c r="U458" s="354"/>
      <c r="V458" s="354"/>
      <c r="W458" s="354"/>
      <c r="X458" s="519" t="s">
        <v>2475</v>
      </c>
      <c r="Y458" s="246" t="s">
        <v>1394</v>
      </c>
      <c r="Z458" s="235" t="s">
        <v>290</v>
      </c>
      <c r="AA458" s="235" t="s">
        <v>566</v>
      </c>
      <c r="AB458" s="442" t="s">
        <v>2476</v>
      </c>
      <c r="AC458" s="238"/>
      <c r="AD458" s="292">
        <f>AD459</f>
        <v>383.1</v>
      </c>
      <c r="AE458" s="292">
        <f t="shared" ref="AE458:AF458" si="112">AE459</f>
        <v>0</v>
      </c>
      <c r="AF458" s="292">
        <f t="shared" si="112"/>
        <v>0</v>
      </c>
      <c r="AG458" s="553"/>
      <c r="AH458" s="553"/>
      <c r="AI458" s="455"/>
    </row>
    <row r="459" spans="1:35" s="370" customFormat="1" ht="31.5" x14ac:dyDescent="0.25">
      <c r="A459" s="311"/>
      <c r="B459" s="345"/>
      <c r="C459" s="346"/>
      <c r="D459" s="346"/>
      <c r="E459" s="347"/>
      <c r="F459" s="347"/>
      <c r="G459" s="348"/>
      <c r="H459" s="348"/>
      <c r="I459" s="348"/>
      <c r="J459" s="348"/>
      <c r="K459" s="348"/>
      <c r="L459" s="340"/>
      <c r="M459" s="348"/>
      <c r="N459" s="340"/>
      <c r="O459" s="359"/>
      <c r="P459" s="348"/>
      <c r="Q459" s="350"/>
      <c r="R459" s="354"/>
      <c r="S459" s="354"/>
      <c r="T459" s="354"/>
      <c r="U459" s="354"/>
      <c r="V459" s="354"/>
      <c r="W459" s="354"/>
      <c r="X459" s="519" t="s">
        <v>1342</v>
      </c>
      <c r="Y459" s="246" t="s">
        <v>1394</v>
      </c>
      <c r="Z459" s="235" t="s">
        <v>290</v>
      </c>
      <c r="AA459" s="235" t="s">
        <v>566</v>
      </c>
      <c r="AB459" s="442" t="s">
        <v>2476</v>
      </c>
      <c r="AC459" s="238">
        <v>600</v>
      </c>
      <c r="AD459" s="292">
        <f>AD460</f>
        <v>383.1</v>
      </c>
      <c r="AE459" s="292">
        <f t="shared" ref="AE459:AF459" si="113">AE460</f>
        <v>0</v>
      </c>
      <c r="AF459" s="292">
        <f t="shared" si="113"/>
        <v>0</v>
      </c>
      <c r="AG459" s="553"/>
      <c r="AH459" s="553"/>
      <c r="AI459" s="455"/>
    </row>
    <row r="460" spans="1:35" s="370" customFormat="1" x14ac:dyDescent="0.25">
      <c r="A460" s="311"/>
      <c r="B460" s="345"/>
      <c r="C460" s="346"/>
      <c r="D460" s="346"/>
      <c r="E460" s="347"/>
      <c r="F460" s="347"/>
      <c r="G460" s="348"/>
      <c r="H460" s="348"/>
      <c r="I460" s="348"/>
      <c r="J460" s="348"/>
      <c r="K460" s="348"/>
      <c r="L460" s="340"/>
      <c r="M460" s="348"/>
      <c r="N460" s="340"/>
      <c r="O460" s="359"/>
      <c r="P460" s="348"/>
      <c r="Q460" s="350"/>
      <c r="R460" s="354"/>
      <c r="S460" s="354"/>
      <c r="T460" s="354"/>
      <c r="U460" s="354"/>
      <c r="V460" s="354"/>
      <c r="W460" s="354"/>
      <c r="X460" s="519" t="s">
        <v>1343</v>
      </c>
      <c r="Y460" s="246" t="s">
        <v>1394</v>
      </c>
      <c r="Z460" s="235" t="s">
        <v>290</v>
      </c>
      <c r="AA460" s="235" t="s">
        <v>566</v>
      </c>
      <c r="AB460" s="442" t="s">
        <v>2476</v>
      </c>
      <c r="AC460" s="238">
        <v>610</v>
      </c>
      <c r="AD460" s="292">
        <f>314.1+69</f>
        <v>383.1</v>
      </c>
      <c r="AE460" s="475">
        <v>0</v>
      </c>
      <c r="AF460" s="475">
        <v>0</v>
      </c>
      <c r="AG460" s="553"/>
      <c r="AH460" s="553"/>
      <c r="AI460" s="455"/>
    </row>
    <row r="461" spans="1:35" s="370" customFormat="1" ht="31.5" x14ac:dyDescent="0.25">
      <c r="A461" s="311"/>
      <c r="B461" s="345"/>
      <c r="C461" s="346"/>
      <c r="D461" s="346"/>
      <c r="E461" s="347"/>
      <c r="F461" s="347"/>
      <c r="G461" s="348"/>
      <c r="H461" s="348"/>
      <c r="I461" s="348"/>
      <c r="J461" s="348"/>
      <c r="K461" s="348"/>
      <c r="L461" s="340"/>
      <c r="M461" s="348"/>
      <c r="N461" s="340"/>
      <c r="O461" s="359"/>
      <c r="P461" s="348"/>
      <c r="Q461" s="350"/>
      <c r="R461" s="354"/>
      <c r="S461" s="354"/>
      <c r="T461" s="354"/>
      <c r="U461" s="354"/>
      <c r="V461" s="354"/>
      <c r="W461" s="354"/>
      <c r="X461" s="520" t="s">
        <v>2338</v>
      </c>
      <c r="Y461" s="246" t="s">
        <v>1394</v>
      </c>
      <c r="Z461" s="235" t="s">
        <v>290</v>
      </c>
      <c r="AA461" s="235" t="s">
        <v>566</v>
      </c>
      <c r="AB461" s="442" t="s">
        <v>2006</v>
      </c>
      <c r="AC461" s="238"/>
      <c r="AD461" s="292">
        <f>AD462+AD472</f>
        <v>65578.600000000006</v>
      </c>
      <c r="AE461" s="475">
        <f>AE462+AE472</f>
        <v>50320.7</v>
      </c>
      <c r="AF461" s="475">
        <f>AF462+AF472</f>
        <v>50320.7</v>
      </c>
      <c r="AG461" s="553"/>
      <c r="AH461" s="553"/>
      <c r="AI461" s="455"/>
    </row>
    <row r="462" spans="1:35" s="370" customFormat="1" ht="31.5" x14ac:dyDescent="0.25">
      <c r="A462" s="311"/>
      <c r="B462" s="345"/>
      <c r="C462" s="346"/>
      <c r="D462" s="346"/>
      <c r="E462" s="347"/>
      <c r="F462" s="347"/>
      <c r="G462" s="348"/>
      <c r="H462" s="348"/>
      <c r="I462" s="348"/>
      <c r="J462" s="348"/>
      <c r="K462" s="348"/>
      <c r="L462" s="340"/>
      <c r="M462" s="348"/>
      <c r="N462" s="340"/>
      <c r="O462" s="359"/>
      <c r="P462" s="348"/>
      <c r="Q462" s="350"/>
      <c r="R462" s="354"/>
      <c r="S462" s="354"/>
      <c r="T462" s="354"/>
      <c r="U462" s="354"/>
      <c r="V462" s="354"/>
      <c r="W462" s="354"/>
      <c r="X462" s="520" t="s">
        <v>2339</v>
      </c>
      <c r="Y462" s="246" t="s">
        <v>1394</v>
      </c>
      <c r="Z462" s="235" t="s">
        <v>290</v>
      </c>
      <c r="AA462" s="235" t="s">
        <v>566</v>
      </c>
      <c r="AB462" s="442" t="s">
        <v>2007</v>
      </c>
      <c r="AC462" s="238"/>
      <c r="AD462" s="292">
        <f>AD463</f>
        <v>10213.1</v>
      </c>
      <c r="AE462" s="475">
        <f>AE463</f>
        <v>3635.2</v>
      </c>
      <c r="AF462" s="475">
        <f>AF463</f>
        <v>3635.2</v>
      </c>
      <c r="AG462" s="553"/>
      <c r="AH462" s="553"/>
      <c r="AI462" s="455"/>
    </row>
    <row r="463" spans="1:35" s="370" customFormat="1" x14ac:dyDescent="0.25">
      <c r="A463" s="311"/>
      <c r="B463" s="345"/>
      <c r="C463" s="346"/>
      <c r="D463" s="346"/>
      <c r="E463" s="347"/>
      <c r="F463" s="347"/>
      <c r="G463" s="348"/>
      <c r="H463" s="348"/>
      <c r="I463" s="348"/>
      <c r="J463" s="348"/>
      <c r="K463" s="348"/>
      <c r="L463" s="340"/>
      <c r="M463" s="348"/>
      <c r="N463" s="340"/>
      <c r="O463" s="359"/>
      <c r="P463" s="348"/>
      <c r="Q463" s="350"/>
      <c r="R463" s="354"/>
      <c r="S463" s="354"/>
      <c r="T463" s="354"/>
      <c r="U463" s="354"/>
      <c r="V463" s="354"/>
      <c r="W463" s="354"/>
      <c r="X463" s="559" t="s">
        <v>2008</v>
      </c>
      <c r="Y463" s="246" t="s">
        <v>1394</v>
      </c>
      <c r="Z463" s="235" t="s">
        <v>290</v>
      </c>
      <c r="AA463" s="235" t="s">
        <v>566</v>
      </c>
      <c r="AB463" s="442" t="s">
        <v>2009</v>
      </c>
      <c r="AC463" s="238"/>
      <c r="AD463" s="292">
        <f>AD464+AD469</f>
        <v>10213.1</v>
      </c>
      <c r="AE463" s="475">
        <f>AE464+AE469</f>
        <v>3635.2</v>
      </c>
      <c r="AF463" s="475">
        <f>AF464+AF469</f>
        <v>3635.2</v>
      </c>
      <c r="AG463" s="553"/>
      <c r="AH463" s="553"/>
      <c r="AI463" s="455"/>
    </row>
    <row r="464" spans="1:35" s="370" customFormat="1" ht="31.5" x14ac:dyDescent="0.25">
      <c r="A464" s="311"/>
      <c r="B464" s="345"/>
      <c r="C464" s="346"/>
      <c r="D464" s="346"/>
      <c r="E464" s="347"/>
      <c r="F464" s="347"/>
      <c r="G464" s="348"/>
      <c r="H464" s="348"/>
      <c r="I464" s="348"/>
      <c r="J464" s="348"/>
      <c r="K464" s="348"/>
      <c r="L464" s="340"/>
      <c r="M464" s="348"/>
      <c r="N464" s="340"/>
      <c r="O464" s="359"/>
      <c r="P464" s="348"/>
      <c r="Q464" s="350"/>
      <c r="R464" s="354"/>
      <c r="S464" s="354"/>
      <c r="T464" s="354"/>
      <c r="U464" s="354"/>
      <c r="V464" s="354"/>
      <c r="W464" s="354"/>
      <c r="X464" s="519" t="s">
        <v>2010</v>
      </c>
      <c r="Y464" s="246" t="s">
        <v>1394</v>
      </c>
      <c r="Z464" s="235" t="s">
        <v>290</v>
      </c>
      <c r="AA464" s="235" t="s">
        <v>566</v>
      </c>
      <c r="AB464" s="442" t="s">
        <v>2011</v>
      </c>
      <c r="AC464" s="238"/>
      <c r="AD464" s="292">
        <f>AD467+AD465</f>
        <v>9267.9</v>
      </c>
      <c r="AE464" s="475">
        <f>AE467+AE465</f>
        <v>3200</v>
      </c>
      <c r="AF464" s="475">
        <f>AF467+AF465</f>
        <v>3200</v>
      </c>
      <c r="AG464" s="553"/>
      <c r="AH464" s="553"/>
      <c r="AI464" s="455"/>
    </row>
    <row r="465" spans="1:35" s="370" customFormat="1" x14ac:dyDescent="0.25">
      <c r="A465" s="311"/>
      <c r="B465" s="345"/>
      <c r="C465" s="346"/>
      <c r="D465" s="346"/>
      <c r="E465" s="347"/>
      <c r="F465" s="347"/>
      <c r="G465" s="348"/>
      <c r="H465" s="348"/>
      <c r="I465" s="348"/>
      <c r="J465" s="348"/>
      <c r="K465" s="348"/>
      <c r="L465" s="340"/>
      <c r="M465" s="348"/>
      <c r="N465" s="340"/>
      <c r="O465" s="359"/>
      <c r="P465" s="348"/>
      <c r="Q465" s="350"/>
      <c r="R465" s="354"/>
      <c r="S465" s="354"/>
      <c r="T465" s="354"/>
      <c r="U465" s="354"/>
      <c r="V465" s="354"/>
      <c r="W465" s="354"/>
      <c r="X465" s="523" t="s">
        <v>1781</v>
      </c>
      <c r="Y465" s="246" t="s">
        <v>1394</v>
      </c>
      <c r="Z465" s="235" t="s">
        <v>290</v>
      </c>
      <c r="AA465" s="235" t="s">
        <v>566</v>
      </c>
      <c r="AB465" s="442" t="s">
        <v>2011</v>
      </c>
      <c r="AC465" s="238">
        <v>200</v>
      </c>
      <c r="AD465" s="292">
        <f>AD466</f>
        <v>1090.9000000000001</v>
      </c>
      <c r="AE465" s="475">
        <f>AE466</f>
        <v>500</v>
      </c>
      <c r="AF465" s="475">
        <f>AF466</f>
        <v>500</v>
      </c>
      <c r="AG465" s="553"/>
      <c r="AH465" s="553"/>
      <c r="AI465" s="455"/>
    </row>
    <row r="466" spans="1:35" s="370" customFormat="1" ht="31.5" x14ac:dyDescent="0.25">
      <c r="A466" s="311"/>
      <c r="B466" s="345"/>
      <c r="C466" s="346"/>
      <c r="D466" s="346"/>
      <c r="E466" s="347"/>
      <c r="F466" s="347"/>
      <c r="G466" s="348"/>
      <c r="H466" s="348"/>
      <c r="I466" s="348"/>
      <c r="J466" s="348"/>
      <c r="K466" s="348"/>
      <c r="L466" s="340"/>
      <c r="M466" s="348"/>
      <c r="N466" s="340"/>
      <c r="O466" s="359"/>
      <c r="P466" s="348"/>
      <c r="Q466" s="350"/>
      <c r="R466" s="354"/>
      <c r="S466" s="354"/>
      <c r="T466" s="354"/>
      <c r="U466" s="354"/>
      <c r="V466" s="354"/>
      <c r="W466" s="354"/>
      <c r="X466" s="523" t="s">
        <v>1273</v>
      </c>
      <c r="Y466" s="246" t="s">
        <v>1394</v>
      </c>
      <c r="Z466" s="235" t="s">
        <v>290</v>
      </c>
      <c r="AA466" s="235" t="s">
        <v>566</v>
      </c>
      <c r="AB466" s="442" t="s">
        <v>2011</v>
      </c>
      <c r="AC466" s="238">
        <v>240</v>
      </c>
      <c r="AD466" s="292">
        <f>500+250+300+1500-1500+40.9</f>
        <v>1090.9000000000001</v>
      </c>
      <c r="AE466" s="475">
        <v>500</v>
      </c>
      <c r="AF466" s="475">
        <v>500</v>
      </c>
      <c r="AG466" s="553"/>
      <c r="AH466" s="553"/>
      <c r="AI466" s="455"/>
    </row>
    <row r="467" spans="1:35" s="370" customFormat="1" ht="31.5" x14ac:dyDescent="0.25">
      <c r="A467" s="311"/>
      <c r="B467" s="345"/>
      <c r="C467" s="346"/>
      <c r="D467" s="346"/>
      <c r="E467" s="347"/>
      <c r="F467" s="347"/>
      <c r="G467" s="348"/>
      <c r="H467" s="348"/>
      <c r="I467" s="348"/>
      <c r="J467" s="348"/>
      <c r="K467" s="348"/>
      <c r="L467" s="340"/>
      <c r="M467" s="348"/>
      <c r="N467" s="340"/>
      <c r="O467" s="359"/>
      <c r="P467" s="348"/>
      <c r="Q467" s="350"/>
      <c r="R467" s="354"/>
      <c r="S467" s="354"/>
      <c r="T467" s="354"/>
      <c r="U467" s="354"/>
      <c r="V467" s="354"/>
      <c r="W467" s="354"/>
      <c r="X467" s="519" t="s">
        <v>1342</v>
      </c>
      <c r="Y467" s="246" t="s">
        <v>1394</v>
      </c>
      <c r="Z467" s="235" t="s">
        <v>290</v>
      </c>
      <c r="AA467" s="235" t="s">
        <v>566</v>
      </c>
      <c r="AB467" s="442" t="s">
        <v>2011</v>
      </c>
      <c r="AC467" s="238">
        <v>600</v>
      </c>
      <c r="AD467" s="292">
        <f>AD468</f>
        <v>8177</v>
      </c>
      <c r="AE467" s="475">
        <f>AE468</f>
        <v>2700</v>
      </c>
      <c r="AF467" s="475">
        <f>AF468</f>
        <v>2700</v>
      </c>
      <c r="AG467" s="553"/>
      <c r="AH467" s="553"/>
      <c r="AI467" s="455"/>
    </row>
    <row r="468" spans="1:35" s="370" customFormat="1" x14ac:dyDescent="0.25">
      <c r="A468" s="311"/>
      <c r="B468" s="345"/>
      <c r="C468" s="346"/>
      <c r="D468" s="346"/>
      <c r="E468" s="347"/>
      <c r="F468" s="347"/>
      <c r="G468" s="348"/>
      <c r="H468" s="348"/>
      <c r="I468" s="348"/>
      <c r="J468" s="348"/>
      <c r="K468" s="348"/>
      <c r="L468" s="340"/>
      <c r="M468" s="348"/>
      <c r="N468" s="340"/>
      <c r="O468" s="359"/>
      <c r="P468" s="348"/>
      <c r="Q468" s="350"/>
      <c r="R468" s="354"/>
      <c r="S468" s="354"/>
      <c r="T468" s="354"/>
      <c r="U468" s="354"/>
      <c r="V468" s="354"/>
      <c r="W468" s="354"/>
      <c r="X468" s="519" t="s">
        <v>1343</v>
      </c>
      <c r="Y468" s="246" t="s">
        <v>1394</v>
      </c>
      <c r="Z468" s="235" t="s">
        <v>290</v>
      </c>
      <c r="AA468" s="235" t="s">
        <v>566</v>
      </c>
      <c r="AB468" s="442" t="s">
        <v>2011</v>
      </c>
      <c r="AC468" s="238">
        <v>610</v>
      </c>
      <c r="AD468" s="292">
        <f>2700-250+327+1500+600+600+1200+1500</f>
        <v>8177</v>
      </c>
      <c r="AE468" s="475">
        <v>2700</v>
      </c>
      <c r="AF468" s="475">
        <v>2700</v>
      </c>
      <c r="AG468" s="553"/>
      <c r="AH468" s="553"/>
      <c r="AI468" s="455"/>
    </row>
    <row r="469" spans="1:35" s="370" customFormat="1" ht="31.5" x14ac:dyDescent="0.25">
      <c r="A469" s="311"/>
      <c r="B469" s="345"/>
      <c r="C469" s="346"/>
      <c r="D469" s="346"/>
      <c r="E469" s="347"/>
      <c r="F469" s="347"/>
      <c r="G469" s="348"/>
      <c r="H469" s="348"/>
      <c r="I469" s="348"/>
      <c r="J469" s="348"/>
      <c r="K469" s="348"/>
      <c r="L469" s="340"/>
      <c r="M469" s="348"/>
      <c r="N469" s="340"/>
      <c r="O469" s="359"/>
      <c r="P469" s="348"/>
      <c r="Q469" s="350"/>
      <c r="R469" s="354"/>
      <c r="S469" s="354"/>
      <c r="T469" s="354"/>
      <c r="U469" s="354"/>
      <c r="V469" s="354"/>
      <c r="W469" s="354"/>
      <c r="X469" s="519" t="s">
        <v>2012</v>
      </c>
      <c r="Y469" s="246" t="s">
        <v>1394</v>
      </c>
      <c r="Z469" s="235" t="s">
        <v>290</v>
      </c>
      <c r="AA469" s="235" t="s">
        <v>566</v>
      </c>
      <c r="AB469" s="442" t="s">
        <v>2013</v>
      </c>
      <c r="AC469" s="238"/>
      <c r="AD469" s="292">
        <f t="shared" ref="AD469:AF470" si="114">AD470</f>
        <v>945.2</v>
      </c>
      <c r="AE469" s="475">
        <f t="shared" si="114"/>
        <v>435.2</v>
      </c>
      <c r="AF469" s="475">
        <f t="shared" si="114"/>
        <v>435.2</v>
      </c>
      <c r="AG469" s="553"/>
      <c r="AH469" s="553"/>
      <c r="AI469" s="455"/>
    </row>
    <row r="470" spans="1:35" s="370" customFormat="1" ht="31.5" x14ac:dyDescent="0.25">
      <c r="A470" s="311"/>
      <c r="B470" s="345"/>
      <c r="C470" s="346"/>
      <c r="D470" s="346"/>
      <c r="E470" s="347"/>
      <c r="F470" s="347"/>
      <c r="G470" s="348"/>
      <c r="H470" s="348"/>
      <c r="I470" s="348"/>
      <c r="J470" s="348"/>
      <c r="K470" s="348"/>
      <c r="L470" s="340"/>
      <c r="M470" s="348"/>
      <c r="N470" s="340"/>
      <c r="O470" s="359"/>
      <c r="P470" s="348"/>
      <c r="Q470" s="350"/>
      <c r="R470" s="354"/>
      <c r="S470" s="354"/>
      <c r="T470" s="354"/>
      <c r="U470" s="354"/>
      <c r="V470" s="354"/>
      <c r="W470" s="354"/>
      <c r="X470" s="519" t="s">
        <v>1342</v>
      </c>
      <c r="Y470" s="246" t="s">
        <v>1394</v>
      </c>
      <c r="Z470" s="235" t="s">
        <v>290</v>
      </c>
      <c r="AA470" s="235" t="s">
        <v>566</v>
      </c>
      <c r="AB470" s="442" t="s">
        <v>2013</v>
      </c>
      <c r="AC470" s="238">
        <v>600</v>
      </c>
      <c r="AD470" s="292">
        <f t="shared" si="114"/>
        <v>945.2</v>
      </c>
      <c r="AE470" s="475">
        <f t="shared" si="114"/>
        <v>435.2</v>
      </c>
      <c r="AF470" s="475">
        <f t="shared" si="114"/>
        <v>435.2</v>
      </c>
      <c r="AG470" s="553"/>
      <c r="AH470" s="553"/>
      <c r="AI470" s="455"/>
    </row>
    <row r="471" spans="1:35" s="370" customFormat="1" x14ac:dyDescent="0.25">
      <c r="A471" s="311"/>
      <c r="B471" s="345"/>
      <c r="C471" s="346"/>
      <c r="D471" s="346"/>
      <c r="E471" s="347"/>
      <c r="F471" s="347"/>
      <c r="G471" s="348"/>
      <c r="H471" s="348"/>
      <c r="I471" s="348"/>
      <c r="J471" s="348"/>
      <c r="K471" s="348"/>
      <c r="L471" s="340"/>
      <c r="M471" s="348"/>
      <c r="N471" s="340"/>
      <c r="O471" s="359"/>
      <c r="P471" s="348"/>
      <c r="Q471" s="350"/>
      <c r="R471" s="354"/>
      <c r="S471" s="354"/>
      <c r="T471" s="354"/>
      <c r="U471" s="354"/>
      <c r="V471" s="354"/>
      <c r="W471" s="354"/>
      <c r="X471" s="519" t="s">
        <v>1343</v>
      </c>
      <c r="Y471" s="246" t="s">
        <v>1394</v>
      </c>
      <c r="Z471" s="235" t="s">
        <v>290</v>
      </c>
      <c r="AA471" s="235" t="s">
        <v>566</v>
      </c>
      <c r="AB471" s="442" t="s">
        <v>2013</v>
      </c>
      <c r="AC471" s="238">
        <v>610</v>
      </c>
      <c r="AD471" s="292">
        <f>435.2+510</f>
        <v>945.2</v>
      </c>
      <c r="AE471" s="475">
        <v>435.2</v>
      </c>
      <c r="AF471" s="475">
        <v>435.2</v>
      </c>
      <c r="AG471" s="553"/>
      <c r="AH471" s="553"/>
      <c r="AI471" s="455"/>
    </row>
    <row r="472" spans="1:35" s="370" customFormat="1" x14ac:dyDescent="0.25">
      <c r="A472" s="311"/>
      <c r="B472" s="345"/>
      <c r="C472" s="346"/>
      <c r="D472" s="346"/>
      <c r="E472" s="347"/>
      <c r="F472" s="347"/>
      <c r="G472" s="348"/>
      <c r="H472" s="348"/>
      <c r="I472" s="348"/>
      <c r="J472" s="348"/>
      <c r="K472" s="348"/>
      <c r="L472" s="340"/>
      <c r="M472" s="348"/>
      <c r="N472" s="340"/>
      <c r="O472" s="359"/>
      <c r="P472" s="348"/>
      <c r="Q472" s="350"/>
      <c r="R472" s="354"/>
      <c r="S472" s="354"/>
      <c r="T472" s="354"/>
      <c r="U472" s="354"/>
      <c r="V472" s="354"/>
      <c r="W472" s="354"/>
      <c r="X472" s="520" t="s">
        <v>2250</v>
      </c>
      <c r="Y472" s="246" t="s">
        <v>1394</v>
      </c>
      <c r="Z472" s="235" t="s">
        <v>290</v>
      </c>
      <c r="AA472" s="235" t="s">
        <v>566</v>
      </c>
      <c r="AB472" s="442" t="s">
        <v>2249</v>
      </c>
      <c r="AC472" s="238"/>
      <c r="AD472" s="292">
        <f>AD473</f>
        <v>55365.5</v>
      </c>
      <c r="AE472" s="475">
        <f>AE473</f>
        <v>46685.5</v>
      </c>
      <c r="AF472" s="475">
        <f>AF473</f>
        <v>46685.5</v>
      </c>
      <c r="AG472" s="553"/>
      <c r="AH472" s="553"/>
      <c r="AI472" s="455"/>
    </row>
    <row r="473" spans="1:35" s="370" customFormat="1" ht="31.5" x14ac:dyDescent="0.25">
      <c r="A473" s="311"/>
      <c r="B473" s="345"/>
      <c r="C473" s="346"/>
      <c r="D473" s="346"/>
      <c r="E473" s="347"/>
      <c r="F473" s="347"/>
      <c r="G473" s="348"/>
      <c r="H473" s="348"/>
      <c r="I473" s="348"/>
      <c r="J473" s="348"/>
      <c r="K473" s="348"/>
      <c r="L473" s="340"/>
      <c r="M473" s="348"/>
      <c r="N473" s="340"/>
      <c r="O473" s="359"/>
      <c r="P473" s="348"/>
      <c r="Q473" s="350"/>
      <c r="R473" s="354"/>
      <c r="S473" s="354"/>
      <c r="T473" s="354"/>
      <c r="U473" s="354"/>
      <c r="V473" s="354"/>
      <c r="W473" s="354"/>
      <c r="X473" s="521" t="s">
        <v>2251</v>
      </c>
      <c r="Y473" s="246" t="s">
        <v>1394</v>
      </c>
      <c r="Z473" s="235" t="s">
        <v>290</v>
      </c>
      <c r="AA473" s="235" t="s">
        <v>566</v>
      </c>
      <c r="AB473" s="442" t="s">
        <v>2252</v>
      </c>
      <c r="AC473" s="238"/>
      <c r="AD473" s="292">
        <f>AD474+AD477</f>
        <v>55365.5</v>
      </c>
      <c r="AE473" s="475">
        <f>AE474+AE477</f>
        <v>46685.5</v>
      </c>
      <c r="AF473" s="475">
        <f>AF474+AF477</f>
        <v>46685.5</v>
      </c>
      <c r="AG473" s="553"/>
      <c r="AH473" s="553"/>
      <c r="AI473" s="455"/>
    </row>
    <row r="474" spans="1:35" s="370" customFormat="1" ht="47.25" x14ac:dyDescent="0.25">
      <c r="A474" s="311"/>
      <c r="B474" s="345"/>
      <c r="C474" s="346"/>
      <c r="D474" s="346"/>
      <c r="E474" s="347"/>
      <c r="F474" s="347"/>
      <c r="G474" s="348"/>
      <c r="H474" s="348"/>
      <c r="I474" s="348"/>
      <c r="J474" s="348"/>
      <c r="K474" s="348"/>
      <c r="L474" s="340"/>
      <c r="M474" s="348"/>
      <c r="N474" s="340"/>
      <c r="O474" s="359"/>
      <c r="P474" s="348"/>
      <c r="Q474" s="350"/>
      <c r="R474" s="354"/>
      <c r="S474" s="354"/>
      <c r="T474" s="354"/>
      <c r="U474" s="354"/>
      <c r="V474" s="354"/>
      <c r="W474" s="354"/>
      <c r="X474" s="541" t="s">
        <v>2291</v>
      </c>
      <c r="Y474" s="246" t="s">
        <v>1394</v>
      </c>
      <c r="Z474" s="235" t="s">
        <v>290</v>
      </c>
      <c r="AA474" s="235" t="s">
        <v>566</v>
      </c>
      <c r="AB474" s="442" t="s">
        <v>2292</v>
      </c>
      <c r="AC474" s="238"/>
      <c r="AD474" s="292">
        <f t="shared" ref="AD474:AF475" si="115">AD475</f>
        <v>30030.3</v>
      </c>
      <c r="AE474" s="475">
        <f t="shared" si="115"/>
        <v>25630.3</v>
      </c>
      <c r="AF474" s="475">
        <f t="shared" si="115"/>
        <v>25630.3</v>
      </c>
      <c r="AG474" s="553"/>
      <c r="AH474" s="553"/>
      <c r="AI474" s="455"/>
    </row>
    <row r="475" spans="1:35" s="370" customFormat="1" ht="31.5" x14ac:dyDescent="0.25">
      <c r="A475" s="311"/>
      <c r="B475" s="345"/>
      <c r="C475" s="346"/>
      <c r="D475" s="346"/>
      <c r="E475" s="347"/>
      <c r="F475" s="347"/>
      <c r="G475" s="348"/>
      <c r="H475" s="348"/>
      <c r="I475" s="348"/>
      <c r="J475" s="348"/>
      <c r="K475" s="348"/>
      <c r="L475" s="340"/>
      <c r="M475" s="348"/>
      <c r="N475" s="340"/>
      <c r="O475" s="359"/>
      <c r="P475" s="348"/>
      <c r="Q475" s="350"/>
      <c r="R475" s="354"/>
      <c r="S475" s="354"/>
      <c r="T475" s="354"/>
      <c r="U475" s="354"/>
      <c r="V475" s="354"/>
      <c r="W475" s="354"/>
      <c r="X475" s="519" t="s">
        <v>1342</v>
      </c>
      <c r="Y475" s="246" t="s">
        <v>1394</v>
      </c>
      <c r="Z475" s="235" t="s">
        <v>290</v>
      </c>
      <c r="AA475" s="235" t="s">
        <v>566</v>
      </c>
      <c r="AB475" s="442" t="s">
        <v>2292</v>
      </c>
      <c r="AC475" s="238">
        <v>600</v>
      </c>
      <c r="AD475" s="292">
        <f t="shared" si="115"/>
        <v>30030.3</v>
      </c>
      <c r="AE475" s="475">
        <f t="shared" si="115"/>
        <v>25630.3</v>
      </c>
      <c r="AF475" s="475">
        <f t="shared" si="115"/>
        <v>25630.3</v>
      </c>
      <c r="AG475" s="553"/>
      <c r="AH475" s="553"/>
      <c r="AI475" s="455"/>
    </row>
    <row r="476" spans="1:35" s="370" customFormat="1" x14ac:dyDescent="0.25">
      <c r="A476" s="311"/>
      <c r="B476" s="345"/>
      <c r="C476" s="346"/>
      <c r="D476" s="346"/>
      <c r="E476" s="347"/>
      <c r="F476" s="347"/>
      <c r="G476" s="348"/>
      <c r="H476" s="348"/>
      <c r="I476" s="348"/>
      <c r="J476" s="348"/>
      <c r="K476" s="348"/>
      <c r="L476" s="340"/>
      <c r="M476" s="348"/>
      <c r="N476" s="340"/>
      <c r="O476" s="359"/>
      <c r="P476" s="348"/>
      <c r="Q476" s="350"/>
      <c r="R476" s="354"/>
      <c r="S476" s="354"/>
      <c r="T476" s="354"/>
      <c r="U476" s="354"/>
      <c r="V476" s="354"/>
      <c r="W476" s="354"/>
      <c r="X476" s="519" t="s">
        <v>1343</v>
      </c>
      <c r="Y476" s="246" t="s">
        <v>1394</v>
      </c>
      <c r="Z476" s="235" t="s">
        <v>290</v>
      </c>
      <c r="AA476" s="235" t="s">
        <v>566</v>
      </c>
      <c r="AB476" s="442" t="s">
        <v>2292</v>
      </c>
      <c r="AC476" s="238">
        <v>610</v>
      </c>
      <c r="AD476" s="292">
        <f>25630.3+4400</f>
        <v>30030.3</v>
      </c>
      <c r="AE476" s="475">
        <v>25630.3</v>
      </c>
      <c r="AF476" s="475">
        <v>25630.3</v>
      </c>
      <c r="AG476" s="553"/>
      <c r="AH476" s="553"/>
      <c r="AI476" s="455"/>
    </row>
    <row r="477" spans="1:35" s="370" customFormat="1" ht="47.25" x14ac:dyDescent="0.25">
      <c r="A477" s="311"/>
      <c r="B477" s="345"/>
      <c r="C477" s="346"/>
      <c r="D477" s="346"/>
      <c r="E477" s="347"/>
      <c r="F477" s="347"/>
      <c r="G477" s="348"/>
      <c r="H477" s="348"/>
      <c r="I477" s="348"/>
      <c r="J477" s="348"/>
      <c r="K477" s="348"/>
      <c r="L477" s="340"/>
      <c r="M477" s="348"/>
      <c r="N477" s="340"/>
      <c r="O477" s="359"/>
      <c r="P477" s="348"/>
      <c r="Q477" s="350"/>
      <c r="R477" s="354"/>
      <c r="S477" s="354"/>
      <c r="T477" s="354"/>
      <c r="U477" s="354"/>
      <c r="V477" s="354"/>
      <c r="W477" s="354"/>
      <c r="X477" s="541" t="s">
        <v>2293</v>
      </c>
      <c r="Y477" s="246" t="s">
        <v>1394</v>
      </c>
      <c r="Z477" s="235" t="s">
        <v>290</v>
      </c>
      <c r="AA477" s="235" t="s">
        <v>566</v>
      </c>
      <c r="AB477" s="442" t="s">
        <v>2294</v>
      </c>
      <c r="AC477" s="238"/>
      <c r="AD477" s="292">
        <f t="shared" ref="AD477:AF478" si="116">AD478</f>
        <v>25335.200000000001</v>
      </c>
      <c r="AE477" s="475">
        <f t="shared" si="116"/>
        <v>21055.200000000001</v>
      </c>
      <c r="AF477" s="475">
        <f t="shared" si="116"/>
        <v>21055.200000000001</v>
      </c>
      <c r="AG477" s="553"/>
      <c r="AH477" s="553"/>
      <c r="AI477" s="455"/>
    </row>
    <row r="478" spans="1:35" s="370" customFormat="1" ht="31.5" x14ac:dyDescent="0.25">
      <c r="A478" s="311"/>
      <c r="B478" s="345"/>
      <c r="C478" s="346"/>
      <c r="D478" s="346"/>
      <c r="E478" s="347"/>
      <c r="F478" s="347"/>
      <c r="G478" s="348"/>
      <c r="H478" s="348"/>
      <c r="I478" s="348"/>
      <c r="J478" s="348"/>
      <c r="K478" s="348"/>
      <c r="L478" s="340"/>
      <c r="M478" s="348"/>
      <c r="N478" s="340"/>
      <c r="O478" s="359"/>
      <c r="P478" s="348"/>
      <c r="Q478" s="350"/>
      <c r="R478" s="354"/>
      <c r="S478" s="354"/>
      <c r="T478" s="354"/>
      <c r="U478" s="354"/>
      <c r="V478" s="354"/>
      <c r="W478" s="354"/>
      <c r="X478" s="519" t="s">
        <v>1342</v>
      </c>
      <c r="Y478" s="246" t="s">
        <v>1394</v>
      </c>
      <c r="Z478" s="235" t="s">
        <v>290</v>
      </c>
      <c r="AA478" s="235" t="s">
        <v>566</v>
      </c>
      <c r="AB478" s="442" t="s">
        <v>2294</v>
      </c>
      <c r="AC478" s="238">
        <v>600</v>
      </c>
      <c r="AD478" s="292">
        <f t="shared" si="116"/>
        <v>25335.200000000001</v>
      </c>
      <c r="AE478" s="475">
        <f t="shared" si="116"/>
        <v>21055.200000000001</v>
      </c>
      <c r="AF478" s="475">
        <f t="shared" si="116"/>
        <v>21055.200000000001</v>
      </c>
      <c r="AG478" s="553"/>
      <c r="AH478" s="553"/>
      <c r="AI478" s="455"/>
    </row>
    <row r="479" spans="1:35" s="370" customFormat="1" x14ac:dyDescent="0.25">
      <c r="A479" s="311"/>
      <c r="B479" s="345"/>
      <c r="C479" s="346"/>
      <c r="D479" s="346"/>
      <c r="E479" s="347"/>
      <c r="F479" s="347"/>
      <c r="G479" s="348"/>
      <c r="H479" s="348"/>
      <c r="I479" s="348"/>
      <c r="J479" s="348"/>
      <c r="K479" s="348"/>
      <c r="L479" s="340"/>
      <c r="M479" s="348"/>
      <c r="N479" s="340"/>
      <c r="O479" s="359"/>
      <c r="P479" s="348"/>
      <c r="Q479" s="350"/>
      <c r="R479" s="354"/>
      <c r="S479" s="354"/>
      <c r="T479" s="354"/>
      <c r="U479" s="354"/>
      <c r="V479" s="354"/>
      <c r="W479" s="354"/>
      <c r="X479" s="519" t="s">
        <v>1343</v>
      </c>
      <c r="Y479" s="246" t="s">
        <v>1394</v>
      </c>
      <c r="Z479" s="235" t="s">
        <v>290</v>
      </c>
      <c r="AA479" s="235" t="s">
        <v>566</v>
      </c>
      <c r="AB479" s="442" t="s">
        <v>2294</v>
      </c>
      <c r="AC479" s="238">
        <v>610</v>
      </c>
      <c r="AD479" s="292">
        <f>21055.2+4280</f>
        <v>25335.200000000001</v>
      </c>
      <c r="AE479" s="475">
        <v>21055.200000000001</v>
      </c>
      <c r="AF479" s="475">
        <v>21055.200000000001</v>
      </c>
      <c r="AG479" s="553"/>
      <c r="AH479" s="553"/>
      <c r="AI479" s="455"/>
    </row>
    <row r="480" spans="1:35" s="370" customFormat="1" x14ac:dyDescent="0.25">
      <c r="A480" s="311"/>
      <c r="B480" s="345"/>
      <c r="C480" s="346"/>
      <c r="D480" s="346"/>
      <c r="E480" s="347"/>
      <c r="F480" s="347"/>
      <c r="G480" s="348"/>
      <c r="H480" s="348"/>
      <c r="I480" s="348"/>
      <c r="J480" s="348"/>
      <c r="K480" s="348"/>
      <c r="L480" s="340"/>
      <c r="M480" s="348"/>
      <c r="N480" s="340"/>
      <c r="O480" s="359"/>
      <c r="P480" s="348"/>
      <c r="Q480" s="350"/>
      <c r="R480" s="354"/>
      <c r="S480" s="354"/>
      <c r="T480" s="354"/>
      <c r="U480" s="354"/>
      <c r="V480" s="354"/>
      <c r="W480" s="354"/>
      <c r="X480" s="548" t="s">
        <v>2074</v>
      </c>
      <c r="Y480" s="246" t="s">
        <v>1394</v>
      </c>
      <c r="Z480" s="235" t="s">
        <v>290</v>
      </c>
      <c r="AA480" s="235" t="s">
        <v>566</v>
      </c>
      <c r="AB480" s="442" t="s">
        <v>1768</v>
      </c>
      <c r="AC480" s="238"/>
      <c r="AD480" s="292">
        <f>AD481</f>
        <v>854</v>
      </c>
      <c r="AE480" s="475">
        <v>0</v>
      </c>
      <c r="AF480" s="475">
        <v>0</v>
      </c>
      <c r="AG480" s="553"/>
      <c r="AH480" s="553"/>
      <c r="AI480" s="455"/>
    </row>
    <row r="481" spans="1:35" s="370" customFormat="1" x14ac:dyDescent="0.25">
      <c r="A481" s="311"/>
      <c r="B481" s="345"/>
      <c r="C481" s="346"/>
      <c r="D481" s="346"/>
      <c r="E481" s="347"/>
      <c r="F481" s="347"/>
      <c r="G481" s="348"/>
      <c r="H481" s="348"/>
      <c r="I481" s="348"/>
      <c r="J481" s="348"/>
      <c r="K481" s="348"/>
      <c r="L481" s="340"/>
      <c r="M481" s="348"/>
      <c r="N481" s="340"/>
      <c r="O481" s="359"/>
      <c r="P481" s="348"/>
      <c r="Q481" s="350"/>
      <c r="R481" s="354"/>
      <c r="S481" s="354"/>
      <c r="T481" s="354"/>
      <c r="U481" s="354"/>
      <c r="V481" s="354"/>
      <c r="W481" s="354"/>
      <c r="X481" s="519" t="s">
        <v>2220</v>
      </c>
      <c r="Y481" s="246" t="s">
        <v>1394</v>
      </c>
      <c r="Z481" s="235" t="s">
        <v>290</v>
      </c>
      <c r="AA481" s="235" t="s">
        <v>566</v>
      </c>
      <c r="AB481" s="442" t="s">
        <v>1769</v>
      </c>
      <c r="AC481" s="238"/>
      <c r="AD481" s="292">
        <f>AD482</f>
        <v>854</v>
      </c>
      <c r="AE481" s="475">
        <v>0</v>
      </c>
      <c r="AF481" s="475">
        <v>0</v>
      </c>
      <c r="AG481" s="553"/>
      <c r="AH481" s="553"/>
      <c r="AI481" s="455"/>
    </row>
    <row r="482" spans="1:35" s="370" customFormat="1" ht="31.5" x14ac:dyDescent="0.25">
      <c r="A482" s="311"/>
      <c r="B482" s="345"/>
      <c r="C482" s="346"/>
      <c r="D482" s="346"/>
      <c r="E482" s="347"/>
      <c r="F482" s="347"/>
      <c r="G482" s="348"/>
      <c r="H482" s="348"/>
      <c r="I482" s="348"/>
      <c r="J482" s="348"/>
      <c r="K482" s="348"/>
      <c r="L482" s="340"/>
      <c r="M482" s="348"/>
      <c r="N482" s="340"/>
      <c r="O482" s="359"/>
      <c r="P482" s="348"/>
      <c r="Q482" s="350"/>
      <c r="R482" s="354"/>
      <c r="S482" s="354"/>
      <c r="T482" s="354"/>
      <c r="U482" s="354"/>
      <c r="V482" s="354"/>
      <c r="W482" s="354"/>
      <c r="X482" s="525" t="s">
        <v>2259</v>
      </c>
      <c r="Y482" s="246" t="s">
        <v>1394</v>
      </c>
      <c r="Z482" s="235" t="s">
        <v>290</v>
      </c>
      <c r="AA482" s="235" t="s">
        <v>566</v>
      </c>
      <c r="AB482" s="442" t="s">
        <v>2101</v>
      </c>
      <c r="AC482" s="238"/>
      <c r="AD482" s="292">
        <f>AD483</f>
        <v>854</v>
      </c>
      <c r="AE482" s="475">
        <v>0</v>
      </c>
      <c r="AF482" s="475">
        <v>0</v>
      </c>
      <c r="AG482" s="553"/>
      <c r="AH482" s="553"/>
      <c r="AI482" s="455"/>
    </row>
    <row r="483" spans="1:35" s="370" customFormat="1" ht="47.25" x14ac:dyDescent="0.25">
      <c r="A483" s="311"/>
      <c r="B483" s="345"/>
      <c r="C483" s="346"/>
      <c r="D483" s="346"/>
      <c r="E483" s="347"/>
      <c r="F483" s="347"/>
      <c r="G483" s="348"/>
      <c r="H483" s="348"/>
      <c r="I483" s="348"/>
      <c r="J483" s="348"/>
      <c r="K483" s="348"/>
      <c r="L483" s="340"/>
      <c r="M483" s="348"/>
      <c r="N483" s="340"/>
      <c r="O483" s="359"/>
      <c r="P483" s="348"/>
      <c r="Q483" s="350"/>
      <c r="R483" s="354"/>
      <c r="S483" s="354"/>
      <c r="T483" s="354"/>
      <c r="U483" s="354"/>
      <c r="V483" s="354"/>
      <c r="W483" s="354"/>
      <c r="X483" s="519" t="s">
        <v>2260</v>
      </c>
      <c r="Y483" s="246" t="s">
        <v>1394</v>
      </c>
      <c r="Z483" s="235" t="s">
        <v>290</v>
      </c>
      <c r="AA483" s="235" t="s">
        <v>566</v>
      </c>
      <c r="AB483" s="442" t="s">
        <v>2221</v>
      </c>
      <c r="AC483" s="238"/>
      <c r="AD483" s="292">
        <f>AD484</f>
        <v>854</v>
      </c>
      <c r="AE483" s="475">
        <v>0</v>
      </c>
      <c r="AF483" s="475">
        <v>0</v>
      </c>
      <c r="AG483" s="553"/>
      <c r="AH483" s="553"/>
      <c r="AI483" s="455"/>
    </row>
    <row r="484" spans="1:35" s="370" customFormat="1" ht="31.5" x14ac:dyDescent="0.25">
      <c r="A484" s="311"/>
      <c r="B484" s="345"/>
      <c r="C484" s="346"/>
      <c r="D484" s="346"/>
      <c r="E484" s="347"/>
      <c r="F484" s="347"/>
      <c r="G484" s="348"/>
      <c r="H484" s="348"/>
      <c r="I484" s="348"/>
      <c r="J484" s="348"/>
      <c r="K484" s="348"/>
      <c r="L484" s="340"/>
      <c r="M484" s="348"/>
      <c r="N484" s="340"/>
      <c r="O484" s="359"/>
      <c r="P484" s="348"/>
      <c r="Q484" s="350"/>
      <c r="R484" s="354"/>
      <c r="S484" s="354"/>
      <c r="T484" s="354"/>
      <c r="U484" s="354"/>
      <c r="V484" s="354"/>
      <c r="W484" s="354"/>
      <c r="X484" s="519" t="s">
        <v>1342</v>
      </c>
      <c r="Y484" s="246" t="s">
        <v>1394</v>
      </c>
      <c r="Z484" s="235" t="s">
        <v>290</v>
      </c>
      <c r="AA484" s="235" t="s">
        <v>566</v>
      </c>
      <c r="AB484" s="442" t="s">
        <v>2221</v>
      </c>
      <c r="AC484" s="238">
        <v>600</v>
      </c>
      <c r="AD484" s="292">
        <f>AD485</f>
        <v>854</v>
      </c>
      <c r="AE484" s="475">
        <v>0</v>
      </c>
      <c r="AF484" s="475">
        <v>0</v>
      </c>
      <c r="AG484" s="553"/>
      <c r="AH484" s="553"/>
      <c r="AI484" s="455"/>
    </row>
    <row r="485" spans="1:35" s="370" customFormat="1" x14ac:dyDescent="0.25">
      <c r="A485" s="311"/>
      <c r="B485" s="345"/>
      <c r="C485" s="346"/>
      <c r="D485" s="346"/>
      <c r="E485" s="347"/>
      <c r="F485" s="347"/>
      <c r="G485" s="348"/>
      <c r="H485" s="348"/>
      <c r="I485" s="348"/>
      <c r="J485" s="348"/>
      <c r="K485" s="348"/>
      <c r="L485" s="340"/>
      <c r="M485" s="348"/>
      <c r="N485" s="340"/>
      <c r="O485" s="359"/>
      <c r="P485" s="348"/>
      <c r="Q485" s="350"/>
      <c r="R485" s="354"/>
      <c r="S485" s="354"/>
      <c r="T485" s="354"/>
      <c r="U485" s="354"/>
      <c r="V485" s="354"/>
      <c r="W485" s="354"/>
      <c r="X485" s="519" t="s">
        <v>1343</v>
      </c>
      <c r="Y485" s="246" t="s">
        <v>1394</v>
      </c>
      <c r="Z485" s="235" t="s">
        <v>290</v>
      </c>
      <c r="AA485" s="235" t="s">
        <v>566</v>
      </c>
      <c r="AB485" s="442" t="s">
        <v>2221</v>
      </c>
      <c r="AC485" s="238">
        <v>610</v>
      </c>
      <c r="AD485" s="292">
        <f>597.8+256.2</f>
        <v>854</v>
      </c>
      <c r="AE485" s="475">
        <v>0</v>
      </c>
      <c r="AF485" s="475">
        <v>0</v>
      </c>
      <c r="AG485" s="553"/>
      <c r="AH485" s="553"/>
      <c r="AI485" s="455"/>
    </row>
    <row r="486" spans="1:35" s="370" customFormat="1" ht="31.5" x14ac:dyDescent="0.25">
      <c r="A486" s="311"/>
      <c r="B486" s="345"/>
      <c r="C486" s="346"/>
      <c r="D486" s="346"/>
      <c r="E486" s="347"/>
      <c r="F486" s="347"/>
      <c r="G486" s="348"/>
      <c r="H486" s="348"/>
      <c r="I486" s="348"/>
      <c r="J486" s="348"/>
      <c r="K486" s="348"/>
      <c r="L486" s="340"/>
      <c r="M486" s="348"/>
      <c r="N486" s="340"/>
      <c r="O486" s="359"/>
      <c r="P486" s="348"/>
      <c r="Q486" s="350"/>
      <c r="R486" s="354"/>
      <c r="S486" s="354"/>
      <c r="T486" s="354"/>
      <c r="U486" s="354"/>
      <c r="V486" s="354"/>
      <c r="W486" s="354"/>
      <c r="X486" s="548" t="s">
        <v>1853</v>
      </c>
      <c r="Y486" s="246" t="s">
        <v>1394</v>
      </c>
      <c r="Z486" s="235" t="s">
        <v>290</v>
      </c>
      <c r="AA486" s="235" t="s">
        <v>566</v>
      </c>
      <c r="AB486" s="467" t="s">
        <v>1761</v>
      </c>
      <c r="AC486" s="238"/>
      <c r="AD486" s="292">
        <f>AD493+AD487</f>
        <v>1346.1000000000001</v>
      </c>
      <c r="AE486" s="292">
        <f t="shared" ref="AE486:AF486" si="117">AE493+AE487</f>
        <v>0</v>
      </c>
      <c r="AF486" s="292">
        <f t="shared" si="117"/>
        <v>0</v>
      </c>
      <c r="AG486" s="553"/>
      <c r="AH486" s="553"/>
      <c r="AI486" s="455"/>
    </row>
    <row r="487" spans="1:35" s="370" customFormat="1" x14ac:dyDescent="0.25">
      <c r="A487" s="311"/>
      <c r="B487" s="345"/>
      <c r="C487" s="346"/>
      <c r="D487" s="346"/>
      <c r="E487" s="347"/>
      <c r="F487" s="347"/>
      <c r="G487" s="348"/>
      <c r="H487" s="348"/>
      <c r="I487" s="348"/>
      <c r="J487" s="348"/>
      <c r="K487" s="348"/>
      <c r="L487" s="340"/>
      <c r="M487" s="348"/>
      <c r="N487" s="340"/>
      <c r="O487" s="359"/>
      <c r="P487" s="348"/>
      <c r="Q487" s="350"/>
      <c r="R487" s="354"/>
      <c r="S487" s="354"/>
      <c r="T487" s="354"/>
      <c r="U487" s="354"/>
      <c r="V487" s="354"/>
      <c r="W487" s="354"/>
      <c r="X487" s="548" t="s">
        <v>1854</v>
      </c>
      <c r="Y487" s="246" t="s">
        <v>1394</v>
      </c>
      <c r="Z487" s="235" t="s">
        <v>290</v>
      </c>
      <c r="AA487" s="235" t="s">
        <v>566</v>
      </c>
      <c r="AB487" s="249" t="s">
        <v>1765</v>
      </c>
      <c r="AC487" s="579"/>
      <c r="AD487" s="292">
        <f>AD488</f>
        <v>129</v>
      </c>
      <c r="AE487" s="292">
        <f t="shared" ref="AE487:AF487" si="118">AE488</f>
        <v>0</v>
      </c>
      <c r="AF487" s="292">
        <f t="shared" si="118"/>
        <v>0</v>
      </c>
      <c r="AG487" s="553"/>
      <c r="AH487" s="553"/>
      <c r="AI487" s="455"/>
    </row>
    <row r="488" spans="1:35" s="370" customFormat="1" ht="47.25" x14ac:dyDescent="0.25">
      <c r="A488" s="311"/>
      <c r="B488" s="345"/>
      <c r="C488" s="346"/>
      <c r="D488" s="346"/>
      <c r="E488" s="347"/>
      <c r="F488" s="347"/>
      <c r="G488" s="348"/>
      <c r="H488" s="348"/>
      <c r="I488" s="348"/>
      <c r="J488" s="348"/>
      <c r="K488" s="348"/>
      <c r="L488" s="340"/>
      <c r="M488" s="348"/>
      <c r="N488" s="340"/>
      <c r="O488" s="359"/>
      <c r="P488" s="348"/>
      <c r="Q488" s="350"/>
      <c r="R488" s="354"/>
      <c r="S488" s="354"/>
      <c r="T488" s="354"/>
      <c r="U488" s="354"/>
      <c r="V488" s="354"/>
      <c r="W488" s="354"/>
      <c r="X488" s="514" t="s">
        <v>2253</v>
      </c>
      <c r="Y488" s="246" t="s">
        <v>1394</v>
      </c>
      <c r="Z488" s="235" t="s">
        <v>290</v>
      </c>
      <c r="AA488" s="235" t="s">
        <v>566</v>
      </c>
      <c r="AB488" s="442" t="s">
        <v>1785</v>
      </c>
      <c r="AC488" s="579"/>
      <c r="AD488" s="292">
        <f>AD489</f>
        <v>129</v>
      </c>
      <c r="AE488" s="292">
        <f t="shared" ref="AE488:AF488" si="119">AE489</f>
        <v>0</v>
      </c>
      <c r="AF488" s="292">
        <f t="shared" si="119"/>
        <v>0</v>
      </c>
      <c r="AG488" s="553"/>
      <c r="AH488" s="553"/>
      <c r="AI488" s="455"/>
    </row>
    <row r="489" spans="1:35" s="370" customFormat="1" ht="47.25" x14ac:dyDescent="0.25">
      <c r="A489" s="311"/>
      <c r="B489" s="345"/>
      <c r="C489" s="346"/>
      <c r="D489" s="346"/>
      <c r="E489" s="347"/>
      <c r="F489" s="347"/>
      <c r="G489" s="348"/>
      <c r="H489" s="348"/>
      <c r="I489" s="348"/>
      <c r="J489" s="348"/>
      <c r="K489" s="348"/>
      <c r="L489" s="340"/>
      <c r="M489" s="348"/>
      <c r="N489" s="340"/>
      <c r="O489" s="359"/>
      <c r="P489" s="348"/>
      <c r="Q489" s="350"/>
      <c r="R489" s="354"/>
      <c r="S489" s="354"/>
      <c r="T489" s="354"/>
      <c r="U489" s="354"/>
      <c r="V489" s="354"/>
      <c r="W489" s="354"/>
      <c r="X489" s="548" t="s">
        <v>1855</v>
      </c>
      <c r="Y489" s="246" t="s">
        <v>1394</v>
      </c>
      <c r="Z489" s="235" t="s">
        <v>290</v>
      </c>
      <c r="AA489" s="235" t="s">
        <v>566</v>
      </c>
      <c r="AB489" s="442" t="s">
        <v>1856</v>
      </c>
      <c r="AC489" s="579"/>
      <c r="AD489" s="292">
        <f>AD490</f>
        <v>129</v>
      </c>
      <c r="AE489" s="292">
        <f t="shared" ref="AE489:AF489" si="120">AE490</f>
        <v>0</v>
      </c>
      <c r="AF489" s="292">
        <f t="shared" si="120"/>
        <v>0</v>
      </c>
      <c r="AG489" s="553"/>
      <c r="AH489" s="553"/>
      <c r="AI489" s="455"/>
    </row>
    <row r="490" spans="1:35" s="370" customFormat="1" ht="63" x14ac:dyDescent="0.25">
      <c r="A490" s="311"/>
      <c r="B490" s="345"/>
      <c r="C490" s="346"/>
      <c r="D490" s="346"/>
      <c r="E490" s="347"/>
      <c r="F490" s="347"/>
      <c r="G490" s="348"/>
      <c r="H490" s="348"/>
      <c r="I490" s="348"/>
      <c r="J490" s="348"/>
      <c r="K490" s="348"/>
      <c r="L490" s="340"/>
      <c r="M490" s="348"/>
      <c r="N490" s="340"/>
      <c r="O490" s="359"/>
      <c r="P490" s="348"/>
      <c r="Q490" s="350"/>
      <c r="R490" s="354"/>
      <c r="S490" s="354"/>
      <c r="T490" s="354"/>
      <c r="U490" s="354"/>
      <c r="V490" s="354"/>
      <c r="W490" s="354"/>
      <c r="X490" s="524" t="s">
        <v>2248</v>
      </c>
      <c r="Y490" s="246" t="s">
        <v>1394</v>
      </c>
      <c r="Z490" s="235" t="s">
        <v>290</v>
      </c>
      <c r="AA490" s="235" t="s">
        <v>566</v>
      </c>
      <c r="AB490" s="442" t="s">
        <v>1857</v>
      </c>
      <c r="AC490" s="579"/>
      <c r="AD490" s="292">
        <f>AD491</f>
        <v>129</v>
      </c>
      <c r="AE490" s="292">
        <f t="shared" ref="AE490:AF490" si="121">AE491</f>
        <v>0</v>
      </c>
      <c r="AF490" s="292">
        <f t="shared" si="121"/>
        <v>0</v>
      </c>
      <c r="AG490" s="553"/>
      <c r="AH490" s="553"/>
      <c r="AI490" s="455"/>
    </row>
    <row r="491" spans="1:35" s="370" customFormat="1" ht="31.5" x14ac:dyDescent="0.25">
      <c r="A491" s="311"/>
      <c r="B491" s="345"/>
      <c r="C491" s="346"/>
      <c r="D491" s="346"/>
      <c r="E491" s="347"/>
      <c r="F491" s="347"/>
      <c r="G491" s="348"/>
      <c r="H491" s="348"/>
      <c r="I491" s="348"/>
      <c r="J491" s="348"/>
      <c r="K491" s="348"/>
      <c r="L491" s="340"/>
      <c r="M491" s="348"/>
      <c r="N491" s="340"/>
      <c r="O491" s="359"/>
      <c r="P491" s="348"/>
      <c r="Q491" s="350"/>
      <c r="R491" s="354"/>
      <c r="S491" s="354"/>
      <c r="T491" s="354"/>
      <c r="U491" s="354"/>
      <c r="V491" s="354"/>
      <c r="W491" s="354"/>
      <c r="X491" s="519" t="s">
        <v>1342</v>
      </c>
      <c r="Y491" s="246" t="s">
        <v>1394</v>
      </c>
      <c r="Z491" s="235" t="s">
        <v>290</v>
      </c>
      <c r="AA491" s="235" t="s">
        <v>566</v>
      </c>
      <c r="AB491" s="442" t="s">
        <v>1857</v>
      </c>
      <c r="AC491" s="238">
        <v>600</v>
      </c>
      <c r="AD491" s="292">
        <f>AD492</f>
        <v>129</v>
      </c>
      <c r="AE491" s="292">
        <f t="shared" ref="AE491:AF491" si="122">AE492</f>
        <v>0</v>
      </c>
      <c r="AF491" s="292">
        <f t="shared" si="122"/>
        <v>0</v>
      </c>
      <c r="AG491" s="553"/>
      <c r="AH491" s="553"/>
      <c r="AI491" s="455"/>
    </row>
    <row r="492" spans="1:35" s="370" customFormat="1" x14ac:dyDescent="0.25">
      <c r="A492" s="311"/>
      <c r="B492" s="345"/>
      <c r="C492" s="346"/>
      <c r="D492" s="346"/>
      <c r="E492" s="347"/>
      <c r="F492" s="347"/>
      <c r="G492" s="348"/>
      <c r="H492" s="348"/>
      <c r="I492" s="348"/>
      <c r="J492" s="348"/>
      <c r="K492" s="348"/>
      <c r="L492" s="340"/>
      <c r="M492" s="348"/>
      <c r="N492" s="340"/>
      <c r="O492" s="359"/>
      <c r="P492" s="348"/>
      <c r="Q492" s="350"/>
      <c r="R492" s="354"/>
      <c r="S492" s="354"/>
      <c r="T492" s="354"/>
      <c r="U492" s="354"/>
      <c r="V492" s="354"/>
      <c r="W492" s="354"/>
      <c r="X492" s="519" t="s">
        <v>1343</v>
      </c>
      <c r="Y492" s="246" t="s">
        <v>1394</v>
      </c>
      <c r="Z492" s="235" t="s">
        <v>290</v>
      </c>
      <c r="AA492" s="235" t="s">
        <v>566</v>
      </c>
      <c r="AB492" s="442" t="s">
        <v>1857</v>
      </c>
      <c r="AC492" s="238">
        <v>610</v>
      </c>
      <c r="AD492" s="292">
        <v>129</v>
      </c>
      <c r="AE492" s="475">
        <v>0</v>
      </c>
      <c r="AF492" s="475">
        <v>0</v>
      </c>
      <c r="AG492" s="553"/>
      <c r="AH492" s="553"/>
      <c r="AI492" s="455"/>
    </row>
    <row r="493" spans="1:35" s="370" customFormat="1" ht="31.5" x14ac:dyDescent="0.25">
      <c r="A493" s="311"/>
      <c r="B493" s="345"/>
      <c r="C493" s="346"/>
      <c r="D493" s="346"/>
      <c r="E493" s="347"/>
      <c r="F493" s="347"/>
      <c r="G493" s="348"/>
      <c r="H493" s="348"/>
      <c r="I493" s="348"/>
      <c r="J493" s="348"/>
      <c r="K493" s="348"/>
      <c r="L493" s="340"/>
      <c r="M493" s="348"/>
      <c r="N493" s="340"/>
      <c r="O493" s="359"/>
      <c r="P493" s="348"/>
      <c r="Q493" s="350"/>
      <c r="R493" s="354"/>
      <c r="S493" s="354"/>
      <c r="T493" s="354"/>
      <c r="U493" s="354"/>
      <c r="V493" s="354"/>
      <c r="W493" s="354"/>
      <c r="X493" s="548" t="s">
        <v>2275</v>
      </c>
      <c r="Y493" s="246" t="s">
        <v>1394</v>
      </c>
      <c r="Z493" s="235" t="s">
        <v>290</v>
      </c>
      <c r="AA493" s="235" t="s">
        <v>566</v>
      </c>
      <c r="AB493" s="467" t="s">
        <v>1763</v>
      </c>
      <c r="AC493" s="238"/>
      <c r="AD493" s="292">
        <f>AD494</f>
        <v>1217.1000000000001</v>
      </c>
      <c r="AE493" s="475">
        <f t="shared" ref="AE493:AF496" si="123">AE494</f>
        <v>0</v>
      </c>
      <c r="AF493" s="475">
        <f t="shared" si="123"/>
        <v>0</v>
      </c>
      <c r="AG493" s="553"/>
      <c r="AH493" s="553"/>
      <c r="AI493" s="455"/>
    </row>
    <row r="494" spans="1:35" s="370" customFormat="1" x14ac:dyDescent="0.25">
      <c r="A494" s="311"/>
      <c r="B494" s="345"/>
      <c r="C494" s="346"/>
      <c r="D494" s="346"/>
      <c r="E494" s="347"/>
      <c r="F494" s="347"/>
      <c r="G494" s="348"/>
      <c r="H494" s="348"/>
      <c r="I494" s="348"/>
      <c r="J494" s="348"/>
      <c r="K494" s="348"/>
      <c r="L494" s="340"/>
      <c r="M494" s="348"/>
      <c r="N494" s="340"/>
      <c r="O494" s="359"/>
      <c r="P494" s="348"/>
      <c r="Q494" s="350"/>
      <c r="R494" s="354"/>
      <c r="S494" s="354"/>
      <c r="T494" s="354"/>
      <c r="U494" s="354"/>
      <c r="V494" s="354"/>
      <c r="W494" s="354"/>
      <c r="X494" s="529" t="s">
        <v>1880</v>
      </c>
      <c r="Y494" s="246" t="s">
        <v>1394</v>
      </c>
      <c r="Z494" s="235" t="s">
        <v>290</v>
      </c>
      <c r="AA494" s="235" t="s">
        <v>566</v>
      </c>
      <c r="AB494" s="467" t="s">
        <v>1789</v>
      </c>
      <c r="AC494" s="238"/>
      <c r="AD494" s="292">
        <f>AD495</f>
        <v>1217.1000000000001</v>
      </c>
      <c r="AE494" s="475">
        <f t="shared" si="123"/>
        <v>0</v>
      </c>
      <c r="AF494" s="475">
        <f t="shared" si="123"/>
        <v>0</v>
      </c>
      <c r="AG494" s="553"/>
      <c r="AH494" s="553"/>
      <c r="AI494" s="455"/>
    </row>
    <row r="495" spans="1:35" s="370" customFormat="1" x14ac:dyDescent="0.25">
      <c r="A495" s="311"/>
      <c r="B495" s="345"/>
      <c r="C495" s="346"/>
      <c r="D495" s="346"/>
      <c r="E495" s="347"/>
      <c r="F495" s="347"/>
      <c r="G495" s="348"/>
      <c r="H495" s="348"/>
      <c r="I495" s="348"/>
      <c r="J495" s="348"/>
      <c r="K495" s="348"/>
      <c r="L495" s="340"/>
      <c r="M495" s="348"/>
      <c r="N495" s="340"/>
      <c r="O495" s="359"/>
      <c r="P495" s="348"/>
      <c r="Q495" s="350"/>
      <c r="R495" s="354"/>
      <c r="S495" s="354"/>
      <c r="T495" s="354"/>
      <c r="U495" s="354"/>
      <c r="V495" s="354"/>
      <c r="W495" s="354"/>
      <c r="X495" s="519" t="s">
        <v>1876</v>
      </c>
      <c r="Y495" s="246" t="s">
        <v>1394</v>
      </c>
      <c r="Z495" s="235" t="s">
        <v>290</v>
      </c>
      <c r="AA495" s="235" t="s">
        <v>566</v>
      </c>
      <c r="AB495" s="467" t="s">
        <v>1877</v>
      </c>
      <c r="AC495" s="238"/>
      <c r="AD495" s="292">
        <f>AD496</f>
        <v>1217.1000000000001</v>
      </c>
      <c r="AE495" s="475">
        <f t="shared" si="123"/>
        <v>0</v>
      </c>
      <c r="AF495" s="475">
        <f t="shared" si="123"/>
        <v>0</v>
      </c>
      <c r="AG495" s="553"/>
      <c r="AH495" s="553"/>
      <c r="AI495" s="455"/>
    </row>
    <row r="496" spans="1:35" s="370" customFormat="1" ht="31.5" x14ac:dyDescent="0.25">
      <c r="A496" s="311"/>
      <c r="B496" s="345"/>
      <c r="C496" s="346"/>
      <c r="D496" s="346"/>
      <c r="E496" s="347"/>
      <c r="F496" s="347"/>
      <c r="G496" s="348"/>
      <c r="H496" s="348"/>
      <c r="I496" s="348"/>
      <c r="J496" s="348"/>
      <c r="K496" s="348"/>
      <c r="L496" s="340"/>
      <c r="M496" s="348"/>
      <c r="N496" s="340"/>
      <c r="O496" s="359"/>
      <c r="P496" s="348"/>
      <c r="Q496" s="350"/>
      <c r="R496" s="354"/>
      <c r="S496" s="354"/>
      <c r="T496" s="354"/>
      <c r="U496" s="354"/>
      <c r="V496" s="354"/>
      <c r="W496" s="354"/>
      <c r="X496" s="519" t="s">
        <v>1342</v>
      </c>
      <c r="Y496" s="246" t="s">
        <v>1394</v>
      </c>
      <c r="Z496" s="235" t="s">
        <v>290</v>
      </c>
      <c r="AA496" s="235" t="s">
        <v>566</v>
      </c>
      <c r="AB496" s="467" t="s">
        <v>1877</v>
      </c>
      <c r="AC496" s="238">
        <v>600</v>
      </c>
      <c r="AD496" s="292">
        <f>AD497</f>
        <v>1217.1000000000001</v>
      </c>
      <c r="AE496" s="475">
        <f t="shared" si="123"/>
        <v>0</v>
      </c>
      <c r="AF496" s="475">
        <f t="shared" si="123"/>
        <v>0</v>
      </c>
      <c r="AG496" s="553"/>
      <c r="AH496" s="553"/>
      <c r="AI496" s="455"/>
    </row>
    <row r="497" spans="1:35" s="370" customFormat="1" x14ac:dyDescent="0.25">
      <c r="A497" s="311"/>
      <c r="B497" s="345"/>
      <c r="C497" s="346"/>
      <c r="D497" s="346"/>
      <c r="E497" s="347"/>
      <c r="F497" s="347"/>
      <c r="G497" s="348"/>
      <c r="H497" s="348"/>
      <c r="I497" s="348"/>
      <c r="J497" s="348"/>
      <c r="K497" s="348"/>
      <c r="L497" s="340"/>
      <c r="M497" s="348"/>
      <c r="N497" s="340"/>
      <c r="O497" s="359"/>
      <c r="P497" s="348"/>
      <c r="Q497" s="350"/>
      <c r="R497" s="354"/>
      <c r="S497" s="354"/>
      <c r="T497" s="354"/>
      <c r="U497" s="354"/>
      <c r="V497" s="354"/>
      <c r="W497" s="354"/>
      <c r="X497" s="519" t="s">
        <v>1343</v>
      </c>
      <c r="Y497" s="246" t="s">
        <v>1394</v>
      </c>
      <c r="Z497" s="235" t="s">
        <v>290</v>
      </c>
      <c r="AA497" s="235" t="s">
        <v>566</v>
      </c>
      <c r="AB497" s="467" t="s">
        <v>1877</v>
      </c>
      <c r="AC497" s="238">
        <v>610</v>
      </c>
      <c r="AD497" s="292">
        <f>654.7+30+175+175+70+112.4</f>
        <v>1217.1000000000001</v>
      </c>
      <c r="AE497" s="475">
        <v>0</v>
      </c>
      <c r="AF497" s="475">
        <v>0</v>
      </c>
      <c r="AG497" s="553"/>
      <c r="AH497" s="553"/>
      <c r="AI497" s="455"/>
    </row>
    <row r="498" spans="1:35" s="370" customFormat="1" x14ac:dyDescent="0.25">
      <c r="A498" s="357"/>
      <c r="B498" s="312"/>
      <c r="C498" s="346"/>
      <c r="D498" s="346"/>
      <c r="E498" s="347"/>
      <c r="F498" s="346"/>
      <c r="G498" s="348"/>
      <c r="H498" s="372"/>
      <c r="I498" s="313"/>
      <c r="J498" s="313"/>
      <c r="K498" s="313"/>
      <c r="L498" s="340"/>
      <c r="M498" s="313"/>
      <c r="N498" s="340"/>
      <c r="O498" s="349"/>
      <c r="P498" s="348"/>
      <c r="Q498" s="350"/>
      <c r="R498" s="354"/>
      <c r="S498" s="354"/>
      <c r="T498" s="354"/>
      <c r="U498" s="354"/>
      <c r="V498" s="354"/>
      <c r="W498" s="372"/>
      <c r="X498" s="558" t="s">
        <v>759</v>
      </c>
      <c r="Y498" s="592" t="s">
        <v>1394</v>
      </c>
      <c r="Z498" s="263" t="s">
        <v>406</v>
      </c>
      <c r="AA498" s="235"/>
      <c r="AB498" s="249"/>
      <c r="AC498" s="238"/>
      <c r="AD498" s="733">
        <f t="shared" ref="AD498:AF499" si="124">AD499</f>
        <v>4880</v>
      </c>
      <c r="AE498" s="478">
        <f t="shared" si="124"/>
        <v>3780</v>
      </c>
      <c r="AF498" s="478">
        <f t="shared" si="124"/>
        <v>3780</v>
      </c>
      <c r="AG498" s="640"/>
      <c r="AH498" s="640"/>
      <c r="AI498" s="455"/>
    </row>
    <row r="499" spans="1:35" s="370" customFormat="1" x14ac:dyDescent="0.25">
      <c r="A499" s="357"/>
      <c r="B499" s="312"/>
      <c r="C499" s="346"/>
      <c r="D499" s="346"/>
      <c r="E499" s="347"/>
      <c r="F499" s="346"/>
      <c r="G499" s="348"/>
      <c r="H499" s="372"/>
      <c r="I499" s="313"/>
      <c r="J499" s="313"/>
      <c r="K499" s="313"/>
      <c r="L499" s="340"/>
      <c r="M499" s="313"/>
      <c r="N499" s="340"/>
      <c r="O499" s="349"/>
      <c r="P499" s="348"/>
      <c r="Q499" s="350"/>
      <c r="R499" s="354"/>
      <c r="S499" s="354"/>
      <c r="T499" s="354"/>
      <c r="U499" s="354"/>
      <c r="V499" s="354"/>
      <c r="W499" s="372"/>
      <c r="X499" s="519" t="s">
        <v>1803</v>
      </c>
      <c r="Y499" s="591" t="s">
        <v>1394</v>
      </c>
      <c r="Z499" s="255" t="s">
        <v>406</v>
      </c>
      <c r="AA499" s="235" t="s">
        <v>406</v>
      </c>
      <c r="AB499" s="249"/>
      <c r="AC499" s="238"/>
      <c r="AD499" s="292">
        <f t="shared" si="124"/>
        <v>4880</v>
      </c>
      <c r="AE499" s="475">
        <f t="shared" si="124"/>
        <v>3780</v>
      </c>
      <c r="AF499" s="475">
        <f t="shared" si="124"/>
        <v>3780</v>
      </c>
      <c r="AG499" s="553"/>
      <c r="AH499" s="553"/>
      <c r="AI499" s="455"/>
    </row>
    <row r="500" spans="1:35" s="370" customFormat="1" x14ac:dyDescent="0.25">
      <c r="A500" s="357"/>
      <c r="B500" s="312"/>
      <c r="C500" s="346"/>
      <c r="D500" s="346"/>
      <c r="E500" s="347"/>
      <c r="F500" s="346"/>
      <c r="G500" s="348"/>
      <c r="H500" s="372"/>
      <c r="I500" s="313"/>
      <c r="J500" s="313"/>
      <c r="K500" s="313"/>
      <c r="L500" s="340"/>
      <c r="M500" s="313"/>
      <c r="N500" s="340"/>
      <c r="O500" s="349"/>
      <c r="P500" s="348"/>
      <c r="Q500" s="350"/>
      <c r="R500" s="354"/>
      <c r="S500" s="354"/>
      <c r="T500" s="354"/>
      <c r="U500" s="354"/>
      <c r="V500" s="354"/>
      <c r="W500" s="372"/>
      <c r="X500" s="520" t="s">
        <v>1840</v>
      </c>
      <c r="Y500" s="246" t="s">
        <v>1394</v>
      </c>
      <c r="Z500" s="235" t="s">
        <v>406</v>
      </c>
      <c r="AA500" s="235" t="s">
        <v>406</v>
      </c>
      <c r="AB500" s="249" t="s">
        <v>1757</v>
      </c>
      <c r="AC500" s="238"/>
      <c r="AD500" s="292">
        <f t="shared" ref="AD500:AF502" si="125">AD501</f>
        <v>4880</v>
      </c>
      <c r="AE500" s="475">
        <f t="shared" si="125"/>
        <v>3780</v>
      </c>
      <c r="AF500" s="475">
        <f t="shared" si="125"/>
        <v>3780</v>
      </c>
      <c r="AG500" s="553"/>
      <c r="AH500" s="553"/>
      <c r="AI500" s="455"/>
    </row>
    <row r="501" spans="1:35" s="370" customFormat="1" x14ac:dyDescent="0.25">
      <c r="A501" s="357"/>
      <c r="B501" s="312"/>
      <c r="C501" s="346"/>
      <c r="D501" s="346"/>
      <c r="E501" s="347"/>
      <c r="F501" s="346"/>
      <c r="G501" s="348"/>
      <c r="H501" s="372"/>
      <c r="I501" s="313"/>
      <c r="J501" s="313"/>
      <c r="K501" s="313"/>
      <c r="L501" s="340"/>
      <c r="M501" s="313"/>
      <c r="N501" s="340"/>
      <c r="O501" s="349"/>
      <c r="P501" s="348"/>
      <c r="Q501" s="350"/>
      <c r="R501" s="354"/>
      <c r="S501" s="354"/>
      <c r="T501" s="354"/>
      <c r="U501" s="354"/>
      <c r="V501" s="354"/>
      <c r="W501" s="372"/>
      <c r="X501" s="520" t="s">
        <v>1841</v>
      </c>
      <c r="Y501" s="591" t="s">
        <v>1394</v>
      </c>
      <c r="Z501" s="235" t="s">
        <v>406</v>
      </c>
      <c r="AA501" s="235" t="s">
        <v>406</v>
      </c>
      <c r="AB501" s="442" t="s">
        <v>1758</v>
      </c>
      <c r="AC501" s="238"/>
      <c r="AD501" s="292">
        <f t="shared" si="125"/>
        <v>4880</v>
      </c>
      <c r="AE501" s="475">
        <f t="shared" si="125"/>
        <v>3780</v>
      </c>
      <c r="AF501" s="475">
        <f t="shared" si="125"/>
        <v>3780</v>
      </c>
      <c r="AG501" s="553"/>
      <c r="AH501" s="553"/>
      <c r="AI501" s="455"/>
    </row>
    <row r="502" spans="1:35" s="370" customFormat="1" x14ac:dyDescent="0.25">
      <c r="A502" s="357"/>
      <c r="B502" s="312"/>
      <c r="C502" s="346"/>
      <c r="D502" s="346"/>
      <c r="E502" s="347"/>
      <c r="F502" s="346"/>
      <c r="G502" s="348"/>
      <c r="H502" s="372"/>
      <c r="I502" s="313"/>
      <c r="J502" s="313"/>
      <c r="K502" s="313"/>
      <c r="L502" s="340"/>
      <c r="M502" s="313"/>
      <c r="N502" s="340"/>
      <c r="O502" s="349"/>
      <c r="P502" s="348"/>
      <c r="Q502" s="350"/>
      <c r="R502" s="354"/>
      <c r="S502" s="354"/>
      <c r="T502" s="354"/>
      <c r="U502" s="354"/>
      <c r="V502" s="354"/>
      <c r="W502" s="372"/>
      <c r="X502" s="520" t="s">
        <v>1842</v>
      </c>
      <c r="Y502" s="591" t="s">
        <v>1394</v>
      </c>
      <c r="Z502" s="235" t="s">
        <v>406</v>
      </c>
      <c r="AA502" s="235" t="s">
        <v>406</v>
      </c>
      <c r="AB502" s="442" t="s">
        <v>1843</v>
      </c>
      <c r="AC502" s="238"/>
      <c r="AD502" s="292">
        <f t="shared" si="125"/>
        <v>4880</v>
      </c>
      <c r="AE502" s="475">
        <f t="shared" si="125"/>
        <v>3780</v>
      </c>
      <c r="AF502" s="475">
        <f t="shared" si="125"/>
        <v>3780</v>
      </c>
      <c r="AG502" s="553"/>
      <c r="AH502" s="553"/>
      <c r="AI502" s="455"/>
    </row>
    <row r="503" spans="1:35" s="370" customFormat="1" ht="47.25" x14ac:dyDescent="0.25">
      <c r="A503" s="357"/>
      <c r="B503" s="312"/>
      <c r="C503" s="346"/>
      <c r="D503" s="346"/>
      <c r="E503" s="347"/>
      <c r="F503" s="346"/>
      <c r="G503" s="348"/>
      <c r="H503" s="372"/>
      <c r="I503" s="313"/>
      <c r="J503" s="313"/>
      <c r="K503" s="313"/>
      <c r="L503" s="340"/>
      <c r="M503" s="313"/>
      <c r="N503" s="340"/>
      <c r="O503" s="349"/>
      <c r="P503" s="348"/>
      <c r="Q503" s="350"/>
      <c r="R503" s="354"/>
      <c r="S503" s="354"/>
      <c r="T503" s="354"/>
      <c r="U503" s="354"/>
      <c r="V503" s="354"/>
      <c r="W503" s="372"/>
      <c r="X503" s="528" t="s">
        <v>1844</v>
      </c>
      <c r="Y503" s="246" t="s">
        <v>1394</v>
      </c>
      <c r="Z503" s="235" t="s">
        <v>406</v>
      </c>
      <c r="AA503" s="235" t="s">
        <v>406</v>
      </c>
      <c r="AB503" s="442" t="s">
        <v>1845</v>
      </c>
      <c r="AC503" s="238"/>
      <c r="AD503" s="292">
        <f t="shared" ref="AD503:AF504" si="126">AD504</f>
        <v>4880</v>
      </c>
      <c r="AE503" s="475">
        <f t="shared" si="126"/>
        <v>3780</v>
      </c>
      <c r="AF503" s="475">
        <f t="shared" si="126"/>
        <v>3780</v>
      </c>
      <c r="AG503" s="553"/>
      <c r="AH503" s="553"/>
      <c r="AI503" s="455"/>
    </row>
    <row r="504" spans="1:35" s="370" customFormat="1" x14ac:dyDescent="0.25">
      <c r="A504" s="357"/>
      <c r="B504" s="312"/>
      <c r="C504" s="346"/>
      <c r="D504" s="346"/>
      <c r="E504" s="347"/>
      <c r="F504" s="346"/>
      <c r="G504" s="348"/>
      <c r="H504" s="372"/>
      <c r="I504" s="313"/>
      <c r="J504" s="313"/>
      <c r="K504" s="313"/>
      <c r="L504" s="340"/>
      <c r="M504" s="313"/>
      <c r="N504" s="340"/>
      <c r="O504" s="349"/>
      <c r="P504" s="348"/>
      <c r="Q504" s="350"/>
      <c r="R504" s="354"/>
      <c r="S504" s="354"/>
      <c r="T504" s="354"/>
      <c r="U504" s="354"/>
      <c r="V504" s="354"/>
      <c r="W504" s="372"/>
      <c r="X504" s="519" t="s">
        <v>1754</v>
      </c>
      <c r="Y504" s="246" t="s">
        <v>1394</v>
      </c>
      <c r="Z504" s="235" t="s">
        <v>406</v>
      </c>
      <c r="AA504" s="235" t="s">
        <v>406</v>
      </c>
      <c r="AB504" s="442" t="s">
        <v>1845</v>
      </c>
      <c r="AC504" s="238">
        <v>300</v>
      </c>
      <c r="AD504" s="292">
        <f t="shared" si="126"/>
        <v>4880</v>
      </c>
      <c r="AE504" s="475">
        <f t="shared" si="126"/>
        <v>3780</v>
      </c>
      <c r="AF504" s="475">
        <f t="shared" si="126"/>
        <v>3780</v>
      </c>
      <c r="AG504" s="553"/>
      <c r="AH504" s="553"/>
      <c r="AI504" s="455"/>
    </row>
    <row r="505" spans="1:35" s="370" customFormat="1" x14ac:dyDescent="0.25">
      <c r="A505" s="357"/>
      <c r="B505" s="312"/>
      <c r="C505" s="346"/>
      <c r="D505" s="346"/>
      <c r="E505" s="347"/>
      <c r="F505" s="346"/>
      <c r="G505" s="348"/>
      <c r="H505" s="372"/>
      <c r="I505" s="313"/>
      <c r="J505" s="313"/>
      <c r="K505" s="313"/>
      <c r="L505" s="340"/>
      <c r="M505" s="313"/>
      <c r="N505" s="340"/>
      <c r="O505" s="349"/>
      <c r="P505" s="348"/>
      <c r="Q505" s="350"/>
      <c r="R505" s="354"/>
      <c r="S505" s="354"/>
      <c r="T505" s="354"/>
      <c r="U505" s="354"/>
      <c r="V505" s="354"/>
      <c r="W505" s="372"/>
      <c r="X505" s="519" t="s">
        <v>868</v>
      </c>
      <c r="Y505" s="246" t="s">
        <v>1394</v>
      </c>
      <c r="Z505" s="235" t="s">
        <v>406</v>
      </c>
      <c r="AA505" s="235" t="s">
        <v>406</v>
      </c>
      <c r="AB505" s="442" t="s">
        <v>1845</v>
      </c>
      <c r="AC505" s="238">
        <v>320</v>
      </c>
      <c r="AD505" s="292">
        <f>3780+1100</f>
        <v>4880</v>
      </c>
      <c r="AE505" s="475">
        <v>3780</v>
      </c>
      <c r="AF505" s="475">
        <v>3780</v>
      </c>
      <c r="AG505" s="553"/>
      <c r="AH505" s="553"/>
      <c r="AI505" s="455"/>
    </row>
    <row r="506" spans="1:35" s="344" customFormat="1" x14ac:dyDescent="0.25">
      <c r="A506" s="335"/>
      <c r="B506" s="336"/>
      <c r="C506" s="338"/>
      <c r="D506" s="339"/>
      <c r="E506" s="339"/>
      <c r="F506" s="339"/>
      <c r="G506" s="340"/>
      <c r="H506" s="340"/>
      <c r="I506" s="340"/>
      <c r="J506" s="340"/>
      <c r="K506" s="340"/>
      <c r="L506" s="340"/>
      <c r="M506" s="340"/>
      <c r="N506" s="340"/>
      <c r="O506" s="341"/>
      <c r="P506" s="340"/>
      <c r="Q506" s="342"/>
      <c r="R506" s="362"/>
      <c r="S506" s="362"/>
      <c r="T506" s="362"/>
      <c r="U506" s="362"/>
      <c r="V506" s="362"/>
      <c r="W506" s="362"/>
      <c r="X506" s="558" t="s">
        <v>1745</v>
      </c>
      <c r="Y506" s="574" t="s">
        <v>1394</v>
      </c>
      <c r="Z506" s="247" t="s">
        <v>768</v>
      </c>
      <c r="AA506" s="248"/>
      <c r="AB506" s="271"/>
      <c r="AC506" s="575"/>
      <c r="AD506" s="733">
        <f>AD507+AD514</f>
        <v>3160.4</v>
      </c>
      <c r="AE506" s="478">
        <f>AE507+AE514</f>
        <v>3160.4</v>
      </c>
      <c r="AF506" s="478">
        <f>AF507+AF514</f>
        <v>3160.4</v>
      </c>
      <c r="AG506" s="640"/>
      <c r="AH506" s="640"/>
      <c r="AI506" s="455"/>
    </row>
    <row r="507" spans="1:35" s="370" customFormat="1" x14ac:dyDescent="0.25">
      <c r="A507" s="311"/>
      <c r="B507" s="345"/>
      <c r="C507" s="346"/>
      <c r="D507" s="346"/>
      <c r="E507" s="347"/>
      <c r="F507" s="346"/>
      <c r="G507" s="348"/>
      <c r="H507" s="348"/>
      <c r="I507" s="348"/>
      <c r="J507" s="348"/>
      <c r="K507" s="348"/>
      <c r="L507" s="340"/>
      <c r="M507" s="348"/>
      <c r="N507" s="340"/>
      <c r="O507" s="349"/>
      <c r="P507" s="348"/>
      <c r="Q507" s="350"/>
      <c r="R507" s="354"/>
      <c r="S507" s="354"/>
      <c r="T507" s="354"/>
      <c r="U507" s="354"/>
      <c r="V507" s="354"/>
      <c r="W507" s="354"/>
      <c r="X507" s="519" t="s">
        <v>1312</v>
      </c>
      <c r="Y507" s="246" t="s">
        <v>1394</v>
      </c>
      <c r="Z507" s="235">
        <v>10</v>
      </c>
      <c r="AA507" s="235" t="s">
        <v>566</v>
      </c>
      <c r="AB507" s="249"/>
      <c r="AC507" s="588"/>
      <c r="AD507" s="292">
        <f>AD508</f>
        <v>3020.4</v>
      </c>
      <c r="AE507" s="475">
        <f>AE508</f>
        <v>3020.4</v>
      </c>
      <c r="AF507" s="475">
        <f>AF508</f>
        <v>3020.4</v>
      </c>
      <c r="AG507" s="553"/>
      <c r="AH507" s="553"/>
      <c r="AI507" s="455"/>
    </row>
    <row r="508" spans="1:35" s="370" customFormat="1" x14ac:dyDescent="0.25">
      <c r="A508" s="356"/>
      <c r="B508" s="345"/>
      <c r="C508" s="346"/>
      <c r="D508" s="346"/>
      <c r="E508" s="347"/>
      <c r="F508" s="346"/>
      <c r="G508" s="348"/>
      <c r="H508" s="348"/>
      <c r="I508" s="348"/>
      <c r="J508" s="348"/>
      <c r="K508" s="348"/>
      <c r="L508" s="340"/>
      <c r="M508" s="348"/>
      <c r="N508" s="340"/>
      <c r="O508" s="349"/>
      <c r="P508" s="348"/>
      <c r="Q508" s="350"/>
      <c r="R508" s="354"/>
      <c r="S508" s="354"/>
      <c r="T508" s="354"/>
      <c r="U508" s="354"/>
      <c r="V508" s="354"/>
      <c r="W508" s="354"/>
      <c r="X508" s="548" t="s">
        <v>2074</v>
      </c>
      <c r="Y508" s="246" t="s">
        <v>1394</v>
      </c>
      <c r="Z508" s="235">
        <v>10</v>
      </c>
      <c r="AA508" s="235" t="s">
        <v>566</v>
      </c>
      <c r="AB508" s="442" t="s">
        <v>1768</v>
      </c>
      <c r="AC508" s="588"/>
      <c r="AD508" s="292">
        <f>AD510</f>
        <v>3020.4</v>
      </c>
      <c r="AE508" s="475">
        <f>AE510</f>
        <v>3020.4</v>
      </c>
      <c r="AF508" s="475">
        <f>AF510</f>
        <v>3020.4</v>
      </c>
      <c r="AG508" s="553"/>
      <c r="AH508" s="553"/>
      <c r="AI508" s="455"/>
    </row>
    <row r="509" spans="1:35" s="370" customFormat="1" x14ac:dyDescent="0.25">
      <c r="A509" s="356"/>
      <c r="B509" s="345"/>
      <c r="C509" s="346"/>
      <c r="D509" s="346"/>
      <c r="E509" s="347"/>
      <c r="F509" s="346"/>
      <c r="G509" s="348"/>
      <c r="H509" s="348"/>
      <c r="I509" s="348"/>
      <c r="J509" s="348"/>
      <c r="K509" s="348"/>
      <c r="L509" s="340"/>
      <c r="M509" s="348"/>
      <c r="N509" s="340"/>
      <c r="O509" s="349"/>
      <c r="P509" s="348"/>
      <c r="Q509" s="350"/>
      <c r="R509" s="354"/>
      <c r="S509" s="354"/>
      <c r="T509" s="354"/>
      <c r="U509" s="354"/>
      <c r="V509" s="354"/>
      <c r="W509" s="354"/>
      <c r="X509" s="524" t="s">
        <v>2075</v>
      </c>
      <c r="Y509" s="246" t="s">
        <v>1394</v>
      </c>
      <c r="Z509" s="235">
        <v>10</v>
      </c>
      <c r="AA509" s="235" t="s">
        <v>566</v>
      </c>
      <c r="AB509" s="442" t="s">
        <v>1779</v>
      </c>
      <c r="AC509" s="588"/>
      <c r="AD509" s="292">
        <f>AD510</f>
        <v>3020.4</v>
      </c>
      <c r="AE509" s="475">
        <f>AE510</f>
        <v>3020.4</v>
      </c>
      <c r="AF509" s="475">
        <f>AF510</f>
        <v>3020.4</v>
      </c>
      <c r="AG509" s="553"/>
      <c r="AH509" s="553"/>
      <c r="AI509" s="455"/>
    </row>
    <row r="510" spans="1:35" s="370" customFormat="1" ht="31.5" x14ac:dyDescent="0.25">
      <c r="A510" s="356"/>
      <c r="B510" s="345"/>
      <c r="C510" s="346"/>
      <c r="D510" s="346"/>
      <c r="E510" s="347"/>
      <c r="F510" s="346"/>
      <c r="G510" s="348"/>
      <c r="H510" s="348"/>
      <c r="I510" s="348"/>
      <c r="J510" s="348"/>
      <c r="K510" s="348"/>
      <c r="L510" s="340"/>
      <c r="M510" s="348"/>
      <c r="N510" s="340"/>
      <c r="O510" s="349"/>
      <c r="P510" s="348"/>
      <c r="Q510" s="350"/>
      <c r="R510" s="354"/>
      <c r="S510" s="354"/>
      <c r="T510" s="354"/>
      <c r="U510" s="354"/>
      <c r="V510" s="354"/>
      <c r="W510" s="354"/>
      <c r="X510" s="548" t="s">
        <v>2081</v>
      </c>
      <c r="Y510" s="246" t="s">
        <v>1394</v>
      </c>
      <c r="Z510" s="235">
        <v>10</v>
      </c>
      <c r="AA510" s="235" t="s">
        <v>566</v>
      </c>
      <c r="AB510" s="442" t="s">
        <v>2082</v>
      </c>
      <c r="AC510" s="588"/>
      <c r="AD510" s="292">
        <f t="shared" ref="AD510:AF512" si="127">AD511</f>
        <v>3020.4</v>
      </c>
      <c r="AE510" s="475">
        <f t="shared" si="127"/>
        <v>3020.4</v>
      </c>
      <c r="AF510" s="475">
        <f t="shared" si="127"/>
        <v>3020.4</v>
      </c>
      <c r="AG510" s="553"/>
      <c r="AH510" s="553"/>
      <c r="AI510" s="455"/>
    </row>
    <row r="511" spans="1:35" s="370" customFormat="1" ht="31.5" x14ac:dyDescent="0.25">
      <c r="A511" s="356"/>
      <c r="B511" s="345"/>
      <c r="C511" s="346"/>
      <c r="D511" s="346"/>
      <c r="E511" s="347"/>
      <c r="F511" s="346"/>
      <c r="G511" s="348"/>
      <c r="H511" s="348"/>
      <c r="I511" s="348"/>
      <c r="J511" s="348"/>
      <c r="K511" s="348"/>
      <c r="L511" s="340"/>
      <c r="M511" s="348"/>
      <c r="N511" s="340"/>
      <c r="O511" s="349"/>
      <c r="P511" s="348"/>
      <c r="Q511" s="350"/>
      <c r="R511" s="354"/>
      <c r="S511" s="354"/>
      <c r="T511" s="354"/>
      <c r="U511" s="354"/>
      <c r="V511" s="354"/>
      <c r="W511" s="354"/>
      <c r="X511" s="529" t="s">
        <v>2083</v>
      </c>
      <c r="Y511" s="246" t="s">
        <v>1394</v>
      </c>
      <c r="Z511" s="235">
        <v>10</v>
      </c>
      <c r="AA511" s="235" t="s">
        <v>566</v>
      </c>
      <c r="AB511" s="442" t="s">
        <v>2084</v>
      </c>
      <c r="AC511" s="588"/>
      <c r="AD511" s="292">
        <f t="shared" si="127"/>
        <v>3020.4</v>
      </c>
      <c r="AE511" s="475">
        <f t="shared" si="127"/>
        <v>3020.4</v>
      </c>
      <c r="AF511" s="475">
        <f t="shared" si="127"/>
        <v>3020.4</v>
      </c>
      <c r="AG511" s="553"/>
      <c r="AH511" s="553"/>
      <c r="AI511" s="455"/>
    </row>
    <row r="512" spans="1:35" s="370" customFormat="1" x14ac:dyDescent="0.25">
      <c r="A512" s="357"/>
      <c r="B512" s="345"/>
      <c r="C512" s="346"/>
      <c r="D512" s="346"/>
      <c r="E512" s="347"/>
      <c r="F512" s="346"/>
      <c r="G512" s="348"/>
      <c r="H512" s="372"/>
      <c r="I512" s="313"/>
      <c r="J512" s="313"/>
      <c r="K512" s="313"/>
      <c r="L512" s="340"/>
      <c r="M512" s="313"/>
      <c r="N512" s="340"/>
      <c r="O512" s="349"/>
      <c r="P512" s="348"/>
      <c r="Q512" s="350"/>
      <c r="R512" s="354"/>
      <c r="S512" s="354"/>
      <c r="T512" s="354"/>
      <c r="U512" s="354"/>
      <c r="V512" s="354"/>
      <c r="W512" s="372"/>
      <c r="X512" s="519" t="s">
        <v>1754</v>
      </c>
      <c r="Y512" s="246" t="s">
        <v>1394</v>
      </c>
      <c r="Z512" s="235">
        <v>10</v>
      </c>
      <c r="AA512" s="235" t="s">
        <v>566</v>
      </c>
      <c r="AB512" s="442" t="s">
        <v>2084</v>
      </c>
      <c r="AC512" s="238">
        <v>300</v>
      </c>
      <c r="AD512" s="292">
        <f t="shared" si="127"/>
        <v>3020.4</v>
      </c>
      <c r="AE512" s="475">
        <f t="shared" si="127"/>
        <v>3020.4</v>
      </c>
      <c r="AF512" s="475">
        <f t="shared" si="127"/>
        <v>3020.4</v>
      </c>
      <c r="AG512" s="553"/>
      <c r="AH512" s="553"/>
      <c r="AI512" s="455"/>
    </row>
    <row r="513" spans="1:35" x14ac:dyDescent="0.25">
      <c r="A513" s="311"/>
      <c r="B513" s="345"/>
      <c r="C513" s="346"/>
      <c r="D513" s="346"/>
      <c r="E513" s="347"/>
      <c r="F513" s="347"/>
      <c r="G513" s="348"/>
      <c r="H513" s="348"/>
      <c r="I513" s="348"/>
      <c r="J513" s="348"/>
      <c r="K513" s="348"/>
      <c r="L513" s="340"/>
      <c r="M513" s="348"/>
      <c r="N513" s="340"/>
      <c r="O513" s="348"/>
      <c r="P513" s="348"/>
      <c r="Q513" s="350"/>
      <c r="R513" s="354"/>
      <c r="S513" s="354"/>
      <c r="T513" s="354"/>
      <c r="U513" s="354"/>
      <c r="V513" s="354"/>
      <c r="W513" s="354"/>
      <c r="X513" s="519" t="s">
        <v>868</v>
      </c>
      <c r="Y513" s="246" t="s">
        <v>1394</v>
      </c>
      <c r="Z513" s="235">
        <v>10</v>
      </c>
      <c r="AA513" s="235" t="s">
        <v>566</v>
      </c>
      <c r="AB513" s="442" t="s">
        <v>2084</v>
      </c>
      <c r="AC513" s="238">
        <v>320</v>
      </c>
      <c r="AD513" s="292">
        <f>2975.4+45</f>
        <v>3020.4</v>
      </c>
      <c r="AE513" s="475">
        <f>2975.4+45</f>
        <v>3020.4</v>
      </c>
      <c r="AF513" s="475">
        <f>2975.4+45</f>
        <v>3020.4</v>
      </c>
      <c r="AG513" s="553"/>
      <c r="AH513" s="553"/>
      <c r="AI513" s="455"/>
    </row>
    <row r="514" spans="1:35" x14ac:dyDescent="0.25">
      <c r="A514" s="355"/>
      <c r="B514" s="345"/>
      <c r="C514" s="346"/>
      <c r="D514" s="346"/>
      <c r="E514" s="347"/>
      <c r="F514" s="347"/>
      <c r="G514" s="348"/>
      <c r="H514" s="348"/>
      <c r="I514" s="348"/>
      <c r="J514" s="348"/>
      <c r="K514" s="348"/>
      <c r="L514" s="340"/>
      <c r="M514" s="348"/>
      <c r="N514" s="340"/>
      <c r="O514" s="359"/>
      <c r="P514" s="348"/>
      <c r="Q514" s="350"/>
      <c r="R514" s="400"/>
      <c r="S514" s="350"/>
      <c r="T514" s="350"/>
      <c r="U514" s="350"/>
      <c r="V514" s="350"/>
      <c r="W514" s="350"/>
      <c r="X514" s="519" t="s">
        <v>729</v>
      </c>
      <c r="Y514" s="246" t="s">
        <v>1394</v>
      </c>
      <c r="Z514" s="235">
        <v>10</v>
      </c>
      <c r="AA514" s="235" t="s">
        <v>1746</v>
      </c>
      <c r="AB514" s="249"/>
      <c r="AC514" s="576"/>
      <c r="AD514" s="292">
        <f t="shared" ref="AD514:AF515" si="128">AD515</f>
        <v>140</v>
      </c>
      <c r="AE514" s="475">
        <f t="shared" si="128"/>
        <v>140</v>
      </c>
      <c r="AF514" s="475">
        <f t="shared" si="128"/>
        <v>140</v>
      </c>
      <c r="AG514" s="553"/>
      <c r="AH514" s="553"/>
      <c r="AI514" s="455"/>
    </row>
    <row r="515" spans="1:35" x14ac:dyDescent="0.25">
      <c r="A515" s="311"/>
      <c r="B515" s="345"/>
      <c r="C515" s="346"/>
      <c r="D515" s="346"/>
      <c r="E515" s="347"/>
      <c r="F515" s="347"/>
      <c r="G515" s="348"/>
      <c r="H515" s="348"/>
      <c r="I515" s="348"/>
      <c r="J515" s="348"/>
      <c r="K515" s="348"/>
      <c r="L515" s="348"/>
      <c r="M515" s="348"/>
      <c r="N515" s="348"/>
      <c r="O515" s="359"/>
      <c r="P515" s="348"/>
      <c r="Q515" s="350"/>
      <c r="R515" s="400"/>
      <c r="S515" s="350"/>
      <c r="T515" s="350"/>
      <c r="U515" s="350"/>
      <c r="V515" s="350"/>
      <c r="W515" s="350"/>
      <c r="X515" s="548" t="s">
        <v>2074</v>
      </c>
      <c r="Y515" s="246" t="s">
        <v>1394</v>
      </c>
      <c r="Z515" s="235">
        <v>10</v>
      </c>
      <c r="AA515" s="235" t="s">
        <v>1746</v>
      </c>
      <c r="AB515" s="442" t="s">
        <v>1768</v>
      </c>
      <c r="AC515" s="576"/>
      <c r="AD515" s="292">
        <f>AD516</f>
        <v>140</v>
      </c>
      <c r="AE515" s="475">
        <f t="shared" si="128"/>
        <v>140</v>
      </c>
      <c r="AF515" s="475">
        <f t="shared" si="128"/>
        <v>140</v>
      </c>
      <c r="AG515" s="553"/>
      <c r="AH515" s="553"/>
      <c r="AI515" s="455"/>
    </row>
    <row r="516" spans="1:35" ht="31.5" x14ac:dyDescent="0.25">
      <c r="A516" s="311"/>
      <c r="B516" s="345"/>
      <c r="C516" s="346"/>
      <c r="D516" s="346"/>
      <c r="E516" s="347"/>
      <c r="F516" s="347"/>
      <c r="G516" s="348"/>
      <c r="H516" s="348"/>
      <c r="I516" s="348"/>
      <c r="J516" s="348"/>
      <c r="K516" s="348"/>
      <c r="L516" s="348"/>
      <c r="M516" s="348"/>
      <c r="N516" s="348"/>
      <c r="O516" s="359"/>
      <c r="P516" s="348"/>
      <c r="Q516" s="350"/>
      <c r="R516" s="400"/>
      <c r="S516" s="350"/>
      <c r="T516" s="350"/>
      <c r="U516" s="350"/>
      <c r="V516" s="350"/>
      <c r="W516" s="350"/>
      <c r="X516" s="548" t="s">
        <v>2230</v>
      </c>
      <c r="Y516" s="246" t="s">
        <v>1394</v>
      </c>
      <c r="Z516" s="235">
        <v>10</v>
      </c>
      <c r="AA516" s="235" t="s">
        <v>1746</v>
      </c>
      <c r="AB516" s="442" t="s">
        <v>2095</v>
      </c>
      <c r="AC516" s="576"/>
      <c r="AD516" s="292">
        <f>AD517</f>
        <v>140</v>
      </c>
      <c r="AE516" s="475">
        <f>AE517</f>
        <v>140</v>
      </c>
      <c r="AF516" s="475">
        <f>AF517</f>
        <v>140</v>
      </c>
      <c r="AG516" s="553"/>
      <c r="AH516" s="553"/>
      <c r="AI516" s="455"/>
    </row>
    <row r="517" spans="1:35" x14ac:dyDescent="0.25">
      <c r="A517" s="311"/>
      <c r="B517" s="345"/>
      <c r="C517" s="346"/>
      <c r="D517" s="346"/>
      <c r="E517" s="347"/>
      <c r="F517" s="347"/>
      <c r="G517" s="348"/>
      <c r="H517" s="348"/>
      <c r="I517" s="348"/>
      <c r="J517" s="348"/>
      <c r="K517" s="348"/>
      <c r="L517" s="348"/>
      <c r="M517" s="348"/>
      <c r="N517" s="348"/>
      <c r="O517" s="359"/>
      <c r="P517" s="348"/>
      <c r="Q517" s="350"/>
      <c r="R517" s="400"/>
      <c r="S517" s="350"/>
      <c r="T517" s="350"/>
      <c r="U517" s="350"/>
      <c r="V517" s="350"/>
      <c r="W517" s="350"/>
      <c r="X517" s="531" t="s">
        <v>2096</v>
      </c>
      <c r="Y517" s="246" t="s">
        <v>1394</v>
      </c>
      <c r="Z517" s="235">
        <v>10</v>
      </c>
      <c r="AA517" s="235" t="s">
        <v>1746</v>
      </c>
      <c r="AB517" s="442" t="s">
        <v>2097</v>
      </c>
      <c r="AC517" s="576"/>
      <c r="AD517" s="292">
        <f>AD518</f>
        <v>140</v>
      </c>
      <c r="AE517" s="292">
        <f t="shared" ref="AE517:AF517" si="129">AE518</f>
        <v>140</v>
      </c>
      <c r="AF517" s="292">
        <f t="shared" si="129"/>
        <v>140</v>
      </c>
      <c r="AG517" s="553"/>
      <c r="AH517" s="553"/>
      <c r="AI517" s="455"/>
    </row>
    <row r="518" spans="1:35" x14ac:dyDescent="0.25">
      <c r="A518" s="311"/>
      <c r="B518" s="345"/>
      <c r="C518" s="346"/>
      <c r="D518" s="346"/>
      <c r="E518" s="347"/>
      <c r="F518" s="347"/>
      <c r="G518" s="348"/>
      <c r="H518" s="348"/>
      <c r="I518" s="348"/>
      <c r="J518" s="348"/>
      <c r="K518" s="348"/>
      <c r="L518" s="348"/>
      <c r="M518" s="348"/>
      <c r="N518" s="348"/>
      <c r="O518" s="359"/>
      <c r="P518" s="348"/>
      <c r="Q518" s="350"/>
      <c r="R518" s="400"/>
      <c r="S518" s="350"/>
      <c r="T518" s="350"/>
      <c r="U518" s="350"/>
      <c r="V518" s="350"/>
      <c r="W518" s="350"/>
      <c r="X518" s="522" t="s">
        <v>2239</v>
      </c>
      <c r="Y518" s="246" t="s">
        <v>1394</v>
      </c>
      <c r="Z518" s="235">
        <v>10</v>
      </c>
      <c r="AA518" s="235" t="s">
        <v>1746</v>
      </c>
      <c r="AB518" s="442" t="s">
        <v>2099</v>
      </c>
      <c r="AC518" s="593"/>
      <c r="AD518" s="736">
        <f t="shared" ref="AD518:AF519" si="130">AD519</f>
        <v>140</v>
      </c>
      <c r="AE518" s="489">
        <f t="shared" si="130"/>
        <v>140</v>
      </c>
      <c r="AF518" s="489">
        <f t="shared" si="130"/>
        <v>140</v>
      </c>
      <c r="AG518" s="351"/>
      <c r="AH518" s="351"/>
      <c r="AI518" s="455"/>
    </row>
    <row r="519" spans="1:35" ht="31.5" x14ac:dyDescent="0.25">
      <c r="A519" s="311"/>
      <c r="B519" s="345"/>
      <c r="C519" s="346"/>
      <c r="D519" s="346"/>
      <c r="E519" s="347"/>
      <c r="F519" s="347"/>
      <c r="G519" s="348"/>
      <c r="H519" s="348"/>
      <c r="I519" s="348"/>
      <c r="J519" s="348"/>
      <c r="K519" s="348"/>
      <c r="L519" s="348"/>
      <c r="M519" s="348"/>
      <c r="N519" s="348"/>
      <c r="O519" s="359"/>
      <c r="P519" s="348"/>
      <c r="Q519" s="350"/>
      <c r="R519" s="400"/>
      <c r="S519" s="350"/>
      <c r="T519" s="350"/>
      <c r="U519" s="350"/>
      <c r="V519" s="350"/>
      <c r="W519" s="350"/>
      <c r="X519" s="523" t="s">
        <v>1342</v>
      </c>
      <c r="Y519" s="246" t="s">
        <v>1394</v>
      </c>
      <c r="Z519" s="235">
        <v>10</v>
      </c>
      <c r="AA519" s="235" t="s">
        <v>1746</v>
      </c>
      <c r="AB519" s="442" t="s">
        <v>2099</v>
      </c>
      <c r="AC519" s="593">
        <v>600</v>
      </c>
      <c r="AD519" s="736">
        <f t="shared" si="130"/>
        <v>140</v>
      </c>
      <c r="AE519" s="489">
        <f t="shared" si="130"/>
        <v>140</v>
      </c>
      <c r="AF519" s="489">
        <f t="shared" si="130"/>
        <v>140</v>
      </c>
      <c r="AG519" s="351"/>
      <c r="AH519" s="351"/>
      <c r="AI519" s="455"/>
    </row>
    <row r="520" spans="1:35" ht="34.9" customHeight="1" x14ac:dyDescent="0.25">
      <c r="A520" s="311"/>
      <c r="B520" s="345"/>
      <c r="C520" s="346"/>
      <c r="D520" s="346"/>
      <c r="E520" s="347"/>
      <c r="F520" s="347"/>
      <c r="G520" s="348"/>
      <c r="H520" s="348"/>
      <c r="I520" s="348"/>
      <c r="J520" s="348"/>
      <c r="K520" s="348"/>
      <c r="L520" s="348"/>
      <c r="M520" s="348"/>
      <c r="N520" s="348"/>
      <c r="O520" s="359"/>
      <c r="P520" s="348"/>
      <c r="Q520" s="350"/>
      <c r="R520" s="400"/>
      <c r="S520" s="350"/>
      <c r="T520" s="350"/>
      <c r="U520" s="350"/>
      <c r="V520" s="350"/>
      <c r="W520" s="350"/>
      <c r="X520" s="523" t="s">
        <v>2299</v>
      </c>
      <c r="Y520" s="246" t="s">
        <v>1394</v>
      </c>
      <c r="Z520" s="235">
        <v>10</v>
      </c>
      <c r="AA520" s="235" t="s">
        <v>1746</v>
      </c>
      <c r="AB520" s="442" t="s">
        <v>2099</v>
      </c>
      <c r="AC520" s="593">
        <v>630</v>
      </c>
      <c r="AD520" s="736">
        <f>70+70</f>
        <v>140</v>
      </c>
      <c r="AE520" s="489">
        <f>70+70</f>
        <v>140</v>
      </c>
      <c r="AF520" s="489">
        <f>70+70</f>
        <v>140</v>
      </c>
      <c r="AG520" s="351"/>
      <c r="AH520" s="351"/>
      <c r="AI520" s="455"/>
    </row>
    <row r="521" spans="1:35" s="363" customFormat="1" x14ac:dyDescent="0.25">
      <c r="A521" s="335"/>
      <c r="B521" s="336"/>
      <c r="C521" s="336"/>
      <c r="D521" s="338"/>
      <c r="E521" s="339"/>
      <c r="F521" s="339"/>
      <c r="G521" s="340"/>
      <c r="H521" s="340"/>
      <c r="I521" s="340"/>
      <c r="J521" s="340"/>
      <c r="K521" s="340"/>
      <c r="L521" s="340"/>
      <c r="M521" s="340"/>
      <c r="N521" s="340"/>
      <c r="O521" s="341"/>
      <c r="P521" s="340"/>
      <c r="Q521" s="342"/>
      <c r="R521" s="362"/>
      <c r="S521" s="362"/>
      <c r="T521" s="362"/>
      <c r="U521" s="362"/>
      <c r="V521" s="362"/>
      <c r="W521" s="362"/>
      <c r="X521" s="558" t="s">
        <v>282</v>
      </c>
      <c r="Y521" s="574" t="s">
        <v>1394</v>
      </c>
      <c r="Z521" s="263">
        <v>11</v>
      </c>
      <c r="AA521" s="247"/>
      <c r="AB521" s="271"/>
      <c r="AC521" s="575"/>
      <c r="AD521" s="733">
        <f>AD522+AD529</f>
        <v>89086.700000000012</v>
      </c>
      <c r="AE521" s="478">
        <f>AE522+AE529</f>
        <v>83781.8</v>
      </c>
      <c r="AF521" s="478">
        <f>AF522+AF529</f>
        <v>83781.8</v>
      </c>
      <c r="AG521" s="640"/>
      <c r="AH521" s="640"/>
      <c r="AI521" s="455"/>
    </row>
    <row r="522" spans="1:35" s="363" customFormat="1" x14ac:dyDescent="0.25">
      <c r="A522" s="335"/>
      <c r="B522" s="336"/>
      <c r="C522" s="336"/>
      <c r="D522" s="338"/>
      <c r="E522" s="339"/>
      <c r="F522" s="339"/>
      <c r="G522" s="340"/>
      <c r="H522" s="340"/>
      <c r="I522" s="340"/>
      <c r="J522" s="340"/>
      <c r="K522" s="340"/>
      <c r="L522" s="340"/>
      <c r="M522" s="340"/>
      <c r="N522" s="340"/>
      <c r="O522" s="341"/>
      <c r="P522" s="340"/>
      <c r="Q522" s="342"/>
      <c r="R522" s="362"/>
      <c r="S522" s="362"/>
      <c r="T522" s="362"/>
      <c r="U522" s="362"/>
      <c r="V522" s="362"/>
      <c r="W522" s="362"/>
      <c r="X522" s="519" t="s">
        <v>283</v>
      </c>
      <c r="Y522" s="246" t="s">
        <v>1394</v>
      </c>
      <c r="Z522" s="235">
        <v>11</v>
      </c>
      <c r="AA522" s="235" t="s">
        <v>566</v>
      </c>
      <c r="AB522" s="271"/>
      <c r="AC522" s="575"/>
      <c r="AD522" s="292">
        <f t="shared" ref="AD522:AF523" si="131">AD523</f>
        <v>34576.1</v>
      </c>
      <c r="AE522" s="475">
        <f t="shared" si="131"/>
        <v>29271.200000000001</v>
      </c>
      <c r="AF522" s="475">
        <f t="shared" si="131"/>
        <v>29271.200000000001</v>
      </c>
      <c r="AG522" s="553"/>
      <c r="AH522" s="553"/>
      <c r="AI522" s="455"/>
    </row>
    <row r="523" spans="1:35" s="363" customFormat="1" x14ac:dyDescent="0.25">
      <c r="A523" s="335"/>
      <c r="B523" s="336"/>
      <c r="C523" s="336"/>
      <c r="D523" s="338"/>
      <c r="E523" s="339"/>
      <c r="F523" s="339"/>
      <c r="G523" s="340"/>
      <c r="H523" s="340"/>
      <c r="I523" s="340"/>
      <c r="J523" s="340"/>
      <c r="K523" s="340"/>
      <c r="L523" s="340"/>
      <c r="M523" s="340"/>
      <c r="N523" s="340"/>
      <c r="O523" s="341"/>
      <c r="P523" s="340"/>
      <c r="Q523" s="342"/>
      <c r="R523" s="362"/>
      <c r="S523" s="362"/>
      <c r="T523" s="362"/>
      <c r="U523" s="362"/>
      <c r="V523" s="362"/>
      <c r="W523" s="362"/>
      <c r="X523" s="520" t="s">
        <v>1846</v>
      </c>
      <c r="Y523" s="578" t="s">
        <v>1394</v>
      </c>
      <c r="Z523" s="235">
        <v>11</v>
      </c>
      <c r="AA523" s="235" t="s">
        <v>566</v>
      </c>
      <c r="AB523" s="442" t="s">
        <v>1775</v>
      </c>
      <c r="AC523" s="575"/>
      <c r="AD523" s="292">
        <f t="shared" si="131"/>
        <v>34576.1</v>
      </c>
      <c r="AE523" s="475">
        <f t="shared" si="131"/>
        <v>29271.200000000001</v>
      </c>
      <c r="AF523" s="475">
        <f t="shared" si="131"/>
        <v>29271.200000000001</v>
      </c>
      <c r="AG523" s="553"/>
      <c r="AH523" s="553"/>
      <c r="AI523" s="455"/>
    </row>
    <row r="524" spans="1:35" s="363" customFormat="1" x14ac:dyDescent="0.25">
      <c r="A524" s="335"/>
      <c r="B524" s="336"/>
      <c r="C524" s="336"/>
      <c r="D524" s="338"/>
      <c r="E524" s="339"/>
      <c r="F524" s="339"/>
      <c r="G524" s="340"/>
      <c r="H524" s="340"/>
      <c r="I524" s="340"/>
      <c r="J524" s="340"/>
      <c r="K524" s="340"/>
      <c r="L524" s="340"/>
      <c r="M524" s="340"/>
      <c r="N524" s="340"/>
      <c r="O524" s="341"/>
      <c r="P524" s="340"/>
      <c r="Q524" s="342"/>
      <c r="R524" s="362"/>
      <c r="S524" s="362"/>
      <c r="T524" s="362"/>
      <c r="U524" s="362"/>
      <c r="V524" s="362"/>
      <c r="W524" s="362"/>
      <c r="X524" s="520" t="s">
        <v>1847</v>
      </c>
      <c r="Y524" s="578" t="s">
        <v>1394</v>
      </c>
      <c r="Z524" s="235">
        <v>11</v>
      </c>
      <c r="AA524" s="235" t="s">
        <v>566</v>
      </c>
      <c r="AB524" s="442" t="s">
        <v>1780</v>
      </c>
      <c r="AC524" s="575"/>
      <c r="AD524" s="292">
        <f t="shared" ref="AD524:AF526" si="132">AD525</f>
        <v>34576.1</v>
      </c>
      <c r="AE524" s="475">
        <f t="shared" si="132"/>
        <v>29271.200000000001</v>
      </c>
      <c r="AF524" s="475">
        <f t="shared" si="132"/>
        <v>29271.200000000001</v>
      </c>
      <c r="AG524" s="553"/>
      <c r="AH524" s="553"/>
      <c r="AI524" s="455"/>
    </row>
    <row r="525" spans="1:35" s="363" customFormat="1" ht="31.5" x14ac:dyDescent="0.25">
      <c r="A525" s="335"/>
      <c r="B525" s="336"/>
      <c r="C525" s="336"/>
      <c r="D525" s="338"/>
      <c r="E525" s="339"/>
      <c r="F525" s="339"/>
      <c r="G525" s="340"/>
      <c r="H525" s="340"/>
      <c r="I525" s="340"/>
      <c r="J525" s="340"/>
      <c r="K525" s="340"/>
      <c r="L525" s="340"/>
      <c r="M525" s="340"/>
      <c r="N525" s="340"/>
      <c r="O525" s="341"/>
      <c r="P525" s="340"/>
      <c r="Q525" s="342"/>
      <c r="R525" s="362"/>
      <c r="S525" s="362"/>
      <c r="T525" s="362"/>
      <c r="U525" s="362"/>
      <c r="V525" s="362"/>
      <c r="W525" s="362"/>
      <c r="X525" s="520" t="s">
        <v>1848</v>
      </c>
      <c r="Y525" s="578" t="s">
        <v>1394</v>
      </c>
      <c r="Z525" s="235">
        <v>11</v>
      </c>
      <c r="AA525" s="235" t="s">
        <v>566</v>
      </c>
      <c r="AB525" s="442" t="s">
        <v>1799</v>
      </c>
      <c r="AC525" s="575"/>
      <c r="AD525" s="292">
        <f t="shared" si="132"/>
        <v>34576.1</v>
      </c>
      <c r="AE525" s="475">
        <f t="shared" si="132"/>
        <v>29271.200000000001</v>
      </c>
      <c r="AF525" s="475">
        <f t="shared" si="132"/>
        <v>29271.200000000001</v>
      </c>
      <c r="AG525" s="553"/>
      <c r="AH525" s="553"/>
      <c r="AI525" s="455"/>
    </row>
    <row r="526" spans="1:35" s="363" customFormat="1" ht="31.5" x14ac:dyDescent="0.25">
      <c r="A526" s="335"/>
      <c r="B526" s="336"/>
      <c r="C526" s="336"/>
      <c r="D526" s="338"/>
      <c r="E526" s="339"/>
      <c r="F526" s="339"/>
      <c r="G526" s="340"/>
      <c r="H526" s="340"/>
      <c r="I526" s="340"/>
      <c r="J526" s="340"/>
      <c r="K526" s="340"/>
      <c r="L526" s="340"/>
      <c r="M526" s="340"/>
      <c r="N526" s="340"/>
      <c r="O526" s="341"/>
      <c r="P526" s="340"/>
      <c r="Q526" s="342"/>
      <c r="R526" s="362"/>
      <c r="S526" s="362"/>
      <c r="T526" s="362"/>
      <c r="U526" s="362"/>
      <c r="V526" s="362"/>
      <c r="W526" s="362"/>
      <c r="X526" s="531" t="s">
        <v>1849</v>
      </c>
      <c r="Y526" s="578" t="s">
        <v>1394</v>
      </c>
      <c r="Z526" s="235">
        <v>11</v>
      </c>
      <c r="AA526" s="235" t="s">
        <v>566</v>
      </c>
      <c r="AB526" s="442" t="s">
        <v>1850</v>
      </c>
      <c r="AC526" s="575"/>
      <c r="AD526" s="292">
        <f t="shared" si="132"/>
        <v>34576.1</v>
      </c>
      <c r="AE526" s="475">
        <f t="shared" si="132"/>
        <v>29271.200000000001</v>
      </c>
      <c r="AF526" s="475">
        <f t="shared" si="132"/>
        <v>29271.200000000001</v>
      </c>
      <c r="AG526" s="553"/>
      <c r="AH526" s="553"/>
      <c r="AI526" s="455"/>
    </row>
    <row r="527" spans="1:35" s="363" customFormat="1" ht="31.5" x14ac:dyDescent="0.25">
      <c r="A527" s="335"/>
      <c r="B527" s="336"/>
      <c r="C527" s="336"/>
      <c r="D527" s="338"/>
      <c r="E527" s="339"/>
      <c r="F527" s="339"/>
      <c r="G527" s="340"/>
      <c r="H527" s="340"/>
      <c r="I527" s="340"/>
      <c r="J527" s="340"/>
      <c r="K527" s="340"/>
      <c r="L527" s="340"/>
      <c r="M527" s="340"/>
      <c r="N527" s="340"/>
      <c r="O527" s="341"/>
      <c r="P527" s="340"/>
      <c r="Q527" s="342"/>
      <c r="R527" s="362"/>
      <c r="S527" s="362"/>
      <c r="T527" s="362"/>
      <c r="U527" s="362"/>
      <c r="V527" s="362"/>
      <c r="W527" s="362"/>
      <c r="X527" s="519" t="s">
        <v>1342</v>
      </c>
      <c r="Y527" s="578" t="s">
        <v>1394</v>
      </c>
      <c r="Z527" s="235">
        <v>11</v>
      </c>
      <c r="AA527" s="235" t="s">
        <v>566</v>
      </c>
      <c r="AB527" s="442" t="s">
        <v>1850</v>
      </c>
      <c r="AC527" s="583">
        <v>600</v>
      </c>
      <c r="AD527" s="292">
        <f>AD528</f>
        <v>34576.1</v>
      </c>
      <c r="AE527" s="475">
        <f>AE528</f>
        <v>29271.200000000001</v>
      </c>
      <c r="AF527" s="475">
        <f>AF528</f>
        <v>29271.200000000001</v>
      </c>
      <c r="AG527" s="553"/>
      <c r="AH527" s="553"/>
      <c r="AI527" s="455"/>
    </row>
    <row r="528" spans="1:35" s="363" customFormat="1" x14ac:dyDescent="0.25">
      <c r="A528" s="335"/>
      <c r="B528" s="336"/>
      <c r="C528" s="336"/>
      <c r="D528" s="338"/>
      <c r="E528" s="339"/>
      <c r="F528" s="339"/>
      <c r="G528" s="340"/>
      <c r="H528" s="340"/>
      <c r="I528" s="340"/>
      <c r="J528" s="340"/>
      <c r="K528" s="340"/>
      <c r="L528" s="340"/>
      <c r="M528" s="340"/>
      <c r="N528" s="340"/>
      <c r="O528" s="341"/>
      <c r="P528" s="340"/>
      <c r="Q528" s="342"/>
      <c r="R528" s="362"/>
      <c r="S528" s="362"/>
      <c r="T528" s="362"/>
      <c r="U528" s="362"/>
      <c r="V528" s="362"/>
      <c r="W528" s="362"/>
      <c r="X528" s="519" t="s">
        <v>1800</v>
      </c>
      <c r="Y528" s="578" t="s">
        <v>1394</v>
      </c>
      <c r="Z528" s="235">
        <v>11</v>
      </c>
      <c r="AA528" s="235" t="s">
        <v>566</v>
      </c>
      <c r="AB528" s="442" t="s">
        <v>1850</v>
      </c>
      <c r="AC528" s="583">
        <v>620</v>
      </c>
      <c r="AD528" s="292">
        <f>29271.2+3000+2304.9</f>
        <v>34576.1</v>
      </c>
      <c r="AE528" s="475">
        <v>29271.200000000001</v>
      </c>
      <c r="AF528" s="475">
        <v>29271.200000000001</v>
      </c>
      <c r="AG528" s="553"/>
      <c r="AH528" s="553"/>
      <c r="AI528" s="455"/>
    </row>
    <row r="529" spans="1:35" s="363" customFormat="1" x14ac:dyDescent="0.25">
      <c r="A529" s="335"/>
      <c r="B529" s="336"/>
      <c r="C529" s="336"/>
      <c r="D529" s="338"/>
      <c r="E529" s="339"/>
      <c r="F529" s="339"/>
      <c r="G529" s="340"/>
      <c r="H529" s="340"/>
      <c r="I529" s="340"/>
      <c r="J529" s="340"/>
      <c r="K529" s="340"/>
      <c r="L529" s="340"/>
      <c r="M529" s="340"/>
      <c r="N529" s="340"/>
      <c r="O529" s="341"/>
      <c r="P529" s="340"/>
      <c r="Q529" s="342"/>
      <c r="R529" s="362"/>
      <c r="S529" s="362"/>
      <c r="T529" s="362"/>
      <c r="U529" s="362"/>
      <c r="V529" s="362"/>
      <c r="W529" s="362"/>
      <c r="X529" s="519" t="s">
        <v>758</v>
      </c>
      <c r="Y529" s="578" t="s">
        <v>1394</v>
      </c>
      <c r="Z529" s="235">
        <v>11</v>
      </c>
      <c r="AA529" s="235" t="s">
        <v>567</v>
      </c>
      <c r="AB529" s="442"/>
      <c r="AC529" s="583"/>
      <c r="AD529" s="292">
        <f>AD531+AD539</f>
        <v>54510.600000000006</v>
      </c>
      <c r="AE529" s="475">
        <f>AE531+AE539</f>
        <v>54510.600000000006</v>
      </c>
      <c r="AF529" s="475">
        <f>AF531+AF539</f>
        <v>54510.600000000006</v>
      </c>
      <c r="AG529" s="553"/>
      <c r="AH529" s="553"/>
      <c r="AI529" s="455"/>
    </row>
    <row r="530" spans="1:35" s="363" customFormat="1" x14ac:dyDescent="0.25">
      <c r="A530" s="335"/>
      <c r="B530" s="336"/>
      <c r="C530" s="336"/>
      <c r="D530" s="338"/>
      <c r="E530" s="339"/>
      <c r="F530" s="339"/>
      <c r="G530" s="340"/>
      <c r="H530" s="340"/>
      <c r="I530" s="340"/>
      <c r="J530" s="340"/>
      <c r="K530" s="340"/>
      <c r="L530" s="340"/>
      <c r="M530" s="340"/>
      <c r="N530" s="340"/>
      <c r="O530" s="341"/>
      <c r="P530" s="340"/>
      <c r="Q530" s="342"/>
      <c r="R530" s="362"/>
      <c r="S530" s="362"/>
      <c r="T530" s="362"/>
      <c r="U530" s="362"/>
      <c r="V530" s="362"/>
      <c r="W530" s="362"/>
      <c r="X530" s="520" t="s">
        <v>1846</v>
      </c>
      <c r="Y530" s="578" t="s">
        <v>1394</v>
      </c>
      <c r="Z530" s="235">
        <v>11</v>
      </c>
      <c r="AA530" s="235" t="s">
        <v>567</v>
      </c>
      <c r="AB530" s="442" t="s">
        <v>1775</v>
      </c>
      <c r="AC530" s="583"/>
      <c r="AD530" s="292">
        <f>AD531+AD539</f>
        <v>54510.600000000006</v>
      </c>
      <c r="AE530" s="475">
        <f>AE531+AE539</f>
        <v>54510.600000000006</v>
      </c>
      <c r="AF530" s="475">
        <f>AF531+AF539</f>
        <v>54510.600000000006</v>
      </c>
      <c r="AG530" s="553"/>
      <c r="AH530" s="553"/>
      <c r="AI530" s="455"/>
    </row>
    <row r="531" spans="1:35" s="363" customFormat="1" x14ac:dyDescent="0.25">
      <c r="A531" s="335"/>
      <c r="B531" s="336"/>
      <c r="C531" s="336"/>
      <c r="D531" s="338"/>
      <c r="E531" s="339"/>
      <c r="F531" s="339"/>
      <c r="G531" s="340"/>
      <c r="H531" s="340"/>
      <c r="I531" s="340"/>
      <c r="J531" s="340"/>
      <c r="K531" s="340"/>
      <c r="L531" s="340"/>
      <c r="M531" s="340"/>
      <c r="N531" s="340"/>
      <c r="O531" s="341"/>
      <c r="P531" s="340"/>
      <c r="Q531" s="342"/>
      <c r="R531" s="362"/>
      <c r="S531" s="362"/>
      <c r="T531" s="362"/>
      <c r="U531" s="362"/>
      <c r="V531" s="362"/>
      <c r="W531" s="362"/>
      <c r="X531" s="520" t="s">
        <v>1847</v>
      </c>
      <c r="Y531" s="578" t="s">
        <v>1394</v>
      </c>
      <c r="Z531" s="235">
        <v>11</v>
      </c>
      <c r="AA531" s="235" t="s">
        <v>567</v>
      </c>
      <c r="AB531" s="442" t="s">
        <v>1780</v>
      </c>
      <c r="AC531" s="583"/>
      <c r="AD531" s="292">
        <f t="shared" ref="AD531:AF532" si="133">AD532</f>
        <v>3300</v>
      </c>
      <c r="AE531" s="475">
        <f t="shared" si="133"/>
        <v>3300</v>
      </c>
      <c r="AF531" s="475">
        <f t="shared" si="133"/>
        <v>3300</v>
      </c>
      <c r="AG531" s="553"/>
      <c r="AH531" s="553"/>
      <c r="AI531" s="455"/>
    </row>
    <row r="532" spans="1:35" s="363" customFormat="1" ht="31.5" x14ac:dyDescent="0.25">
      <c r="A532" s="335"/>
      <c r="B532" s="336"/>
      <c r="C532" s="336"/>
      <c r="D532" s="338"/>
      <c r="E532" s="339"/>
      <c r="F532" s="339"/>
      <c r="G532" s="340"/>
      <c r="H532" s="340"/>
      <c r="I532" s="340"/>
      <c r="J532" s="340"/>
      <c r="K532" s="340"/>
      <c r="L532" s="340"/>
      <c r="M532" s="340"/>
      <c r="N532" s="340"/>
      <c r="O532" s="341"/>
      <c r="P532" s="340"/>
      <c r="Q532" s="342"/>
      <c r="R532" s="362"/>
      <c r="S532" s="362"/>
      <c r="T532" s="362"/>
      <c r="U532" s="362"/>
      <c r="V532" s="362"/>
      <c r="W532" s="362"/>
      <c r="X532" s="520" t="s">
        <v>1848</v>
      </c>
      <c r="Y532" s="578" t="s">
        <v>1394</v>
      </c>
      <c r="Z532" s="235">
        <v>11</v>
      </c>
      <c r="AA532" s="235" t="s">
        <v>567</v>
      </c>
      <c r="AB532" s="442" t="s">
        <v>1799</v>
      </c>
      <c r="AC532" s="583"/>
      <c r="AD532" s="292">
        <f t="shared" si="133"/>
        <v>3300</v>
      </c>
      <c r="AE532" s="475">
        <f t="shared" si="133"/>
        <v>3300</v>
      </c>
      <c r="AF532" s="475">
        <f t="shared" si="133"/>
        <v>3300</v>
      </c>
      <c r="AG532" s="553"/>
      <c r="AH532" s="553"/>
      <c r="AI532" s="455"/>
    </row>
    <row r="533" spans="1:35" s="363" customFormat="1" ht="31.5" x14ac:dyDescent="0.25">
      <c r="A533" s="335"/>
      <c r="B533" s="336"/>
      <c r="C533" s="336"/>
      <c r="D533" s="338"/>
      <c r="E533" s="339"/>
      <c r="F533" s="339"/>
      <c r="G533" s="340"/>
      <c r="H533" s="340"/>
      <c r="I533" s="340"/>
      <c r="J533" s="340"/>
      <c r="K533" s="340"/>
      <c r="L533" s="340"/>
      <c r="M533" s="340"/>
      <c r="N533" s="340"/>
      <c r="O533" s="341"/>
      <c r="P533" s="340"/>
      <c r="Q533" s="342"/>
      <c r="R533" s="362"/>
      <c r="S533" s="362"/>
      <c r="T533" s="362"/>
      <c r="U533" s="362"/>
      <c r="V533" s="362"/>
      <c r="W533" s="362"/>
      <c r="X533" s="528" t="s">
        <v>1851</v>
      </c>
      <c r="Y533" s="246" t="s">
        <v>1394</v>
      </c>
      <c r="Z533" s="235">
        <v>11</v>
      </c>
      <c r="AA533" s="235" t="s">
        <v>567</v>
      </c>
      <c r="AB533" s="442" t="s">
        <v>1852</v>
      </c>
      <c r="AC533" s="575"/>
      <c r="AD533" s="292">
        <f>AD534+AD536</f>
        <v>3300</v>
      </c>
      <c r="AE533" s="475">
        <f>AE534+AE536</f>
        <v>3300</v>
      </c>
      <c r="AF533" s="475">
        <f>AF534+AF536</f>
        <v>3300</v>
      </c>
      <c r="AG533" s="553"/>
      <c r="AH533" s="553"/>
      <c r="AI533" s="455"/>
    </row>
    <row r="534" spans="1:35" s="363" customFormat="1" x14ac:dyDescent="0.25">
      <c r="A534" s="335"/>
      <c r="B534" s="336"/>
      <c r="C534" s="336"/>
      <c r="D534" s="338"/>
      <c r="E534" s="339"/>
      <c r="F534" s="339"/>
      <c r="G534" s="340"/>
      <c r="H534" s="340"/>
      <c r="I534" s="340"/>
      <c r="J534" s="340"/>
      <c r="K534" s="340"/>
      <c r="L534" s="340"/>
      <c r="M534" s="340"/>
      <c r="N534" s="340"/>
      <c r="O534" s="341"/>
      <c r="P534" s="340"/>
      <c r="Q534" s="342"/>
      <c r="R534" s="362"/>
      <c r="S534" s="362"/>
      <c r="T534" s="362"/>
      <c r="U534" s="362"/>
      <c r="V534" s="362"/>
      <c r="W534" s="362"/>
      <c r="X534" s="519" t="s">
        <v>1781</v>
      </c>
      <c r="Y534" s="246" t="s">
        <v>1394</v>
      </c>
      <c r="Z534" s="235">
        <v>11</v>
      </c>
      <c r="AA534" s="235" t="s">
        <v>567</v>
      </c>
      <c r="AB534" s="442" t="s">
        <v>1852</v>
      </c>
      <c r="AC534" s="238">
        <v>200</v>
      </c>
      <c r="AD534" s="292">
        <f>AD535</f>
        <v>2244.9</v>
      </c>
      <c r="AE534" s="475">
        <f>AE535</f>
        <v>3300</v>
      </c>
      <c r="AF534" s="475">
        <f>AF535</f>
        <v>3300</v>
      </c>
      <c r="AG534" s="553"/>
      <c r="AH534" s="553"/>
      <c r="AI534" s="455"/>
    </row>
    <row r="535" spans="1:35" s="363" customFormat="1" ht="31.5" x14ac:dyDescent="0.25">
      <c r="A535" s="335"/>
      <c r="B535" s="336"/>
      <c r="C535" s="336"/>
      <c r="D535" s="338"/>
      <c r="E535" s="339"/>
      <c r="F535" s="339"/>
      <c r="G535" s="340"/>
      <c r="H535" s="340"/>
      <c r="I535" s="340"/>
      <c r="J535" s="340"/>
      <c r="K535" s="340"/>
      <c r="L535" s="340"/>
      <c r="M535" s="340"/>
      <c r="N535" s="340"/>
      <c r="O535" s="341"/>
      <c r="P535" s="340"/>
      <c r="Q535" s="342"/>
      <c r="R535" s="362"/>
      <c r="S535" s="362"/>
      <c r="T535" s="362"/>
      <c r="U535" s="362"/>
      <c r="V535" s="362"/>
      <c r="W535" s="362"/>
      <c r="X535" s="519" t="s">
        <v>1273</v>
      </c>
      <c r="Y535" s="246" t="s">
        <v>1394</v>
      </c>
      <c r="Z535" s="235">
        <v>11</v>
      </c>
      <c r="AA535" s="235" t="s">
        <v>567</v>
      </c>
      <c r="AB535" s="442" t="s">
        <v>1852</v>
      </c>
      <c r="AC535" s="238">
        <v>240</v>
      </c>
      <c r="AD535" s="292">
        <f>3300-100-50-260-300-45.1-300</f>
        <v>2244.9</v>
      </c>
      <c r="AE535" s="475">
        <v>3300</v>
      </c>
      <c r="AF535" s="475">
        <v>3300</v>
      </c>
      <c r="AG535" s="553"/>
      <c r="AH535" s="553"/>
      <c r="AI535" s="455"/>
    </row>
    <row r="536" spans="1:35" s="363" customFormat="1" ht="31.5" x14ac:dyDescent="0.25">
      <c r="A536" s="335"/>
      <c r="B536" s="336"/>
      <c r="C536" s="336"/>
      <c r="D536" s="338"/>
      <c r="E536" s="339"/>
      <c r="F536" s="339"/>
      <c r="G536" s="340"/>
      <c r="H536" s="340"/>
      <c r="I536" s="340"/>
      <c r="J536" s="340"/>
      <c r="K536" s="340"/>
      <c r="L536" s="340"/>
      <c r="M536" s="340"/>
      <c r="N536" s="340"/>
      <c r="O536" s="341"/>
      <c r="P536" s="340"/>
      <c r="Q536" s="342"/>
      <c r="R536" s="362"/>
      <c r="S536" s="362"/>
      <c r="T536" s="362"/>
      <c r="U536" s="362"/>
      <c r="V536" s="362"/>
      <c r="W536" s="362"/>
      <c r="X536" s="628" t="s">
        <v>1342</v>
      </c>
      <c r="Y536" s="246" t="s">
        <v>1394</v>
      </c>
      <c r="Z536" s="235">
        <v>11</v>
      </c>
      <c r="AA536" s="235" t="s">
        <v>567</v>
      </c>
      <c r="AB536" s="442" t="s">
        <v>1852</v>
      </c>
      <c r="AC536" s="627">
        <v>600</v>
      </c>
      <c r="AD536" s="292">
        <f>AD537+AD538</f>
        <v>1055.0999999999999</v>
      </c>
      <c r="AE536" s="475">
        <f>AE537</f>
        <v>0</v>
      </c>
      <c r="AF536" s="475">
        <f>AF537</f>
        <v>0</v>
      </c>
      <c r="AG536" s="553"/>
      <c r="AH536" s="553"/>
      <c r="AI536" s="455"/>
    </row>
    <row r="537" spans="1:35" s="363" customFormat="1" x14ac:dyDescent="0.25">
      <c r="A537" s="335"/>
      <c r="B537" s="336"/>
      <c r="C537" s="336"/>
      <c r="D537" s="338"/>
      <c r="E537" s="339"/>
      <c r="F537" s="339"/>
      <c r="G537" s="340"/>
      <c r="H537" s="340"/>
      <c r="I537" s="340"/>
      <c r="J537" s="340"/>
      <c r="K537" s="340"/>
      <c r="L537" s="340"/>
      <c r="M537" s="340"/>
      <c r="N537" s="340"/>
      <c r="O537" s="341"/>
      <c r="P537" s="340"/>
      <c r="Q537" s="342"/>
      <c r="R537" s="362"/>
      <c r="S537" s="362"/>
      <c r="T537" s="362"/>
      <c r="U537" s="362"/>
      <c r="V537" s="362"/>
      <c r="W537" s="362"/>
      <c r="X537" s="623" t="s">
        <v>1343</v>
      </c>
      <c r="Y537" s="246" t="s">
        <v>1394</v>
      </c>
      <c r="Z537" s="235">
        <v>11</v>
      </c>
      <c r="AA537" s="235" t="s">
        <v>567</v>
      </c>
      <c r="AB537" s="442" t="s">
        <v>1852</v>
      </c>
      <c r="AC537" s="627">
        <v>610</v>
      </c>
      <c r="AD537" s="292">
        <f>100+260+300+45.1+300</f>
        <v>1005.1</v>
      </c>
      <c r="AE537" s="475">
        <v>0</v>
      </c>
      <c r="AF537" s="475">
        <v>0</v>
      </c>
      <c r="AG537" s="553"/>
      <c r="AH537" s="553"/>
      <c r="AI537" s="455"/>
    </row>
    <row r="538" spans="1:35" s="363" customFormat="1" x14ac:dyDescent="0.25">
      <c r="A538" s="335"/>
      <c r="B538" s="336"/>
      <c r="C538" s="336"/>
      <c r="D538" s="338"/>
      <c r="E538" s="339"/>
      <c r="F538" s="339"/>
      <c r="G538" s="340"/>
      <c r="H538" s="340"/>
      <c r="I538" s="340"/>
      <c r="J538" s="340"/>
      <c r="K538" s="340"/>
      <c r="L538" s="340"/>
      <c r="M538" s="340"/>
      <c r="N538" s="340"/>
      <c r="O538" s="341"/>
      <c r="P538" s="340"/>
      <c r="Q538" s="342"/>
      <c r="R538" s="362"/>
      <c r="S538" s="362"/>
      <c r="T538" s="362"/>
      <c r="U538" s="362"/>
      <c r="V538" s="362"/>
      <c r="W538" s="362"/>
      <c r="X538" s="519" t="s">
        <v>1800</v>
      </c>
      <c r="Y538" s="246" t="s">
        <v>1394</v>
      </c>
      <c r="Z538" s="235">
        <v>11</v>
      </c>
      <c r="AA538" s="235" t="s">
        <v>567</v>
      </c>
      <c r="AB538" s="442" t="s">
        <v>1852</v>
      </c>
      <c r="AC538" s="627">
        <v>620</v>
      </c>
      <c r="AD538" s="292">
        <v>50</v>
      </c>
      <c r="AE538" s="475">
        <v>0</v>
      </c>
      <c r="AF538" s="475">
        <v>0</v>
      </c>
      <c r="AG538" s="553"/>
      <c r="AH538" s="553"/>
      <c r="AI538" s="455"/>
    </row>
    <row r="539" spans="1:35" s="363" customFormat="1" x14ac:dyDescent="0.25">
      <c r="A539" s="335"/>
      <c r="B539" s="336"/>
      <c r="C539" s="336"/>
      <c r="D539" s="338"/>
      <c r="E539" s="339"/>
      <c r="F539" s="339"/>
      <c r="G539" s="340"/>
      <c r="H539" s="340"/>
      <c r="I539" s="340"/>
      <c r="J539" s="340"/>
      <c r="K539" s="340"/>
      <c r="L539" s="340"/>
      <c r="M539" s="340"/>
      <c r="N539" s="340"/>
      <c r="O539" s="341"/>
      <c r="P539" s="340"/>
      <c r="Q539" s="342"/>
      <c r="R539" s="362"/>
      <c r="S539" s="362"/>
      <c r="T539" s="362"/>
      <c r="U539" s="362"/>
      <c r="V539" s="362"/>
      <c r="W539" s="362"/>
      <c r="X539" s="561" t="s">
        <v>2262</v>
      </c>
      <c r="Y539" s="246" t="s">
        <v>1394</v>
      </c>
      <c r="Z539" s="235">
        <v>11</v>
      </c>
      <c r="AA539" s="235" t="s">
        <v>567</v>
      </c>
      <c r="AB539" s="442" t="s">
        <v>2265</v>
      </c>
      <c r="AC539" s="238"/>
      <c r="AD539" s="292">
        <f t="shared" ref="AD539:AF540" si="134">AD540</f>
        <v>51210.600000000006</v>
      </c>
      <c r="AE539" s="475">
        <f t="shared" si="134"/>
        <v>51210.600000000006</v>
      </c>
      <c r="AF539" s="475">
        <f t="shared" si="134"/>
        <v>51210.600000000006</v>
      </c>
      <c r="AG539" s="553"/>
      <c r="AH539" s="553"/>
      <c r="AI539" s="455"/>
    </row>
    <row r="540" spans="1:35" s="363" customFormat="1" x14ac:dyDescent="0.25">
      <c r="A540" s="335"/>
      <c r="B540" s="336"/>
      <c r="C540" s="336"/>
      <c r="D540" s="338"/>
      <c r="E540" s="339"/>
      <c r="F540" s="339"/>
      <c r="G540" s="340"/>
      <c r="H540" s="340"/>
      <c r="I540" s="340"/>
      <c r="J540" s="340"/>
      <c r="K540" s="340"/>
      <c r="L540" s="340"/>
      <c r="M540" s="340"/>
      <c r="N540" s="340"/>
      <c r="O540" s="341"/>
      <c r="P540" s="340"/>
      <c r="Q540" s="342"/>
      <c r="R540" s="362"/>
      <c r="S540" s="362"/>
      <c r="T540" s="362"/>
      <c r="U540" s="362"/>
      <c r="V540" s="362"/>
      <c r="W540" s="362"/>
      <c r="X540" s="519" t="s">
        <v>2334</v>
      </c>
      <c r="Y540" s="246" t="s">
        <v>1394</v>
      </c>
      <c r="Z540" s="235">
        <v>11</v>
      </c>
      <c r="AA540" s="235" t="s">
        <v>567</v>
      </c>
      <c r="AB540" s="442" t="s">
        <v>2266</v>
      </c>
      <c r="AC540" s="238"/>
      <c r="AD540" s="292">
        <f t="shared" si="134"/>
        <v>51210.600000000006</v>
      </c>
      <c r="AE540" s="475">
        <f t="shared" si="134"/>
        <v>51210.600000000006</v>
      </c>
      <c r="AF540" s="475">
        <f t="shared" si="134"/>
        <v>51210.600000000006</v>
      </c>
      <c r="AG540" s="553"/>
      <c r="AH540" s="553"/>
      <c r="AI540" s="455"/>
    </row>
    <row r="541" spans="1:35" s="363" customFormat="1" ht="31.5" x14ac:dyDescent="0.25">
      <c r="A541" s="335"/>
      <c r="B541" s="336"/>
      <c r="C541" s="336"/>
      <c r="D541" s="338"/>
      <c r="E541" s="339"/>
      <c r="F541" s="339"/>
      <c r="G541" s="340"/>
      <c r="H541" s="340"/>
      <c r="I541" s="340"/>
      <c r="J541" s="340"/>
      <c r="K541" s="340"/>
      <c r="L541" s="340"/>
      <c r="M541" s="340"/>
      <c r="N541" s="340"/>
      <c r="O541" s="341"/>
      <c r="P541" s="340"/>
      <c r="Q541" s="342"/>
      <c r="R541" s="362"/>
      <c r="S541" s="362"/>
      <c r="T541" s="362"/>
      <c r="U541" s="362"/>
      <c r="V541" s="362"/>
      <c r="W541" s="362"/>
      <c r="X541" s="519" t="s">
        <v>2263</v>
      </c>
      <c r="Y541" s="578" t="s">
        <v>1394</v>
      </c>
      <c r="Z541" s="235">
        <v>11</v>
      </c>
      <c r="AA541" s="235" t="s">
        <v>567</v>
      </c>
      <c r="AB541" s="442" t="s">
        <v>2264</v>
      </c>
      <c r="AC541" s="238"/>
      <c r="AD541" s="292">
        <f>AD542+AD545</f>
        <v>51210.600000000006</v>
      </c>
      <c r="AE541" s="292">
        <f t="shared" ref="AE541:AF541" si="135">AE542+AE545</f>
        <v>51210.600000000006</v>
      </c>
      <c r="AF541" s="292">
        <f t="shared" si="135"/>
        <v>51210.600000000006</v>
      </c>
      <c r="AG541" s="553"/>
      <c r="AH541" s="553"/>
      <c r="AI541" s="455"/>
    </row>
    <row r="542" spans="1:35" s="363" customFormat="1" ht="47.25" x14ac:dyDescent="0.25">
      <c r="A542" s="335"/>
      <c r="B542" s="336"/>
      <c r="C542" s="336"/>
      <c r="D542" s="338"/>
      <c r="E542" s="339"/>
      <c r="F542" s="339"/>
      <c r="G542" s="340"/>
      <c r="H542" s="340"/>
      <c r="I542" s="340"/>
      <c r="J542" s="340"/>
      <c r="K542" s="340"/>
      <c r="L542" s="340"/>
      <c r="M542" s="340"/>
      <c r="N542" s="340"/>
      <c r="O542" s="341"/>
      <c r="P542" s="340"/>
      <c r="Q542" s="342"/>
      <c r="R542" s="362"/>
      <c r="S542" s="362"/>
      <c r="T542" s="362"/>
      <c r="U542" s="362"/>
      <c r="V542" s="362"/>
      <c r="W542" s="362"/>
      <c r="X542" s="623" t="s">
        <v>2295</v>
      </c>
      <c r="Y542" s="624" t="s">
        <v>1394</v>
      </c>
      <c r="Z542" s="625">
        <v>11</v>
      </c>
      <c r="AA542" s="625" t="s">
        <v>567</v>
      </c>
      <c r="AB542" s="626" t="s">
        <v>2296</v>
      </c>
      <c r="AC542" s="627"/>
      <c r="AD542" s="737">
        <f t="shared" ref="AD542:AF543" si="136">AD543</f>
        <v>32762.400000000001</v>
      </c>
      <c r="AE542" s="621">
        <f t="shared" si="136"/>
        <v>32762.400000000001</v>
      </c>
      <c r="AF542" s="621">
        <f t="shared" si="136"/>
        <v>32762.400000000001</v>
      </c>
      <c r="AG542" s="643"/>
      <c r="AH542" s="643"/>
      <c r="AI542" s="455"/>
    </row>
    <row r="543" spans="1:35" s="363" customFormat="1" ht="31.5" x14ac:dyDescent="0.25">
      <c r="A543" s="335"/>
      <c r="B543" s="336"/>
      <c r="C543" s="336"/>
      <c r="D543" s="338"/>
      <c r="E543" s="339"/>
      <c r="F543" s="339"/>
      <c r="G543" s="340"/>
      <c r="H543" s="340"/>
      <c r="I543" s="340"/>
      <c r="J543" s="340"/>
      <c r="K543" s="340"/>
      <c r="L543" s="340"/>
      <c r="M543" s="340"/>
      <c r="N543" s="340"/>
      <c r="O543" s="341"/>
      <c r="P543" s="340"/>
      <c r="Q543" s="342"/>
      <c r="R543" s="362"/>
      <c r="S543" s="362"/>
      <c r="T543" s="362"/>
      <c r="U543" s="362"/>
      <c r="V543" s="362"/>
      <c r="W543" s="362"/>
      <c r="X543" s="628" t="s">
        <v>1342</v>
      </c>
      <c r="Y543" s="624" t="s">
        <v>1394</v>
      </c>
      <c r="Z543" s="625">
        <v>11</v>
      </c>
      <c r="AA543" s="625" t="s">
        <v>567</v>
      </c>
      <c r="AB543" s="626" t="s">
        <v>2296</v>
      </c>
      <c r="AC543" s="627">
        <v>600</v>
      </c>
      <c r="AD543" s="737">
        <f t="shared" si="136"/>
        <v>32762.400000000001</v>
      </c>
      <c r="AE543" s="621">
        <f t="shared" si="136"/>
        <v>32762.400000000001</v>
      </c>
      <c r="AF543" s="621">
        <f t="shared" si="136"/>
        <v>32762.400000000001</v>
      </c>
      <c r="AG543" s="643"/>
      <c r="AH543" s="643"/>
      <c r="AI543" s="455"/>
    </row>
    <row r="544" spans="1:35" s="363" customFormat="1" x14ac:dyDescent="0.25">
      <c r="A544" s="335"/>
      <c r="B544" s="336"/>
      <c r="C544" s="336"/>
      <c r="D544" s="338"/>
      <c r="E544" s="339"/>
      <c r="F544" s="339"/>
      <c r="G544" s="340"/>
      <c r="H544" s="340"/>
      <c r="I544" s="340"/>
      <c r="J544" s="340"/>
      <c r="K544" s="340"/>
      <c r="L544" s="340"/>
      <c r="M544" s="340"/>
      <c r="N544" s="340"/>
      <c r="O544" s="341"/>
      <c r="P544" s="340"/>
      <c r="Q544" s="342"/>
      <c r="R544" s="362"/>
      <c r="S544" s="362"/>
      <c r="T544" s="362"/>
      <c r="U544" s="362"/>
      <c r="V544" s="362"/>
      <c r="W544" s="362"/>
      <c r="X544" s="623" t="s">
        <v>1343</v>
      </c>
      <c r="Y544" s="624" t="s">
        <v>1394</v>
      </c>
      <c r="Z544" s="625">
        <v>11</v>
      </c>
      <c r="AA544" s="625" t="s">
        <v>567</v>
      </c>
      <c r="AB544" s="626" t="s">
        <v>2296</v>
      </c>
      <c r="AC544" s="627">
        <v>610</v>
      </c>
      <c r="AD544" s="737">
        <v>32762.400000000001</v>
      </c>
      <c r="AE544" s="621">
        <v>32762.400000000001</v>
      </c>
      <c r="AF544" s="621">
        <v>32762.400000000001</v>
      </c>
      <c r="AG544" s="643"/>
      <c r="AH544" s="643"/>
      <c r="AI544" s="455"/>
    </row>
    <row r="545" spans="1:35" s="363" customFormat="1" ht="63" x14ac:dyDescent="0.25">
      <c r="A545" s="335"/>
      <c r="B545" s="336"/>
      <c r="C545" s="336"/>
      <c r="D545" s="338"/>
      <c r="E545" s="339"/>
      <c r="F545" s="339"/>
      <c r="G545" s="340"/>
      <c r="H545" s="340"/>
      <c r="I545" s="340"/>
      <c r="J545" s="340"/>
      <c r="K545" s="340"/>
      <c r="L545" s="340"/>
      <c r="M545" s="340"/>
      <c r="N545" s="340"/>
      <c r="O545" s="341"/>
      <c r="P545" s="340"/>
      <c r="Q545" s="342"/>
      <c r="R545" s="362"/>
      <c r="S545" s="362"/>
      <c r="T545" s="362"/>
      <c r="U545" s="362"/>
      <c r="V545" s="362"/>
      <c r="W545" s="362"/>
      <c r="X545" s="828" t="s">
        <v>2413</v>
      </c>
      <c r="Y545" s="624" t="s">
        <v>1394</v>
      </c>
      <c r="Z545" s="625">
        <v>11</v>
      </c>
      <c r="AA545" s="625" t="s">
        <v>567</v>
      </c>
      <c r="AB545" s="626" t="s">
        <v>2297</v>
      </c>
      <c r="AC545" s="627"/>
      <c r="AD545" s="737">
        <f t="shared" ref="AD545:AF546" si="137">AD546</f>
        <v>18448.2</v>
      </c>
      <c r="AE545" s="621">
        <f t="shared" si="137"/>
        <v>18448.2</v>
      </c>
      <c r="AF545" s="621">
        <f t="shared" si="137"/>
        <v>18448.2</v>
      </c>
      <c r="AG545" s="643"/>
      <c r="AH545" s="643"/>
      <c r="AI545" s="455"/>
    </row>
    <row r="546" spans="1:35" s="363" customFormat="1" ht="31.5" x14ac:dyDescent="0.25">
      <c r="A546" s="335"/>
      <c r="B546" s="336"/>
      <c r="C546" s="336"/>
      <c r="D546" s="338"/>
      <c r="E546" s="339"/>
      <c r="F546" s="339"/>
      <c r="G546" s="340"/>
      <c r="H546" s="340"/>
      <c r="I546" s="340"/>
      <c r="J546" s="340"/>
      <c r="K546" s="340"/>
      <c r="L546" s="340"/>
      <c r="M546" s="340"/>
      <c r="N546" s="340"/>
      <c r="O546" s="341"/>
      <c r="P546" s="340"/>
      <c r="Q546" s="342"/>
      <c r="R546" s="362"/>
      <c r="S546" s="362"/>
      <c r="T546" s="362"/>
      <c r="U546" s="362"/>
      <c r="V546" s="362"/>
      <c r="W546" s="362"/>
      <c r="X546" s="628" t="s">
        <v>1342</v>
      </c>
      <c r="Y546" s="624" t="s">
        <v>1394</v>
      </c>
      <c r="Z546" s="625">
        <v>11</v>
      </c>
      <c r="AA546" s="625" t="s">
        <v>567</v>
      </c>
      <c r="AB546" s="626" t="s">
        <v>2297</v>
      </c>
      <c r="AC546" s="627">
        <v>600</v>
      </c>
      <c r="AD546" s="737">
        <f t="shared" si="137"/>
        <v>18448.2</v>
      </c>
      <c r="AE546" s="621">
        <f t="shared" si="137"/>
        <v>18448.2</v>
      </c>
      <c r="AF546" s="621">
        <f t="shared" si="137"/>
        <v>18448.2</v>
      </c>
      <c r="AG546" s="643"/>
      <c r="AH546" s="643"/>
      <c r="AI546" s="455"/>
    </row>
    <row r="547" spans="1:35" s="363" customFormat="1" x14ac:dyDescent="0.25">
      <c r="A547" s="335"/>
      <c r="B547" s="336"/>
      <c r="C547" s="336"/>
      <c r="D547" s="338"/>
      <c r="E547" s="339"/>
      <c r="F547" s="339"/>
      <c r="G547" s="340"/>
      <c r="H547" s="340"/>
      <c r="I547" s="340"/>
      <c r="J547" s="340"/>
      <c r="K547" s="340"/>
      <c r="L547" s="340"/>
      <c r="M547" s="340"/>
      <c r="N547" s="340"/>
      <c r="O547" s="341"/>
      <c r="P547" s="340"/>
      <c r="Q547" s="342"/>
      <c r="R547" s="362"/>
      <c r="S547" s="362"/>
      <c r="T547" s="362"/>
      <c r="U547" s="362"/>
      <c r="V547" s="362"/>
      <c r="W547" s="362"/>
      <c r="X547" s="623" t="s">
        <v>1343</v>
      </c>
      <c r="Y547" s="624" t="s">
        <v>1394</v>
      </c>
      <c r="Z547" s="625">
        <v>11</v>
      </c>
      <c r="AA547" s="625" t="s">
        <v>567</v>
      </c>
      <c r="AB547" s="626" t="s">
        <v>2297</v>
      </c>
      <c r="AC547" s="627">
        <v>610</v>
      </c>
      <c r="AD547" s="737">
        <v>18448.2</v>
      </c>
      <c r="AE547" s="621">
        <v>18448.2</v>
      </c>
      <c r="AF547" s="621">
        <v>18448.2</v>
      </c>
      <c r="AG547" s="643"/>
      <c r="AH547" s="643"/>
      <c r="AI547" s="455"/>
    </row>
    <row r="548" spans="1:35" s="363" customFormat="1" x14ac:dyDescent="0.25">
      <c r="A548" s="335"/>
      <c r="B548" s="336"/>
      <c r="C548" s="336"/>
      <c r="D548" s="338"/>
      <c r="E548" s="339"/>
      <c r="F548" s="339"/>
      <c r="G548" s="340"/>
      <c r="H548" s="340"/>
      <c r="I548" s="340"/>
      <c r="J548" s="340"/>
      <c r="K548" s="340"/>
      <c r="L548" s="340"/>
      <c r="M548" s="340"/>
      <c r="N548" s="340"/>
      <c r="O548" s="341"/>
      <c r="P548" s="340"/>
      <c r="Q548" s="342"/>
      <c r="R548" s="362"/>
      <c r="S548" s="362"/>
      <c r="T548" s="362"/>
      <c r="U548" s="362"/>
      <c r="V548" s="362"/>
      <c r="W548" s="362"/>
      <c r="X548" s="558" t="s">
        <v>1640</v>
      </c>
      <c r="Y548" s="574" t="s">
        <v>1394</v>
      </c>
      <c r="Z548" s="263">
        <v>13</v>
      </c>
      <c r="AA548" s="247"/>
      <c r="AB548" s="271"/>
      <c r="AC548" s="575"/>
      <c r="AD548" s="733">
        <f>AD549</f>
        <v>15321.500000000002</v>
      </c>
      <c r="AE548" s="478">
        <f>AE549</f>
        <v>25000</v>
      </c>
      <c r="AF548" s="478">
        <f>AF549</f>
        <v>25000</v>
      </c>
      <c r="AG548" s="643"/>
      <c r="AH548" s="643"/>
      <c r="AI548" s="455"/>
    </row>
    <row r="549" spans="1:35" s="363" customFormat="1" x14ac:dyDescent="0.25">
      <c r="A549" s="335"/>
      <c r="B549" s="336"/>
      <c r="C549" s="336"/>
      <c r="D549" s="338"/>
      <c r="E549" s="339"/>
      <c r="F549" s="339"/>
      <c r="G549" s="340"/>
      <c r="H549" s="340"/>
      <c r="I549" s="340"/>
      <c r="J549" s="340"/>
      <c r="K549" s="340"/>
      <c r="L549" s="340"/>
      <c r="M549" s="340"/>
      <c r="N549" s="340"/>
      <c r="O549" s="341"/>
      <c r="P549" s="340"/>
      <c r="Q549" s="342"/>
      <c r="R549" s="362"/>
      <c r="S549" s="362"/>
      <c r="T549" s="362"/>
      <c r="U549" s="362"/>
      <c r="V549" s="362"/>
      <c r="W549" s="362"/>
      <c r="X549" s="519" t="s">
        <v>2300</v>
      </c>
      <c r="Y549" s="246" t="s">
        <v>1394</v>
      </c>
      <c r="Z549" s="255">
        <v>13</v>
      </c>
      <c r="AA549" s="235" t="s">
        <v>566</v>
      </c>
      <c r="AB549" s="270"/>
      <c r="AC549" s="238"/>
      <c r="AD549" s="292">
        <f>AD554</f>
        <v>15321.500000000002</v>
      </c>
      <c r="AE549" s="475">
        <f>AE554</f>
        <v>25000</v>
      </c>
      <c r="AF549" s="475">
        <f>AF554</f>
        <v>25000</v>
      </c>
      <c r="AG549" s="643"/>
      <c r="AH549" s="643"/>
      <c r="AI549" s="455"/>
    </row>
    <row r="550" spans="1:35" s="363" customFormat="1" x14ac:dyDescent="0.25">
      <c r="A550" s="335"/>
      <c r="B550" s="336"/>
      <c r="C550" s="336"/>
      <c r="D550" s="338"/>
      <c r="E550" s="339"/>
      <c r="F550" s="339"/>
      <c r="G550" s="340"/>
      <c r="H550" s="340"/>
      <c r="I550" s="340"/>
      <c r="J550" s="340"/>
      <c r="K550" s="340"/>
      <c r="L550" s="340"/>
      <c r="M550" s="340"/>
      <c r="N550" s="340"/>
      <c r="O550" s="341"/>
      <c r="P550" s="340"/>
      <c r="Q550" s="342"/>
      <c r="R550" s="362"/>
      <c r="S550" s="362"/>
      <c r="T550" s="362"/>
      <c r="U550" s="362"/>
      <c r="V550" s="362"/>
      <c r="W550" s="362"/>
      <c r="X550" s="548" t="s">
        <v>1898</v>
      </c>
      <c r="Y550" s="246" t="s">
        <v>1394</v>
      </c>
      <c r="Z550" s="255">
        <v>13</v>
      </c>
      <c r="AA550" s="235" t="s">
        <v>566</v>
      </c>
      <c r="AB550" s="442" t="s">
        <v>1771</v>
      </c>
      <c r="AC550" s="238"/>
      <c r="AD550" s="292">
        <f>AD554</f>
        <v>15321.500000000002</v>
      </c>
      <c r="AE550" s="475">
        <f>AE554</f>
        <v>25000</v>
      </c>
      <c r="AF550" s="475">
        <f>AF554</f>
        <v>25000</v>
      </c>
      <c r="AG550" s="643"/>
      <c r="AH550" s="643"/>
      <c r="AI550" s="455"/>
    </row>
    <row r="551" spans="1:35" s="363" customFormat="1" x14ac:dyDescent="0.25">
      <c r="A551" s="335"/>
      <c r="B551" s="336"/>
      <c r="C551" s="336"/>
      <c r="D551" s="338"/>
      <c r="E551" s="339"/>
      <c r="F551" s="339"/>
      <c r="G551" s="340"/>
      <c r="H551" s="340"/>
      <c r="I551" s="340"/>
      <c r="J551" s="340"/>
      <c r="K551" s="340"/>
      <c r="L551" s="340"/>
      <c r="M551" s="340"/>
      <c r="N551" s="340"/>
      <c r="O551" s="341"/>
      <c r="P551" s="340"/>
      <c r="Q551" s="342"/>
      <c r="R551" s="362"/>
      <c r="S551" s="362"/>
      <c r="T551" s="362"/>
      <c r="U551" s="362"/>
      <c r="V551" s="362"/>
      <c r="W551" s="362"/>
      <c r="X551" s="548" t="s">
        <v>1902</v>
      </c>
      <c r="Y551" s="246" t="s">
        <v>1394</v>
      </c>
      <c r="Z551" s="255">
        <v>13</v>
      </c>
      <c r="AA551" s="235" t="s">
        <v>566</v>
      </c>
      <c r="AB551" s="442" t="s">
        <v>1807</v>
      </c>
      <c r="AC551" s="238"/>
      <c r="AD551" s="292">
        <f t="shared" ref="AD551:AF551" si="138">AD553</f>
        <v>15321.500000000002</v>
      </c>
      <c r="AE551" s="475">
        <f t="shared" si="138"/>
        <v>25000</v>
      </c>
      <c r="AF551" s="475">
        <f t="shared" si="138"/>
        <v>25000</v>
      </c>
      <c r="AG551" s="643"/>
      <c r="AH551" s="643"/>
      <c r="AI551" s="455"/>
    </row>
    <row r="552" spans="1:35" s="363" customFormat="1" x14ac:dyDescent="0.25">
      <c r="A552" s="335"/>
      <c r="B552" s="336"/>
      <c r="C552" s="336"/>
      <c r="D552" s="338"/>
      <c r="E552" s="339"/>
      <c r="F552" s="339"/>
      <c r="G552" s="340"/>
      <c r="H552" s="340"/>
      <c r="I552" s="340"/>
      <c r="J552" s="340"/>
      <c r="K552" s="340"/>
      <c r="L552" s="340"/>
      <c r="M552" s="340"/>
      <c r="N552" s="340"/>
      <c r="O552" s="341"/>
      <c r="P552" s="340"/>
      <c r="Q552" s="342"/>
      <c r="R552" s="362"/>
      <c r="S552" s="362"/>
      <c r="T552" s="362"/>
      <c r="U552" s="362"/>
      <c r="V552" s="362"/>
      <c r="W552" s="362"/>
      <c r="X552" s="529" t="s">
        <v>1903</v>
      </c>
      <c r="Y552" s="246" t="s">
        <v>1394</v>
      </c>
      <c r="Z552" s="255">
        <v>13</v>
      </c>
      <c r="AA552" s="235" t="s">
        <v>566</v>
      </c>
      <c r="AB552" s="442" t="s">
        <v>1904</v>
      </c>
      <c r="AC552" s="238"/>
      <c r="AD552" s="292">
        <f t="shared" ref="AD552:AF552" si="139">AD553</f>
        <v>15321.500000000002</v>
      </c>
      <c r="AE552" s="475">
        <f t="shared" si="139"/>
        <v>25000</v>
      </c>
      <c r="AF552" s="475">
        <f t="shared" si="139"/>
        <v>25000</v>
      </c>
      <c r="AG552" s="643"/>
      <c r="AH552" s="643"/>
      <c r="AI552" s="455"/>
    </row>
    <row r="553" spans="1:35" x14ac:dyDescent="0.25">
      <c r="A553" s="356"/>
      <c r="B553" s="345"/>
      <c r="C553" s="345"/>
      <c r="D553" s="346"/>
      <c r="E553" s="346"/>
      <c r="F553" s="346"/>
      <c r="G553" s="401"/>
      <c r="H553" s="401"/>
      <c r="I553" s="401"/>
      <c r="J553" s="401"/>
      <c r="K553" s="401"/>
      <c r="L553" s="340"/>
      <c r="M553" s="401"/>
      <c r="N553" s="340"/>
      <c r="O553" s="349"/>
      <c r="P553" s="401"/>
      <c r="Q553" s="350"/>
      <c r="R553" s="402"/>
      <c r="S553" s="402"/>
      <c r="T553" s="402"/>
      <c r="U553" s="402"/>
      <c r="V553" s="402"/>
      <c r="W553" s="402"/>
      <c r="X553" s="519" t="s">
        <v>1567</v>
      </c>
      <c r="Y553" s="246" t="s">
        <v>1394</v>
      </c>
      <c r="Z553" s="255">
        <v>13</v>
      </c>
      <c r="AA553" s="235" t="s">
        <v>566</v>
      </c>
      <c r="AB553" s="442" t="s">
        <v>1906</v>
      </c>
      <c r="AC553" s="238">
        <v>700</v>
      </c>
      <c r="AD553" s="292">
        <f t="shared" ref="AD553:AF553" si="140">AD554</f>
        <v>15321.500000000002</v>
      </c>
      <c r="AE553" s="475">
        <f t="shared" si="140"/>
        <v>25000</v>
      </c>
      <c r="AF553" s="475">
        <f t="shared" si="140"/>
        <v>25000</v>
      </c>
      <c r="AG553" s="553"/>
      <c r="AH553" s="553"/>
      <c r="AI553" s="455"/>
    </row>
    <row r="554" spans="1:35" s="370" customFormat="1" x14ac:dyDescent="0.25">
      <c r="A554" s="357"/>
      <c r="B554" s="345"/>
      <c r="C554" s="345"/>
      <c r="D554" s="346"/>
      <c r="E554" s="346"/>
      <c r="F554" s="346"/>
      <c r="G554" s="401"/>
      <c r="H554" s="372"/>
      <c r="I554" s="313"/>
      <c r="J554" s="313"/>
      <c r="K554" s="313"/>
      <c r="L554" s="340"/>
      <c r="M554" s="313"/>
      <c r="N554" s="340"/>
      <c r="O554" s="349"/>
      <c r="P554" s="401"/>
      <c r="Q554" s="350"/>
      <c r="R554" s="351"/>
      <c r="S554" s="354"/>
      <c r="T554" s="354"/>
      <c r="U554" s="354"/>
      <c r="V554" s="354"/>
      <c r="W554" s="372"/>
      <c r="X554" s="519" t="s">
        <v>2255</v>
      </c>
      <c r="Y554" s="246" t="s">
        <v>1394</v>
      </c>
      <c r="Z554" s="255">
        <v>13</v>
      </c>
      <c r="AA554" s="235" t="s">
        <v>566</v>
      </c>
      <c r="AB554" s="442" t="s">
        <v>1906</v>
      </c>
      <c r="AC554" s="238">
        <v>730</v>
      </c>
      <c r="AD554" s="292">
        <f>25000-4699.1-4968.4-11</f>
        <v>15321.500000000002</v>
      </c>
      <c r="AE554" s="475">
        <v>25000</v>
      </c>
      <c r="AF554" s="475">
        <v>25000</v>
      </c>
      <c r="AG554" s="553"/>
      <c r="AH554" s="553"/>
      <c r="AI554" s="455"/>
    </row>
    <row r="555" spans="1:35" ht="18.75" x14ac:dyDescent="0.3">
      <c r="A555" s="335"/>
      <c r="B555" s="345"/>
      <c r="C555" s="313"/>
      <c r="D555" s="313"/>
      <c r="E555" s="313"/>
      <c r="F555" s="313"/>
      <c r="G555" s="313"/>
      <c r="H555" s="361"/>
      <c r="I555" s="358"/>
      <c r="J555" s="358"/>
      <c r="K555" s="358"/>
      <c r="L555" s="358"/>
      <c r="M555" s="358"/>
      <c r="N555" s="358"/>
      <c r="O555" s="349"/>
      <c r="P555" s="303"/>
      <c r="Q555" s="300"/>
      <c r="R555" s="403"/>
      <c r="S555" s="305"/>
      <c r="T555" s="300"/>
      <c r="U555" s="300"/>
      <c r="X555" s="558" t="s">
        <v>1819</v>
      </c>
      <c r="Y555" s="574" t="s">
        <v>192</v>
      </c>
      <c r="Z555" s="264"/>
      <c r="AA555" s="236"/>
      <c r="AB555" s="249"/>
      <c r="AC555" s="576"/>
      <c r="AD555" s="733">
        <f>AD556+AD598+AD589</f>
        <v>12695.4</v>
      </c>
      <c r="AE555" s="733">
        <f t="shared" ref="AE555:AF555" si="141">AE556+AE598+AE589</f>
        <v>11096.4</v>
      </c>
      <c r="AF555" s="733">
        <f t="shared" si="141"/>
        <v>11096.4</v>
      </c>
      <c r="AG555" s="640"/>
      <c r="AH555" s="640"/>
      <c r="AI555" s="455"/>
    </row>
    <row r="556" spans="1:35" s="363" customFormat="1" ht="18.75" x14ac:dyDescent="0.3">
      <c r="A556" s="335"/>
      <c r="B556" s="336"/>
      <c r="C556" s="383"/>
      <c r="D556" s="383"/>
      <c r="E556" s="383"/>
      <c r="F556" s="383"/>
      <c r="G556" s="383"/>
      <c r="H556" s="367"/>
      <c r="I556" s="404"/>
      <c r="J556" s="404"/>
      <c r="K556" s="404"/>
      <c r="L556" s="404"/>
      <c r="M556" s="404"/>
      <c r="N556" s="404"/>
      <c r="O556" s="384"/>
      <c r="P556" s="405"/>
      <c r="Q556" s="367"/>
      <c r="R556" s="403"/>
      <c r="S556" s="406"/>
      <c r="T556" s="367"/>
      <c r="U556" s="367"/>
      <c r="W556" s="367"/>
      <c r="X556" s="558" t="s">
        <v>482</v>
      </c>
      <c r="Y556" s="574" t="s">
        <v>192</v>
      </c>
      <c r="Z556" s="262" t="s">
        <v>566</v>
      </c>
      <c r="AA556" s="248"/>
      <c r="AB556" s="249"/>
      <c r="AC556" s="575"/>
      <c r="AD556" s="733">
        <f>AD557</f>
        <v>12037.1</v>
      </c>
      <c r="AE556" s="478">
        <f>AE557</f>
        <v>10588.1</v>
      </c>
      <c r="AF556" s="478">
        <f>AF557</f>
        <v>10588.1</v>
      </c>
      <c r="AG556" s="640"/>
      <c r="AH556" s="640"/>
      <c r="AI556" s="455"/>
    </row>
    <row r="557" spans="1:35" ht="31.5" x14ac:dyDescent="0.25">
      <c r="A557" s="257" t="s">
        <v>1611</v>
      </c>
      <c r="X557" s="519" t="s">
        <v>560</v>
      </c>
      <c r="Y557" s="246" t="s">
        <v>192</v>
      </c>
      <c r="Z557" s="235" t="s">
        <v>566</v>
      </c>
      <c r="AA557" s="235" t="s">
        <v>193</v>
      </c>
      <c r="AB557" s="271"/>
      <c r="AC557" s="576"/>
      <c r="AD557" s="292">
        <f>AD564+AD570+AD558</f>
        <v>12037.1</v>
      </c>
      <c r="AE557" s="292">
        <f>AE564+AE570+AE558</f>
        <v>10588.1</v>
      </c>
      <c r="AF557" s="292">
        <f>AF564+AF570+AF558</f>
        <v>10588.1</v>
      </c>
      <c r="AG557" s="553"/>
      <c r="AH557" s="553"/>
      <c r="AI557" s="455"/>
    </row>
    <row r="558" spans="1:35" x14ac:dyDescent="0.25">
      <c r="X558" s="520" t="s">
        <v>1998</v>
      </c>
      <c r="Y558" s="246" t="s">
        <v>192</v>
      </c>
      <c r="Z558" s="235" t="s">
        <v>566</v>
      </c>
      <c r="AA558" s="235" t="s">
        <v>193</v>
      </c>
      <c r="AB558" s="442" t="s">
        <v>1774</v>
      </c>
      <c r="AC558" s="576"/>
      <c r="AD558" s="292">
        <f>AD559</f>
        <v>249</v>
      </c>
      <c r="AE558" s="292">
        <f>AE559</f>
        <v>0</v>
      </c>
      <c r="AF558" s="292">
        <f>AF559</f>
        <v>0</v>
      </c>
      <c r="AG558" s="553"/>
      <c r="AH558" s="553"/>
      <c r="AI558" s="455"/>
    </row>
    <row r="559" spans="1:35" x14ac:dyDescent="0.25">
      <c r="X559" s="517" t="s">
        <v>2337</v>
      </c>
      <c r="Y559" s="246" t="s">
        <v>192</v>
      </c>
      <c r="Z559" s="235" t="s">
        <v>566</v>
      </c>
      <c r="AA559" s="235" t="s">
        <v>193</v>
      </c>
      <c r="AB559" s="442" t="s">
        <v>1801</v>
      </c>
      <c r="AC559" s="576"/>
      <c r="AD559" s="292">
        <f t="shared" ref="AD559:AF561" si="142">AD560</f>
        <v>249</v>
      </c>
      <c r="AE559" s="292">
        <f t="shared" si="142"/>
        <v>0</v>
      </c>
      <c r="AF559" s="292">
        <f t="shared" si="142"/>
        <v>0</v>
      </c>
      <c r="AG559" s="553"/>
      <c r="AH559" s="553"/>
      <c r="AI559" s="455"/>
    </row>
    <row r="560" spans="1:35" ht="31.5" x14ac:dyDescent="0.25">
      <c r="X560" s="521" t="s">
        <v>2014</v>
      </c>
      <c r="Y560" s="246" t="s">
        <v>192</v>
      </c>
      <c r="Z560" s="235" t="s">
        <v>566</v>
      </c>
      <c r="AA560" s="235" t="s">
        <v>193</v>
      </c>
      <c r="AB560" s="442" t="s">
        <v>1802</v>
      </c>
      <c r="AC560" s="576"/>
      <c r="AD560" s="292">
        <f t="shared" si="142"/>
        <v>249</v>
      </c>
      <c r="AE560" s="292">
        <f t="shared" si="142"/>
        <v>0</v>
      </c>
      <c r="AF560" s="292">
        <f t="shared" si="142"/>
        <v>0</v>
      </c>
      <c r="AG560" s="553"/>
      <c r="AH560" s="553"/>
      <c r="AI560" s="455"/>
    </row>
    <row r="561" spans="1:35" x14ac:dyDescent="0.25">
      <c r="X561" s="521" t="s">
        <v>2015</v>
      </c>
      <c r="Y561" s="246" t="s">
        <v>192</v>
      </c>
      <c r="Z561" s="235" t="s">
        <v>566</v>
      </c>
      <c r="AA561" s="235" t="s">
        <v>193</v>
      </c>
      <c r="AB561" s="442" t="s">
        <v>2016</v>
      </c>
      <c r="AC561" s="576"/>
      <c r="AD561" s="292">
        <f t="shared" si="142"/>
        <v>249</v>
      </c>
      <c r="AE561" s="292">
        <f t="shared" si="142"/>
        <v>0</v>
      </c>
      <c r="AF561" s="292">
        <f t="shared" si="142"/>
        <v>0</v>
      </c>
      <c r="AG561" s="553"/>
      <c r="AH561" s="553"/>
      <c r="AI561" s="455"/>
    </row>
    <row r="562" spans="1:35" x14ac:dyDescent="0.25">
      <c r="X562" s="519" t="s">
        <v>1781</v>
      </c>
      <c r="Y562" s="246" t="s">
        <v>192</v>
      </c>
      <c r="Z562" s="235" t="s">
        <v>566</v>
      </c>
      <c r="AA562" s="235" t="s">
        <v>193</v>
      </c>
      <c r="AB562" s="442" t="s">
        <v>2016</v>
      </c>
      <c r="AC562" s="238">
        <v>200</v>
      </c>
      <c r="AD562" s="292">
        <f>AD563</f>
        <v>249</v>
      </c>
      <c r="AE562" s="292">
        <f>AE563</f>
        <v>0</v>
      </c>
      <c r="AF562" s="292">
        <f>AF563</f>
        <v>0</v>
      </c>
      <c r="AG562" s="553"/>
      <c r="AH562" s="553"/>
      <c r="AI562" s="455"/>
    </row>
    <row r="563" spans="1:35" ht="31.5" x14ac:dyDescent="0.25">
      <c r="X563" s="519" t="s">
        <v>1273</v>
      </c>
      <c r="Y563" s="246" t="s">
        <v>192</v>
      </c>
      <c r="Z563" s="235" t="s">
        <v>566</v>
      </c>
      <c r="AA563" s="235" t="s">
        <v>193</v>
      </c>
      <c r="AB563" s="442" t="s">
        <v>2016</v>
      </c>
      <c r="AC563" s="576">
        <v>240</v>
      </c>
      <c r="AD563" s="292">
        <v>249</v>
      </c>
      <c r="AE563" s="475">
        <v>0</v>
      </c>
      <c r="AF563" s="475">
        <v>0</v>
      </c>
      <c r="AG563" s="553"/>
      <c r="AH563" s="553"/>
      <c r="AI563" s="455"/>
    </row>
    <row r="564" spans="1:35" ht="31.5" x14ac:dyDescent="0.25">
      <c r="X564" s="520" t="s">
        <v>2102</v>
      </c>
      <c r="Y564" s="246" t="s">
        <v>192</v>
      </c>
      <c r="Z564" s="235" t="s">
        <v>566</v>
      </c>
      <c r="AA564" s="235" t="s">
        <v>193</v>
      </c>
      <c r="AB564" s="442" t="s">
        <v>1805</v>
      </c>
      <c r="AC564" s="238"/>
      <c r="AD564" s="292">
        <f>AD565</f>
        <v>10</v>
      </c>
      <c r="AE564" s="475">
        <f>AE565</f>
        <v>10</v>
      </c>
      <c r="AF564" s="475">
        <f>AF565</f>
        <v>10</v>
      </c>
      <c r="AG564" s="553"/>
      <c r="AH564" s="553"/>
      <c r="AI564" s="455"/>
    </row>
    <row r="565" spans="1:35" ht="47.25" x14ac:dyDescent="0.25">
      <c r="X565" s="520" t="s">
        <v>2103</v>
      </c>
      <c r="Y565" s="246" t="s">
        <v>192</v>
      </c>
      <c r="Z565" s="235" t="s">
        <v>566</v>
      </c>
      <c r="AA565" s="235" t="s">
        <v>193</v>
      </c>
      <c r="AB565" s="442" t="s">
        <v>2104</v>
      </c>
      <c r="AC565" s="238"/>
      <c r="AD565" s="292">
        <f t="shared" ref="AD565:AF568" si="143">AD566</f>
        <v>10</v>
      </c>
      <c r="AE565" s="475">
        <f t="shared" si="143"/>
        <v>10</v>
      </c>
      <c r="AF565" s="475">
        <f t="shared" si="143"/>
        <v>10</v>
      </c>
      <c r="AG565" s="553"/>
      <c r="AH565" s="553"/>
      <c r="AI565" s="455"/>
    </row>
    <row r="566" spans="1:35" ht="31.5" x14ac:dyDescent="0.25">
      <c r="X566" s="528" t="s">
        <v>2105</v>
      </c>
      <c r="Y566" s="246" t="s">
        <v>192</v>
      </c>
      <c r="Z566" s="235" t="s">
        <v>566</v>
      </c>
      <c r="AA566" s="235" t="s">
        <v>193</v>
      </c>
      <c r="AB566" s="442" t="s">
        <v>2106</v>
      </c>
      <c r="AC566" s="238"/>
      <c r="AD566" s="292">
        <f t="shared" si="143"/>
        <v>10</v>
      </c>
      <c r="AE566" s="475">
        <f t="shared" si="143"/>
        <v>10</v>
      </c>
      <c r="AF566" s="475">
        <f t="shared" si="143"/>
        <v>10</v>
      </c>
      <c r="AG566" s="553"/>
      <c r="AH566" s="553"/>
      <c r="AI566" s="455"/>
    </row>
    <row r="567" spans="1:35" ht="94.5" x14ac:dyDescent="0.25">
      <c r="X567" s="528" t="s">
        <v>2242</v>
      </c>
      <c r="Y567" s="246" t="s">
        <v>192</v>
      </c>
      <c r="Z567" s="235" t="s">
        <v>566</v>
      </c>
      <c r="AA567" s="235" t="s">
        <v>193</v>
      </c>
      <c r="AB567" s="471" t="s">
        <v>2107</v>
      </c>
      <c r="AC567" s="238"/>
      <c r="AD567" s="292">
        <f t="shared" si="143"/>
        <v>10</v>
      </c>
      <c r="AE567" s="475">
        <f t="shared" si="143"/>
        <v>10</v>
      </c>
      <c r="AF567" s="475">
        <f t="shared" si="143"/>
        <v>10</v>
      </c>
      <c r="AG567" s="553"/>
      <c r="AH567" s="553"/>
      <c r="AI567" s="455"/>
    </row>
    <row r="568" spans="1:35" x14ac:dyDescent="0.25">
      <c r="A568" s="237"/>
      <c r="B568" s="237"/>
      <c r="C568" s="237"/>
      <c r="D568" s="237"/>
      <c r="E568" s="237"/>
      <c r="F568" s="237"/>
      <c r="G568" s="237"/>
      <c r="H568" s="237"/>
      <c r="I568" s="237"/>
      <c r="J568" s="237"/>
      <c r="K568" s="237"/>
      <c r="L568" s="237"/>
      <c r="M568" s="237"/>
      <c r="N568" s="237"/>
      <c r="O568" s="237"/>
      <c r="P568" s="237"/>
      <c r="R568" s="237"/>
      <c r="S568" s="237"/>
      <c r="W568" s="237"/>
      <c r="X568" s="519" t="s">
        <v>1781</v>
      </c>
      <c r="Y568" s="246" t="s">
        <v>192</v>
      </c>
      <c r="Z568" s="235" t="s">
        <v>566</v>
      </c>
      <c r="AA568" s="235" t="s">
        <v>193</v>
      </c>
      <c r="AB568" s="471" t="s">
        <v>2107</v>
      </c>
      <c r="AC568" s="238">
        <v>200</v>
      </c>
      <c r="AD568" s="292">
        <f t="shared" si="143"/>
        <v>10</v>
      </c>
      <c r="AE568" s="475">
        <f t="shared" si="143"/>
        <v>10</v>
      </c>
      <c r="AF568" s="475">
        <f t="shared" si="143"/>
        <v>10</v>
      </c>
      <c r="AG568" s="553"/>
      <c r="AH568" s="553"/>
      <c r="AI568" s="455"/>
    </row>
    <row r="569" spans="1:35" ht="31.5" x14ac:dyDescent="0.25">
      <c r="A569" s="237"/>
      <c r="B569" s="237"/>
      <c r="C569" s="237"/>
      <c r="D569" s="237"/>
      <c r="E569" s="237"/>
      <c r="F569" s="237"/>
      <c r="G569" s="237"/>
      <c r="H569" s="237"/>
      <c r="I569" s="237"/>
      <c r="J569" s="237"/>
      <c r="K569" s="237"/>
      <c r="L569" s="237"/>
      <c r="M569" s="237"/>
      <c r="N569" s="237"/>
      <c r="O569" s="237"/>
      <c r="P569" s="237"/>
      <c r="R569" s="237"/>
      <c r="S569" s="237"/>
      <c r="W569" s="237"/>
      <c r="X569" s="519" t="s">
        <v>1273</v>
      </c>
      <c r="Y569" s="246" t="s">
        <v>192</v>
      </c>
      <c r="Z569" s="235" t="s">
        <v>566</v>
      </c>
      <c r="AA569" s="235" t="s">
        <v>193</v>
      </c>
      <c r="AB569" s="471" t="s">
        <v>2107</v>
      </c>
      <c r="AC569" s="238">
        <v>240</v>
      </c>
      <c r="AD569" s="292">
        <v>10</v>
      </c>
      <c r="AE569" s="475">
        <v>10</v>
      </c>
      <c r="AF569" s="475">
        <v>10</v>
      </c>
      <c r="AG569" s="553"/>
      <c r="AH569" s="553"/>
      <c r="AI569" s="455"/>
    </row>
    <row r="570" spans="1:35" ht="31.5" x14ac:dyDescent="0.25">
      <c r="A570" s="237"/>
      <c r="B570" s="237"/>
      <c r="C570" s="237"/>
      <c r="D570" s="237"/>
      <c r="E570" s="237"/>
      <c r="F570" s="237"/>
      <c r="G570" s="237"/>
      <c r="H570" s="237"/>
      <c r="I570" s="237"/>
      <c r="J570" s="237"/>
      <c r="K570" s="237"/>
      <c r="L570" s="237"/>
      <c r="M570" s="237"/>
      <c r="N570" s="237"/>
      <c r="O570" s="237"/>
      <c r="P570" s="237"/>
      <c r="R570" s="237"/>
      <c r="S570" s="237"/>
      <c r="W570" s="237"/>
      <c r="X570" s="548" t="s">
        <v>2048</v>
      </c>
      <c r="Y570" s="246" t="s">
        <v>192</v>
      </c>
      <c r="Z570" s="235" t="s">
        <v>566</v>
      </c>
      <c r="AA570" s="235" t="s">
        <v>193</v>
      </c>
      <c r="AB570" s="442" t="s">
        <v>1756</v>
      </c>
      <c r="AC570" s="576"/>
      <c r="AD570" s="292">
        <f>AD571+AD575+AD577</f>
        <v>11778.1</v>
      </c>
      <c r="AE570" s="475">
        <f>AE571+AE575+AE577</f>
        <v>10578.1</v>
      </c>
      <c r="AF570" s="475">
        <f>AF571+AF575+AF577</f>
        <v>10578.1</v>
      </c>
      <c r="AG570" s="553"/>
      <c r="AH570" s="553"/>
      <c r="AI570" s="455"/>
    </row>
    <row r="571" spans="1:35" x14ac:dyDescent="0.25">
      <c r="A571" s="237"/>
      <c r="B571" s="237"/>
      <c r="C571" s="237"/>
      <c r="D571" s="237"/>
      <c r="E571" s="237"/>
      <c r="F571" s="237"/>
      <c r="G571" s="237"/>
      <c r="H571" s="237"/>
      <c r="I571" s="237"/>
      <c r="J571" s="237"/>
      <c r="K571" s="237"/>
      <c r="L571" s="237"/>
      <c r="M571" s="237"/>
      <c r="N571" s="237"/>
      <c r="O571" s="237"/>
      <c r="P571" s="237"/>
      <c r="R571" s="237"/>
      <c r="S571" s="237"/>
      <c r="W571" s="237"/>
      <c r="X571" s="562" t="s">
        <v>2063</v>
      </c>
      <c r="Y571" s="246" t="s">
        <v>192</v>
      </c>
      <c r="Z571" s="235" t="s">
        <v>566</v>
      </c>
      <c r="AA571" s="235" t="s">
        <v>193</v>
      </c>
      <c r="AB571" s="442" t="s">
        <v>2066</v>
      </c>
      <c r="AC571" s="238"/>
      <c r="AD571" s="292">
        <f t="shared" ref="AD571:AF572" si="144">AD572</f>
        <v>2178.4</v>
      </c>
      <c r="AE571" s="475">
        <f t="shared" si="144"/>
        <v>2178.4</v>
      </c>
      <c r="AF571" s="475">
        <f t="shared" si="144"/>
        <v>2178.4</v>
      </c>
      <c r="AG571" s="553"/>
      <c r="AH571" s="553"/>
      <c r="AI571" s="455"/>
    </row>
    <row r="572" spans="1:35" ht="47.25" x14ac:dyDescent="0.25">
      <c r="X572" s="519" t="s">
        <v>921</v>
      </c>
      <c r="Y572" s="246" t="s">
        <v>192</v>
      </c>
      <c r="Z572" s="235" t="s">
        <v>566</v>
      </c>
      <c r="AA572" s="235" t="s">
        <v>193</v>
      </c>
      <c r="AB572" s="442" t="s">
        <v>2066</v>
      </c>
      <c r="AC572" s="576">
        <v>100</v>
      </c>
      <c r="AD572" s="292">
        <f t="shared" si="144"/>
        <v>2178.4</v>
      </c>
      <c r="AE572" s="475">
        <f t="shared" si="144"/>
        <v>2178.4</v>
      </c>
      <c r="AF572" s="475">
        <f t="shared" si="144"/>
        <v>2178.4</v>
      </c>
      <c r="AG572" s="553"/>
      <c r="AH572" s="553"/>
      <c r="AI572" s="455"/>
    </row>
    <row r="573" spans="1:35" x14ac:dyDescent="0.25">
      <c r="X573" s="519" t="s">
        <v>1747</v>
      </c>
      <c r="Y573" s="246" t="s">
        <v>192</v>
      </c>
      <c r="Z573" s="235" t="s">
        <v>566</v>
      </c>
      <c r="AA573" s="235" t="s">
        <v>193</v>
      </c>
      <c r="AB573" s="442" t="s">
        <v>2066</v>
      </c>
      <c r="AC573" s="238">
        <v>120</v>
      </c>
      <c r="AD573" s="292">
        <v>2178.4</v>
      </c>
      <c r="AE573" s="475">
        <v>2178.4</v>
      </c>
      <c r="AF573" s="475">
        <v>2178.4</v>
      </c>
      <c r="AG573" s="553"/>
      <c r="AH573" s="553"/>
      <c r="AI573" s="455"/>
    </row>
    <row r="574" spans="1:35" x14ac:dyDescent="0.25">
      <c r="X574" s="519" t="s">
        <v>2176</v>
      </c>
      <c r="Y574" s="246" t="s">
        <v>192</v>
      </c>
      <c r="Z574" s="235" t="s">
        <v>566</v>
      </c>
      <c r="AA574" s="235" t="s">
        <v>193</v>
      </c>
      <c r="AB574" s="442" t="s">
        <v>2067</v>
      </c>
      <c r="AC574" s="238"/>
      <c r="AD574" s="292">
        <f>AD576</f>
        <v>1765.1</v>
      </c>
      <c r="AE574" s="475">
        <f>AE576</f>
        <v>1765.1</v>
      </c>
      <c r="AF574" s="475">
        <f>AF576</f>
        <v>1765.1</v>
      </c>
      <c r="AG574" s="553"/>
      <c r="AH574" s="553"/>
      <c r="AI574" s="455"/>
    </row>
    <row r="575" spans="1:35" ht="47.25" x14ac:dyDescent="0.25">
      <c r="X575" s="519" t="s">
        <v>921</v>
      </c>
      <c r="Y575" s="246" t="s">
        <v>192</v>
      </c>
      <c r="Z575" s="235" t="s">
        <v>566</v>
      </c>
      <c r="AA575" s="235" t="s">
        <v>193</v>
      </c>
      <c r="AB575" s="442" t="s">
        <v>2067</v>
      </c>
      <c r="AC575" s="576">
        <v>100</v>
      </c>
      <c r="AD575" s="292">
        <f>AD576</f>
        <v>1765.1</v>
      </c>
      <c r="AE575" s="475">
        <f>AE576</f>
        <v>1765.1</v>
      </c>
      <c r="AF575" s="475">
        <f>AF576</f>
        <v>1765.1</v>
      </c>
      <c r="AG575" s="553"/>
      <c r="AH575" s="553"/>
      <c r="AI575" s="455"/>
    </row>
    <row r="576" spans="1:35" x14ac:dyDescent="0.25">
      <c r="X576" s="519" t="s">
        <v>1747</v>
      </c>
      <c r="Y576" s="246" t="s">
        <v>192</v>
      </c>
      <c r="Z576" s="235" t="s">
        <v>566</v>
      </c>
      <c r="AA576" s="235" t="s">
        <v>193</v>
      </c>
      <c r="AB576" s="442" t="s">
        <v>2067</v>
      </c>
      <c r="AC576" s="238">
        <v>120</v>
      </c>
      <c r="AD576" s="292">
        <v>1765.1</v>
      </c>
      <c r="AE576" s="475">
        <v>1765.1</v>
      </c>
      <c r="AF576" s="475">
        <v>1765.1</v>
      </c>
      <c r="AG576" s="553"/>
      <c r="AH576" s="553"/>
      <c r="AI576" s="455"/>
    </row>
    <row r="577" spans="24:35" x14ac:dyDescent="0.25">
      <c r="X577" s="531" t="s">
        <v>2064</v>
      </c>
      <c r="Y577" s="246" t="s">
        <v>192</v>
      </c>
      <c r="Z577" s="235" t="s">
        <v>566</v>
      </c>
      <c r="AA577" s="235" t="s">
        <v>193</v>
      </c>
      <c r="AB577" s="442" t="s">
        <v>2065</v>
      </c>
      <c r="AC577" s="238"/>
      <c r="AD577" s="292">
        <f>AD578+AD583+AD586</f>
        <v>7834.6</v>
      </c>
      <c r="AE577" s="475">
        <f>AE578+AE583+AE586</f>
        <v>6634.6</v>
      </c>
      <c r="AF577" s="475">
        <f>AF578+AF583+AF586</f>
        <v>6634.6</v>
      </c>
      <c r="AG577" s="553"/>
      <c r="AH577" s="553"/>
      <c r="AI577" s="455"/>
    </row>
    <row r="578" spans="24:35" ht="31.5" x14ac:dyDescent="0.25">
      <c r="X578" s="519" t="s">
        <v>2068</v>
      </c>
      <c r="Y578" s="246" t="s">
        <v>192</v>
      </c>
      <c r="Z578" s="235" t="s">
        <v>566</v>
      </c>
      <c r="AA578" s="235" t="s">
        <v>193</v>
      </c>
      <c r="AB578" s="442" t="s">
        <v>2069</v>
      </c>
      <c r="AC578" s="238"/>
      <c r="AD578" s="292">
        <f>AD579+AD581</f>
        <v>1518.1</v>
      </c>
      <c r="AE578" s="292">
        <f>AE579+AE581</f>
        <v>1518.1</v>
      </c>
      <c r="AF578" s="292">
        <f>AF579+AF581</f>
        <v>1518.1</v>
      </c>
      <c r="AG578" s="553"/>
      <c r="AH578" s="553"/>
      <c r="AI578" s="455"/>
    </row>
    <row r="579" spans="24:35" x14ac:dyDescent="0.25">
      <c r="X579" s="519" t="s">
        <v>1781</v>
      </c>
      <c r="Y579" s="246" t="s">
        <v>192</v>
      </c>
      <c r="Z579" s="235" t="s">
        <v>566</v>
      </c>
      <c r="AA579" s="235" t="s">
        <v>193</v>
      </c>
      <c r="AB579" s="442" t="s">
        <v>2069</v>
      </c>
      <c r="AC579" s="238">
        <v>200</v>
      </c>
      <c r="AD579" s="292">
        <f>AD580</f>
        <v>1518</v>
      </c>
      <c r="AE579" s="475">
        <f>AE580</f>
        <v>1518.1</v>
      </c>
      <c r="AF579" s="475">
        <f>AF580</f>
        <v>1518.1</v>
      </c>
      <c r="AG579" s="553"/>
      <c r="AH579" s="553"/>
      <c r="AI579" s="455"/>
    </row>
    <row r="580" spans="24:35" ht="31.5" x14ac:dyDescent="0.25">
      <c r="X580" s="519" t="s">
        <v>1273</v>
      </c>
      <c r="Y580" s="246" t="s">
        <v>192</v>
      </c>
      <c r="Z580" s="235" t="s">
        <v>566</v>
      </c>
      <c r="AA580" s="235" t="s">
        <v>193</v>
      </c>
      <c r="AB580" s="442" t="s">
        <v>2069</v>
      </c>
      <c r="AC580" s="238">
        <v>240</v>
      </c>
      <c r="AD580" s="292">
        <f>1518.1-0.1</f>
        <v>1518</v>
      </c>
      <c r="AE580" s="475">
        <v>1518.1</v>
      </c>
      <c r="AF580" s="475">
        <v>1518.1</v>
      </c>
      <c r="AG580" s="553"/>
      <c r="AH580" s="553"/>
      <c r="AI580" s="455"/>
    </row>
    <row r="581" spans="24:35" x14ac:dyDescent="0.25">
      <c r="X581" s="519" t="s">
        <v>923</v>
      </c>
      <c r="Y581" s="246" t="s">
        <v>192</v>
      </c>
      <c r="Z581" s="235" t="s">
        <v>566</v>
      </c>
      <c r="AA581" s="235" t="s">
        <v>193</v>
      </c>
      <c r="AB581" s="442" t="s">
        <v>2069</v>
      </c>
      <c r="AC581" s="238">
        <v>800</v>
      </c>
      <c r="AD581" s="292">
        <f>AD582</f>
        <v>0.1</v>
      </c>
      <c r="AE581" s="292">
        <f>AE582</f>
        <v>0</v>
      </c>
      <c r="AF581" s="292">
        <f>AF582</f>
        <v>0</v>
      </c>
      <c r="AG581" s="553"/>
      <c r="AH581" s="553"/>
      <c r="AI581" s="455"/>
    </row>
    <row r="582" spans="24:35" x14ac:dyDescent="0.25">
      <c r="X582" s="519" t="s">
        <v>1319</v>
      </c>
      <c r="Y582" s="246" t="s">
        <v>192</v>
      </c>
      <c r="Z582" s="235" t="s">
        <v>566</v>
      </c>
      <c r="AA582" s="235" t="s">
        <v>193</v>
      </c>
      <c r="AB582" s="442" t="s">
        <v>2069</v>
      </c>
      <c r="AC582" s="238">
        <v>850</v>
      </c>
      <c r="AD582" s="292">
        <v>0.1</v>
      </c>
      <c r="AE582" s="475">
        <v>0</v>
      </c>
      <c r="AF582" s="475">
        <v>0</v>
      </c>
      <c r="AG582" s="553"/>
      <c r="AH582" s="553"/>
      <c r="AI582" s="455"/>
    </row>
    <row r="583" spans="24:35" ht="47.25" x14ac:dyDescent="0.25">
      <c r="X583" s="519" t="s">
        <v>2072</v>
      </c>
      <c r="Y583" s="246" t="s">
        <v>192</v>
      </c>
      <c r="Z583" s="235" t="s">
        <v>566</v>
      </c>
      <c r="AA583" s="235" t="s">
        <v>193</v>
      </c>
      <c r="AB583" s="442" t="s">
        <v>2070</v>
      </c>
      <c r="AC583" s="238"/>
      <c r="AD583" s="292">
        <f t="shared" ref="AD583:AF584" si="145">AD584</f>
        <v>2961</v>
      </c>
      <c r="AE583" s="475">
        <f t="shared" si="145"/>
        <v>2961</v>
      </c>
      <c r="AF583" s="475">
        <f t="shared" si="145"/>
        <v>2961</v>
      </c>
      <c r="AG583" s="553"/>
      <c r="AH583" s="553"/>
      <c r="AI583" s="455"/>
    </row>
    <row r="584" spans="24:35" ht="47.25" x14ac:dyDescent="0.25">
      <c r="X584" s="519" t="s">
        <v>921</v>
      </c>
      <c r="Y584" s="246" t="s">
        <v>192</v>
      </c>
      <c r="Z584" s="235" t="s">
        <v>566</v>
      </c>
      <c r="AA584" s="235" t="s">
        <v>193</v>
      </c>
      <c r="AB584" s="442" t="s">
        <v>2070</v>
      </c>
      <c r="AC584" s="576">
        <v>100</v>
      </c>
      <c r="AD584" s="292">
        <f t="shared" si="145"/>
        <v>2961</v>
      </c>
      <c r="AE584" s="475">
        <f t="shared" si="145"/>
        <v>2961</v>
      </c>
      <c r="AF584" s="475">
        <f t="shared" si="145"/>
        <v>2961</v>
      </c>
      <c r="AG584" s="553"/>
      <c r="AH584" s="553"/>
      <c r="AI584" s="455"/>
    </row>
    <row r="585" spans="24:35" x14ac:dyDescent="0.25">
      <c r="X585" s="519" t="s">
        <v>1747</v>
      </c>
      <c r="Y585" s="246" t="s">
        <v>192</v>
      </c>
      <c r="Z585" s="235" t="s">
        <v>566</v>
      </c>
      <c r="AA585" s="235" t="s">
        <v>193</v>
      </c>
      <c r="AB585" s="442" t="s">
        <v>2070</v>
      </c>
      <c r="AC585" s="238">
        <v>120</v>
      </c>
      <c r="AD585" s="292">
        <v>2961</v>
      </c>
      <c r="AE585" s="475">
        <v>2961</v>
      </c>
      <c r="AF585" s="475">
        <v>2961</v>
      </c>
      <c r="AG585" s="553"/>
      <c r="AH585" s="553"/>
      <c r="AI585" s="455"/>
    </row>
    <row r="586" spans="24:35" ht="31.5" x14ac:dyDescent="0.25">
      <c r="X586" s="519" t="s">
        <v>2073</v>
      </c>
      <c r="Y586" s="246" t="s">
        <v>192</v>
      </c>
      <c r="Z586" s="235" t="s">
        <v>566</v>
      </c>
      <c r="AA586" s="235" t="s">
        <v>193</v>
      </c>
      <c r="AB586" s="442" t="s">
        <v>2071</v>
      </c>
      <c r="AC586" s="238"/>
      <c r="AD586" s="292">
        <f t="shared" ref="AD586:AF587" si="146">AD587</f>
        <v>3355.5</v>
      </c>
      <c r="AE586" s="475">
        <f t="shared" si="146"/>
        <v>2155.5</v>
      </c>
      <c r="AF586" s="475">
        <f t="shared" si="146"/>
        <v>2155.5</v>
      </c>
      <c r="AG586" s="553"/>
      <c r="AH586" s="553"/>
      <c r="AI586" s="455"/>
    </row>
    <row r="587" spans="24:35" ht="47.25" x14ac:dyDescent="0.25">
      <c r="X587" s="519" t="s">
        <v>921</v>
      </c>
      <c r="Y587" s="246" t="s">
        <v>192</v>
      </c>
      <c r="Z587" s="235" t="s">
        <v>566</v>
      </c>
      <c r="AA587" s="235" t="s">
        <v>193</v>
      </c>
      <c r="AB587" s="442" t="s">
        <v>2071</v>
      </c>
      <c r="AC587" s="576">
        <v>100</v>
      </c>
      <c r="AD587" s="292">
        <f t="shared" si="146"/>
        <v>3355.5</v>
      </c>
      <c r="AE587" s="475">
        <f t="shared" si="146"/>
        <v>2155.5</v>
      </c>
      <c r="AF587" s="475">
        <f t="shared" si="146"/>
        <v>2155.5</v>
      </c>
      <c r="AG587" s="553"/>
      <c r="AH587" s="553"/>
      <c r="AI587" s="455"/>
    </row>
    <row r="588" spans="24:35" x14ac:dyDescent="0.25">
      <c r="X588" s="519" t="s">
        <v>1747</v>
      </c>
      <c r="Y588" s="246" t="s">
        <v>192</v>
      </c>
      <c r="Z588" s="235" t="s">
        <v>566</v>
      </c>
      <c r="AA588" s="235" t="s">
        <v>193</v>
      </c>
      <c r="AB588" s="442" t="s">
        <v>2071</v>
      </c>
      <c r="AC588" s="238">
        <v>120</v>
      </c>
      <c r="AD588" s="292">
        <f>2155.5+1200</f>
        <v>3355.5</v>
      </c>
      <c r="AE588" s="475">
        <v>2155.5</v>
      </c>
      <c r="AF588" s="475">
        <v>2155.5</v>
      </c>
      <c r="AG588" s="553"/>
      <c r="AH588" s="553"/>
      <c r="AI588" s="455"/>
    </row>
    <row r="589" spans="24:35" x14ac:dyDescent="0.25">
      <c r="X589" s="558" t="s">
        <v>403</v>
      </c>
      <c r="Y589" s="574" t="s">
        <v>192</v>
      </c>
      <c r="Z589" s="247" t="s">
        <v>290</v>
      </c>
      <c r="AA589" s="248"/>
      <c r="AB589" s="271"/>
      <c r="AC589" s="575"/>
      <c r="AD589" s="292">
        <f t="shared" ref="AD589:AD596" si="147">AD590</f>
        <v>150</v>
      </c>
      <c r="AE589" s="292">
        <f t="shared" ref="AE589:AF589" si="148">AE590</f>
        <v>0</v>
      </c>
      <c r="AF589" s="292">
        <f t="shared" si="148"/>
        <v>0</v>
      </c>
      <c r="AG589" s="553"/>
      <c r="AH589" s="553"/>
      <c r="AI589" s="455"/>
    </row>
    <row r="590" spans="24:35" x14ac:dyDescent="0.25">
      <c r="X590" s="519" t="s">
        <v>1402</v>
      </c>
      <c r="Y590" s="246" t="s">
        <v>192</v>
      </c>
      <c r="Z590" s="235" t="s">
        <v>290</v>
      </c>
      <c r="AA590" s="235" t="s">
        <v>566</v>
      </c>
      <c r="AB590" s="249"/>
      <c r="AC590" s="576"/>
      <c r="AD590" s="292">
        <f t="shared" si="147"/>
        <v>150</v>
      </c>
      <c r="AE590" s="292">
        <f t="shared" ref="AE590:AF590" si="149">AE591</f>
        <v>0</v>
      </c>
      <c r="AF590" s="292">
        <f t="shared" si="149"/>
        <v>0</v>
      </c>
      <c r="AG590" s="553"/>
      <c r="AH590" s="553"/>
      <c r="AI590" s="455"/>
    </row>
    <row r="591" spans="24:35" x14ac:dyDescent="0.25">
      <c r="X591" s="520" t="s">
        <v>1998</v>
      </c>
      <c r="Y591" s="246" t="s">
        <v>192</v>
      </c>
      <c r="Z591" s="235" t="s">
        <v>290</v>
      </c>
      <c r="AA591" s="235" t="s">
        <v>566</v>
      </c>
      <c r="AB591" s="442" t="s">
        <v>1774</v>
      </c>
      <c r="AC591" s="576"/>
      <c r="AD591" s="292">
        <f t="shared" si="147"/>
        <v>150</v>
      </c>
      <c r="AE591" s="292">
        <f t="shared" ref="AE591:AF591" si="150">AE592</f>
        <v>0</v>
      </c>
      <c r="AF591" s="292">
        <f t="shared" si="150"/>
        <v>0</v>
      </c>
      <c r="AG591" s="553"/>
      <c r="AH591" s="553"/>
      <c r="AI591" s="455"/>
    </row>
    <row r="592" spans="24:35" ht="31.5" x14ac:dyDescent="0.25">
      <c r="X592" s="520" t="s">
        <v>2338</v>
      </c>
      <c r="Y592" s="246" t="s">
        <v>192</v>
      </c>
      <c r="Z592" s="235" t="s">
        <v>290</v>
      </c>
      <c r="AA592" s="235" t="s">
        <v>566</v>
      </c>
      <c r="AB592" s="442" t="s">
        <v>2006</v>
      </c>
      <c r="AC592" s="238"/>
      <c r="AD592" s="292">
        <f t="shared" si="147"/>
        <v>150</v>
      </c>
      <c r="AE592" s="292">
        <f t="shared" ref="AE592:AF592" si="151">AE593</f>
        <v>0</v>
      </c>
      <c r="AF592" s="292">
        <f t="shared" si="151"/>
        <v>0</v>
      </c>
      <c r="AG592" s="553"/>
      <c r="AH592" s="553"/>
      <c r="AI592" s="455"/>
    </row>
    <row r="593" spans="1:35" ht="31.5" x14ac:dyDescent="0.25">
      <c r="X593" s="520" t="s">
        <v>2339</v>
      </c>
      <c r="Y593" s="246" t="s">
        <v>192</v>
      </c>
      <c r="Z593" s="235" t="s">
        <v>290</v>
      </c>
      <c r="AA593" s="235" t="s">
        <v>566</v>
      </c>
      <c r="AB593" s="442" t="s">
        <v>2007</v>
      </c>
      <c r="AC593" s="238"/>
      <c r="AD593" s="292">
        <f t="shared" si="147"/>
        <v>150</v>
      </c>
      <c r="AE593" s="292">
        <f t="shared" ref="AE593:AF593" si="152">AE594</f>
        <v>0</v>
      </c>
      <c r="AF593" s="292">
        <f t="shared" si="152"/>
        <v>0</v>
      </c>
      <c r="AG593" s="553"/>
      <c r="AH593" s="553"/>
      <c r="AI593" s="455"/>
    </row>
    <row r="594" spans="1:35" x14ac:dyDescent="0.25">
      <c r="X594" s="559" t="s">
        <v>2008</v>
      </c>
      <c r="Y594" s="246" t="s">
        <v>192</v>
      </c>
      <c r="Z594" s="235" t="s">
        <v>290</v>
      </c>
      <c r="AA594" s="235" t="s">
        <v>566</v>
      </c>
      <c r="AB594" s="442" t="s">
        <v>2009</v>
      </c>
      <c r="AC594" s="238"/>
      <c r="AD594" s="292">
        <f t="shared" si="147"/>
        <v>150</v>
      </c>
      <c r="AE594" s="292">
        <f t="shared" ref="AE594:AF594" si="153">AE595</f>
        <v>0</v>
      </c>
      <c r="AF594" s="292">
        <f t="shared" si="153"/>
        <v>0</v>
      </c>
      <c r="AG594" s="553"/>
      <c r="AH594" s="553"/>
      <c r="AI594" s="455"/>
    </row>
    <row r="595" spans="1:35" ht="31.5" x14ac:dyDescent="0.25">
      <c r="X595" s="519" t="s">
        <v>2010</v>
      </c>
      <c r="Y595" s="246" t="s">
        <v>192</v>
      </c>
      <c r="Z595" s="235" t="s">
        <v>290</v>
      </c>
      <c r="AA595" s="235" t="s">
        <v>566</v>
      </c>
      <c r="AB595" s="442" t="s">
        <v>2011</v>
      </c>
      <c r="AC595" s="238"/>
      <c r="AD595" s="292">
        <f t="shared" si="147"/>
        <v>150</v>
      </c>
      <c r="AE595" s="292">
        <f t="shared" ref="AE595:AF595" si="154">AE596</f>
        <v>0</v>
      </c>
      <c r="AF595" s="292">
        <f t="shared" si="154"/>
        <v>0</v>
      </c>
      <c r="AG595" s="553"/>
      <c r="AH595" s="553"/>
      <c r="AI595" s="455"/>
    </row>
    <row r="596" spans="1:35" x14ac:dyDescent="0.25">
      <c r="X596" s="523" t="s">
        <v>1781</v>
      </c>
      <c r="Y596" s="246" t="s">
        <v>192</v>
      </c>
      <c r="Z596" s="235" t="s">
        <v>290</v>
      </c>
      <c r="AA596" s="235" t="s">
        <v>566</v>
      </c>
      <c r="AB596" s="442" t="s">
        <v>2011</v>
      </c>
      <c r="AC596" s="238">
        <v>200</v>
      </c>
      <c r="AD596" s="292">
        <f t="shared" si="147"/>
        <v>150</v>
      </c>
      <c r="AE596" s="292">
        <f t="shared" ref="AE596:AF596" si="155">AE597</f>
        <v>0</v>
      </c>
      <c r="AF596" s="292">
        <f t="shared" si="155"/>
        <v>0</v>
      </c>
      <c r="AG596" s="553"/>
      <c r="AH596" s="553"/>
      <c r="AI596" s="455"/>
    </row>
    <row r="597" spans="1:35" ht="31.5" x14ac:dyDescent="0.25">
      <c r="X597" s="523" t="s">
        <v>1273</v>
      </c>
      <c r="Y597" s="246" t="s">
        <v>192</v>
      </c>
      <c r="Z597" s="235" t="s">
        <v>290</v>
      </c>
      <c r="AA597" s="235" t="s">
        <v>566</v>
      </c>
      <c r="AB597" s="442" t="s">
        <v>2011</v>
      </c>
      <c r="AC597" s="238">
        <v>240</v>
      </c>
      <c r="AD597" s="292">
        <v>150</v>
      </c>
      <c r="AE597" s="475">
        <v>0</v>
      </c>
      <c r="AF597" s="475">
        <v>0</v>
      </c>
      <c r="AG597" s="553"/>
      <c r="AH597" s="553"/>
      <c r="AI597" s="455"/>
    </row>
    <row r="598" spans="1:35" x14ac:dyDescent="0.25">
      <c r="X598" s="558" t="s">
        <v>1745</v>
      </c>
      <c r="Y598" s="574" t="s">
        <v>192</v>
      </c>
      <c r="Z598" s="247" t="s">
        <v>768</v>
      </c>
      <c r="AA598" s="248"/>
      <c r="AB598" s="271"/>
      <c r="AC598" s="575"/>
      <c r="AD598" s="733">
        <f t="shared" ref="AD598:AF604" si="156">AD599</f>
        <v>508.3</v>
      </c>
      <c r="AE598" s="478">
        <f t="shared" si="156"/>
        <v>508.3</v>
      </c>
      <c r="AF598" s="478">
        <f t="shared" si="156"/>
        <v>508.3</v>
      </c>
      <c r="AG598" s="640"/>
      <c r="AH598" s="640"/>
      <c r="AI598" s="455"/>
    </row>
    <row r="599" spans="1:35" x14ac:dyDescent="0.25">
      <c r="X599" s="519" t="s">
        <v>1312</v>
      </c>
      <c r="Y599" s="246" t="s">
        <v>192</v>
      </c>
      <c r="Z599" s="235">
        <v>10</v>
      </c>
      <c r="AA599" s="235" t="s">
        <v>566</v>
      </c>
      <c r="AB599" s="249"/>
      <c r="AC599" s="588"/>
      <c r="AD599" s="292">
        <f t="shared" ref="AD599:AF601" si="157">AD600</f>
        <v>508.3</v>
      </c>
      <c r="AE599" s="475">
        <f t="shared" si="157"/>
        <v>508.3</v>
      </c>
      <c r="AF599" s="475">
        <f t="shared" si="157"/>
        <v>508.3</v>
      </c>
      <c r="AG599" s="553"/>
      <c r="AH599" s="553"/>
      <c r="AI599" s="455"/>
    </row>
    <row r="600" spans="1:35" x14ac:dyDescent="0.25">
      <c r="X600" s="548" t="s">
        <v>2074</v>
      </c>
      <c r="Y600" s="246" t="s">
        <v>192</v>
      </c>
      <c r="Z600" s="235">
        <v>10</v>
      </c>
      <c r="AA600" s="235" t="s">
        <v>566</v>
      </c>
      <c r="AB600" s="442" t="s">
        <v>1768</v>
      </c>
      <c r="AC600" s="588"/>
      <c r="AD600" s="292">
        <f t="shared" si="157"/>
        <v>508.3</v>
      </c>
      <c r="AE600" s="475">
        <f t="shared" si="157"/>
        <v>508.3</v>
      </c>
      <c r="AF600" s="475">
        <f t="shared" si="157"/>
        <v>508.3</v>
      </c>
      <c r="AG600" s="553"/>
      <c r="AH600" s="553"/>
      <c r="AI600" s="455"/>
    </row>
    <row r="601" spans="1:35" x14ac:dyDescent="0.25">
      <c r="X601" s="524" t="s">
        <v>2075</v>
      </c>
      <c r="Y601" s="246" t="s">
        <v>192</v>
      </c>
      <c r="Z601" s="235">
        <v>10</v>
      </c>
      <c r="AA601" s="235" t="s">
        <v>566</v>
      </c>
      <c r="AB601" s="442" t="s">
        <v>1779</v>
      </c>
      <c r="AC601" s="588"/>
      <c r="AD601" s="292">
        <f t="shared" si="157"/>
        <v>508.3</v>
      </c>
      <c r="AE601" s="475">
        <f t="shared" si="157"/>
        <v>508.3</v>
      </c>
      <c r="AF601" s="475">
        <f t="shared" si="157"/>
        <v>508.3</v>
      </c>
      <c r="AG601" s="553"/>
      <c r="AH601" s="553"/>
      <c r="AI601" s="455"/>
    </row>
    <row r="602" spans="1:35" ht="31.5" x14ac:dyDescent="0.25">
      <c r="X602" s="548" t="s">
        <v>2081</v>
      </c>
      <c r="Y602" s="246" t="s">
        <v>192</v>
      </c>
      <c r="Z602" s="235">
        <v>10</v>
      </c>
      <c r="AA602" s="235" t="s">
        <v>566</v>
      </c>
      <c r="AB602" s="442" t="s">
        <v>2082</v>
      </c>
      <c r="AC602" s="588"/>
      <c r="AD602" s="292">
        <f t="shared" si="156"/>
        <v>508.3</v>
      </c>
      <c r="AE602" s="475">
        <f t="shared" si="156"/>
        <v>508.3</v>
      </c>
      <c r="AF602" s="475">
        <f t="shared" si="156"/>
        <v>508.3</v>
      </c>
      <c r="AG602" s="553"/>
      <c r="AH602" s="553"/>
      <c r="AI602" s="455"/>
    </row>
    <row r="603" spans="1:35" ht="31.5" x14ac:dyDescent="0.25">
      <c r="X603" s="529" t="s">
        <v>2083</v>
      </c>
      <c r="Y603" s="246" t="s">
        <v>192</v>
      </c>
      <c r="Z603" s="235">
        <v>10</v>
      </c>
      <c r="AA603" s="235" t="s">
        <v>566</v>
      </c>
      <c r="AB603" s="442" t="s">
        <v>2084</v>
      </c>
      <c r="AC603" s="588"/>
      <c r="AD603" s="292">
        <f t="shared" si="156"/>
        <v>508.3</v>
      </c>
      <c r="AE603" s="475">
        <f t="shared" si="156"/>
        <v>508.3</v>
      </c>
      <c r="AF603" s="475">
        <f t="shared" si="156"/>
        <v>508.3</v>
      </c>
      <c r="AG603" s="553"/>
      <c r="AH603" s="553"/>
      <c r="AI603" s="455"/>
    </row>
    <row r="604" spans="1:35" x14ac:dyDescent="0.25">
      <c r="X604" s="519" t="s">
        <v>1754</v>
      </c>
      <c r="Y604" s="246" t="s">
        <v>192</v>
      </c>
      <c r="Z604" s="235">
        <v>10</v>
      </c>
      <c r="AA604" s="235" t="s">
        <v>566</v>
      </c>
      <c r="AB604" s="442" t="s">
        <v>2084</v>
      </c>
      <c r="AC604" s="238">
        <v>300</v>
      </c>
      <c r="AD604" s="292">
        <f t="shared" si="156"/>
        <v>508.3</v>
      </c>
      <c r="AE604" s="475">
        <f t="shared" si="156"/>
        <v>508.3</v>
      </c>
      <c r="AF604" s="475">
        <f t="shared" si="156"/>
        <v>508.3</v>
      </c>
      <c r="AG604" s="553"/>
      <c r="AH604" s="553"/>
      <c r="AI604" s="455"/>
    </row>
    <row r="605" spans="1:35" x14ac:dyDescent="0.25">
      <c r="X605" s="519" t="s">
        <v>868</v>
      </c>
      <c r="Y605" s="246" t="s">
        <v>192</v>
      </c>
      <c r="Z605" s="235">
        <v>10</v>
      </c>
      <c r="AA605" s="235" t="s">
        <v>566</v>
      </c>
      <c r="AB605" s="442" t="s">
        <v>2084</v>
      </c>
      <c r="AC605" s="238">
        <v>320</v>
      </c>
      <c r="AD605" s="292">
        <v>508.3</v>
      </c>
      <c r="AE605" s="475">
        <v>508.3</v>
      </c>
      <c r="AF605" s="475">
        <v>508.3</v>
      </c>
      <c r="AG605" s="553"/>
      <c r="AH605" s="553"/>
      <c r="AI605" s="455"/>
    </row>
    <row r="606" spans="1:35" s="410" customFormat="1" ht="18.75" x14ac:dyDescent="0.3">
      <c r="A606" s="407"/>
      <c r="B606" s="408"/>
      <c r="C606" s="409"/>
      <c r="D606" s="409"/>
      <c r="E606" s="409"/>
      <c r="F606" s="409"/>
      <c r="G606" s="409"/>
      <c r="I606" s="409"/>
      <c r="J606" s="409"/>
      <c r="K606" s="409"/>
      <c r="L606" s="409"/>
      <c r="M606" s="409"/>
      <c r="N606" s="409"/>
      <c r="O606" s="411"/>
      <c r="P606" s="412"/>
      <c r="R606" s="413"/>
      <c r="S606" s="411"/>
      <c r="W606" s="414"/>
      <c r="X606" s="558" t="s">
        <v>1612</v>
      </c>
      <c r="Y606" s="574" t="s">
        <v>539</v>
      </c>
      <c r="Z606" s="264"/>
      <c r="AA606" s="265"/>
      <c r="AB606" s="277"/>
      <c r="AC606" s="585"/>
      <c r="AD606" s="733">
        <f>AD607+AD636</f>
        <v>18003.3</v>
      </c>
      <c r="AE606" s="478">
        <f>AE607+AE636</f>
        <v>17903</v>
      </c>
      <c r="AF606" s="478">
        <f>AF607+AF636</f>
        <v>17903</v>
      </c>
      <c r="AG606" s="640"/>
      <c r="AH606" s="640"/>
      <c r="AI606" s="455"/>
    </row>
    <row r="607" spans="1:35" s="418" customFormat="1" ht="18.75" x14ac:dyDescent="0.3">
      <c r="A607" s="415"/>
      <c r="B607" s="416"/>
      <c r="C607" s="417"/>
      <c r="D607" s="417"/>
      <c r="E607" s="417"/>
      <c r="F607" s="417"/>
      <c r="G607" s="417"/>
      <c r="I607" s="417"/>
      <c r="J607" s="417"/>
      <c r="K607" s="417"/>
      <c r="L607" s="417"/>
      <c r="M607" s="417"/>
      <c r="N607" s="417"/>
      <c r="O607" s="419"/>
      <c r="P607" s="420"/>
      <c r="R607" s="421"/>
      <c r="S607" s="419"/>
      <c r="W607" s="422"/>
      <c r="X607" s="558" t="s">
        <v>482</v>
      </c>
      <c r="Y607" s="574" t="s">
        <v>539</v>
      </c>
      <c r="Z607" s="262" t="s">
        <v>566</v>
      </c>
      <c r="AA607" s="266"/>
      <c r="AB607" s="278"/>
      <c r="AC607" s="594"/>
      <c r="AD607" s="733">
        <f>AD608</f>
        <v>17158.2</v>
      </c>
      <c r="AE607" s="478">
        <f>AE608</f>
        <v>17057.900000000001</v>
      </c>
      <c r="AF607" s="478">
        <f>AF608</f>
        <v>17057.900000000001</v>
      </c>
      <c r="AG607" s="640"/>
      <c r="AH607" s="640"/>
      <c r="AI607" s="455"/>
    </row>
    <row r="608" spans="1:35" ht="31.5" x14ac:dyDescent="0.25">
      <c r="X608" s="519" t="s">
        <v>1469</v>
      </c>
      <c r="Y608" s="246" t="s">
        <v>539</v>
      </c>
      <c r="Z608" s="235" t="s">
        <v>566</v>
      </c>
      <c r="AA608" s="235" t="s">
        <v>1746</v>
      </c>
      <c r="AB608" s="270"/>
      <c r="AC608" s="238"/>
      <c r="AD608" s="292">
        <f>AD615+AD609+AD630</f>
        <v>17158.2</v>
      </c>
      <c r="AE608" s="475">
        <f>AE615+AE609+AE630</f>
        <v>17057.900000000001</v>
      </c>
      <c r="AF608" s="475">
        <f>AF615+AF609+AF630</f>
        <v>17057.900000000001</v>
      </c>
      <c r="AG608" s="553"/>
      <c r="AH608" s="553"/>
      <c r="AI608" s="455"/>
    </row>
    <row r="609" spans="1:35" x14ac:dyDescent="0.25">
      <c r="X609" s="520" t="s">
        <v>1998</v>
      </c>
      <c r="Y609" s="246" t="s">
        <v>539</v>
      </c>
      <c r="Z609" s="235" t="s">
        <v>566</v>
      </c>
      <c r="AA609" s="235" t="s">
        <v>1746</v>
      </c>
      <c r="AB609" s="442" t="s">
        <v>1774</v>
      </c>
      <c r="AC609" s="576"/>
      <c r="AD609" s="292">
        <f t="shared" ref="AD609:AF610" si="158">AD610</f>
        <v>100.3</v>
      </c>
      <c r="AE609" s="475">
        <f t="shared" si="158"/>
        <v>0</v>
      </c>
      <c r="AF609" s="475">
        <f t="shared" si="158"/>
        <v>0</v>
      </c>
      <c r="AG609" s="553"/>
      <c r="AH609" s="553"/>
      <c r="AI609" s="455"/>
    </row>
    <row r="610" spans="1:35" x14ac:dyDescent="0.25">
      <c r="X610" s="517" t="s">
        <v>2337</v>
      </c>
      <c r="Y610" s="246" t="s">
        <v>539</v>
      </c>
      <c r="Z610" s="235" t="s">
        <v>566</v>
      </c>
      <c r="AA610" s="235" t="s">
        <v>1746</v>
      </c>
      <c r="AB610" s="442" t="s">
        <v>1801</v>
      </c>
      <c r="AC610" s="576"/>
      <c r="AD610" s="292">
        <f t="shared" si="158"/>
        <v>100.3</v>
      </c>
      <c r="AE610" s="475">
        <f t="shared" si="158"/>
        <v>0</v>
      </c>
      <c r="AF610" s="475">
        <f t="shared" si="158"/>
        <v>0</v>
      </c>
      <c r="AG610" s="553"/>
      <c r="AH610" s="553"/>
      <c r="AI610" s="455"/>
    </row>
    <row r="611" spans="1:35" ht="31.5" x14ac:dyDescent="0.25">
      <c r="X611" s="521" t="s">
        <v>2014</v>
      </c>
      <c r="Y611" s="246" t="s">
        <v>539</v>
      </c>
      <c r="Z611" s="235" t="s">
        <v>566</v>
      </c>
      <c r="AA611" s="235" t="s">
        <v>1746</v>
      </c>
      <c r="AB611" s="442" t="s">
        <v>1802</v>
      </c>
      <c r="AC611" s="576"/>
      <c r="AD611" s="292">
        <f t="shared" ref="AD611:AF612" si="159">AD612</f>
        <v>100.3</v>
      </c>
      <c r="AE611" s="475">
        <f t="shared" si="159"/>
        <v>0</v>
      </c>
      <c r="AF611" s="475">
        <f t="shared" si="159"/>
        <v>0</v>
      </c>
      <c r="AG611" s="553"/>
      <c r="AH611" s="553"/>
      <c r="AI611" s="455"/>
    </row>
    <row r="612" spans="1:35" x14ac:dyDescent="0.25">
      <c r="X612" s="521" t="s">
        <v>2015</v>
      </c>
      <c r="Y612" s="246" t="s">
        <v>539</v>
      </c>
      <c r="Z612" s="235" t="s">
        <v>566</v>
      </c>
      <c r="AA612" s="235" t="s">
        <v>1746</v>
      </c>
      <c r="AB612" s="442" t="s">
        <v>2016</v>
      </c>
      <c r="AC612" s="576"/>
      <c r="AD612" s="292">
        <f t="shared" si="159"/>
        <v>100.3</v>
      </c>
      <c r="AE612" s="475">
        <f t="shared" si="159"/>
        <v>0</v>
      </c>
      <c r="AF612" s="475">
        <f t="shared" si="159"/>
        <v>0</v>
      </c>
      <c r="AG612" s="553"/>
      <c r="AH612" s="553"/>
      <c r="AI612" s="455"/>
    </row>
    <row r="613" spans="1:35" x14ac:dyDescent="0.25">
      <c r="X613" s="519" t="s">
        <v>1781</v>
      </c>
      <c r="Y613" s="246" t="s">
        <v>539</v>
      </c>
      <c r="Z613" s="235" t="s">
        <v>566</v>
      </c>
      <c r="AA613" s="235" t="s">
        <v>1746</v>
      </c>
      <c r="AB613" s="442" t="s">
        <v>2016</v>
      </c>
      <c r="AC613" s="238">
        <v>200</v>
      </c>
      <c r="AD613" s="292">
        <f>AD614</f>
        <v>100.3</v>
      </c>
      <c r="AE613" s="475">
        <f>AE614</f>
        <v>0</v>
      </c>
      <c r="AF613" s="475">
        <f>AF614</f>
        <v>0</v>
      </c>
      <c r="AG613" s="553"/>
      <c r="AH613" s="553"/>
      <c r="AI613" s="455"/>
    </row>
    <row r="614" spans="1:35" ht="31.5" x14ac:dyDescent="0.25">
      <c r="X614" s="519" t="s">
        <v>1273</v>
      </c>
      <c r="Y614" s="246" t="s">
        <v>539</v>
      </c>
      <c r="Z614" s="235" t="s">
        <v>566</v>
      </c>
      <c r="AA614" s="235" t="s">
        <v>1746</v>
      </c>
      <c r="AB614" s="442" t="s">
        <v>2016</v>
      </c>
      <c r="AC614" s="576">
        <v>240</v>
      </c>
      <c r="AD614" s="292">
        <f>170-69.7</f>
        <v>100.3</v>
      </c>
      <c r="AE614" s="475">
        <v>0</v>
      </c>
      <c r="AF614" s="475">
        <v>0</v>
      </c>
      <c r="AG614" s="553"/>
      <c r="AH614" s="553"/>
      <c r="AI614" s="455"/>
    </row>
    <row r="615" spans="1:35" x14ac:dyDescent="0.25">
      <c r="X615" s="548" t="s">
        <v>1898</v>
      </c>
      <c r="Y615" s="246" t="s">
        <v>539</v>
      </c>
      <c r="Z615" s="235" t="s">
        <v>566</v>
      </c>
      <c r="AA615" s="235" t="s">
        <v>1746</v>
      </c>
      <c r="AB615" s="442" t="s">
        <v>1771</v>
      </c>
      <c r="AC615" s="238"/>
      <c r="AD615" s="292">
        <f>AD616</f>
        <v>17046.900000000001</v>
      </c>
      <c r="AE615" s="475">
        <f>AE616</f>
        <v>17046.900000000001</v>
      </c>
      <c r="AF615" s="475">
        <f>AF616</f>
        <v>17046.900000000001</v>
      </c>
      <c r="AG615" s="553"/>
      <c r="AH615" s="553"/>
      <c r="AI615" s="455"/>
    </row>
    <row r="616" spans="1:35" x14ac:dyDescent="0.25">
      <c r="X616" s="548" t="s">
        <v>1907</v>
      </c>
      <c r="Y616" s="246" t="s">
        <v>539</v>
      </c>
      <c r="Z616" s="235" t="s">
        <v>566</v>
      </c>
      <c r="AA616" s="235" t="s">
        <v>1746</v>
      </c>
      <c r="AB616" s="442" t="s">
        <v>1908</v>
      </c>
      <c r="AC616" s="238"/>
      <c r="AD616" s="292">
        <f t="shared" ref="AD616:AF617" si="160">AD617</f>
        <v>17046.900000000001</v>
      </c>
      <c r="AE616" s="475">
        <f t="shared" si="160"/>
        <v>17046.900000000001</v>
      </c>
      <c r="AF616" s="475">
        <f t="shared" si="160"/>
        <v>17046.900000000001</v>
      </c>
      <c r="AG616" s="553"/>
      <c r="AH616" s="553"/>
      <c r="AI616" s="455"/>
    </row>
    <row r="617" spans="1:35" ht="31.5" x14ac:dyDescent="0.25">
      <c r="X617" s="548" t="s">
        <v>1909</v>
      </c>
      <c r="Y617" s="246" t="s">
        <v>539</v>
      </c>
      <c r="Z617" s="235" t="s">
        <v>566</v>
      </c>
      <c r="AA617" s="235" t="s">
        <v>1746</v>
      </c>
      <c r="AB617" s="442" t="s">
        <v>1910</v>
      </c>
      <c r="AC617" s="238"/>
      <c r="AD617" s="292">
        <f t="shared" si="160"/>
        <v>17046.900000000001</v>
      </c>
      <c r="AE617" s="475">
        <f t="shared" si="160"/>
        <v>17046.900000000001</v>
      </c>
      <c r="AF617" s="475">
        <f t="shared" si="160"/>
        <v>17046.900000000001</v>
      </c>
      <c r="AG617" s="553"/>
      <c r="AH617" s="553"/>
      <c r="AI617" s="455"/>
    </row>
    <row r="618" spans="1:35" x14ac:dyDescent="0.25">
      <c r="A618" s="237"/>
      <c r="B618" s="237"/>
      <c r="C618" s="237"/>
      <c r="D618" s="237"/>
      <c r="E618" s="237"/>
      <c r="F618" s="237"/>
      <c r="G618" s="237"/>
      <c r="H618" s="237"/>
      <c r="I618" s="237"/>
      <c r="J618" s="237"/>
      <c r="K618" s="237"/>
      <c r="L618" s="237"/>
      <c r="M618" s="237"/>
      <c r="N618" s="237"/>
      <c r="O618" s="237"/>
      <c r="P618" s="237"/>
      <c r="R618" s="237"/>
      <c r="S618" s="237"/>
      <c r="W618" s="237"/>
      <c r="X618" s="531" t="s">
        <v>1927</v>
      </c>
      <c r="Y618" s="246" t="s">
        <v>539</v>
      </c>
      <c r="Z618" s="235" t="s">
        <v>566</v>
      </c>
      <c r="AA618" s="235" t="s">
        <v>1746</v>
      </c>
      <c r="AB618" s="471" t="s">
        <v>1928</v>
      </c>
      <c r="AC618" s="238"/>
      <c r="AD618" s="292">
        <f>AD619+AD624+AD627</f>
        <v>17046.900000000001</v>
      </c>
      <c r="AE618" s="475">
        <f>AE619+AE624+AE627</f>
        <v>17046.900000000001</v>
      </c>
      <c r="AF618" s="475">
        <f>AF619+AF624+AF627</f>
        <v>17046.900000000001</v>
      </c>
      <c r="AG618" s="553"/>
      <c r="AH618" s="553"/>
      <c r="AI618" s="455"/>
    </row>
    <row r="619" spans="1:35" ht="31.5" x14ac:dyDescent="0.25">
      <c r="A619" s="237"/>
      <c r="B619" s="237"/>
      <c r="C619" s="237"/>
      <c r="D619" s="237"/>
      <c r="E619" s="237"/>
      <c r="F619" s="237"/>
      <c r="G619" s="237"/>
      <c r="H619" s="237"/>
      <c r="I619" s="237"/>
      <c r="J619" s="237"/>
      <c r="K619" s="237"/>
      <c r="L619" s="237"/>
      <c r="M619" s="237"/>
      <c r="N619" s="237"/>
      <c r="O619" s="237"/>
      <c r="P619" s="237"/>
      <c r="R619" s="237"/>
      <c r="S619" s="237"/>
      <c r="W619" s="237"/>
      <c r="X619" s="519" t="s">
        <v>1929</v>
      </c>
      <c r="Y619" s="246" t="s">
        <v>539</v>
      </c>
      <c r="Z619" s="235" t="s">
        <v>566</v>
      </c>
      <c r="AA619" s="235" t="s">
        <v>1746</v>
      </c>
      <c r="AB619" s="471" t="s">
        <v>1930</v>
      </c>
      <c r="AC619" s="238"/>
      <c r="AD619" s="292">
        <f>AD620+AD622</f>
        <v>3263.4</v>
      </c>
      <c r="AE619" s="475">
        <f>AE620+AE622</f>
        <v>3263.4</v>
      </c>
      <c r="AF619" s="475">
        <f>AF620+AF622</f>
        <v>3263.4</v>
      </c>
      <c r="AG619" s="553"/>
      <c r="AH619" s="553"/>
      <c r="AI619" s="455"/>
    </row>
    <row r="620" spans="1:35" x14ac:dyDescent="0.25">
      <c r="A620" s="237"/>
      <c r="B620" s="237"/>
      <c r="C620" s="237"/>
      <c r="D620" s="237"/>
      <c r="E620" s="237"/>
      <c r="F620" s="237"/>
      <c r="G620" s="237"/>
      <c r="H620" s="237"/>
      <c r="I620" s="237"/>
      <c r="J620" s="237"/>
      <c r="K620" s="237"/>
      <c r="L620" s="237"/>
      <c r="M620" s="237"/>
      <c r="N620" s="237"/>
      <c r="O620" s="237"/>
      <c r="P620" s="237"/>
      <c r="R620" s="237"/>
      <c r="S620" s="237"/>
      <c r="W620" s="237"/>
      <c r="X620" s="519" t="s">
        <v>1781</v>
      </c>
      <c r="Y620" s="246" t="s">
        <v>539</v>
      </c>
      <c r="Z620" s="235" t="s">
        <v>566</v>
      </c>
      <c r="AA620" s="235" t="s">
        <v>1746</v>
      </c>
      <c r="AB620" s="471" t="s">
        <v>1930</v>
      </c>
      <c r="AC620" s="238">
        <v>200</v>
      </c>
      <c r="AD620" s="292">
        <f>AD621</f>
        <v>3263.3</v>
      </c>
      <c r="AE620" s="475">
        <f>AE621</f>
        <v>3263.4</v>
      </c>
      <c r="AF620" s="475">
        <f>AF621</f>
        <v>3263.4</v>
      </c>
      <c r="AG620" s="553"/>
      <c r="AH620" s="553"/>
      <c r="AI620" s="455"/>
    </row>
    <row r="621" spans="1:35" ht="31.5" x14ac:dyDescent="0.25">
      <c r="A621" s="237"/>
      <c r="B621" s="237"/>
      <c r="C621" s="237"/>
      <c r="D621" s="237"/>
      <c r="E621" s="237"/>
      <c r="F621" s="237"/>
      <c r="G621" s="237"/>
      <c r="H621" s="237"/>
      <c r="I621" s="237"/>
      <c r="J621" s="237"/>
      <c r="K621" s="237"/>
      <c r="L621" s="237"/>
      <c r="M621" s="237"/>
      <c r="N621" s="237"/>
      <c r="O621" s="237"/>
      <c r="P621" s="237"/>
      <c r="R621" s="237"/>
      <c r="S621" s="237"/>
      <c r="W621" s="237"/>
      <c r="X621" s="519" t="s">
        <v>1273</v>
      </c>
      <c r="Y621" s="246" t="s">
        <v>539</v>
      </c>
      <c r="Z621" s="235" t="s">
        <v>566</v>
      </c>
      <c r="AA621" s="235" t="s">
        <v>1746</v>
      </c>
      <c r="AB621" s="471" t="s">
        <v>1930</v>
      </c>
      <c r="AC621" s="238">
        <v>240</v>
      </c>
      <c r="AD621" s="292">
        <f>3263.4-0.1</f>
        <v>3263.3</v>
      </c>
      <c r="AE621" s="475">
        <v>3263.4</v>
      </c>
      <c r="AF621" s="475">
        <v>3263.4</v>
      </c>
      <c r="AG621" s="553"/>
      <c r="AH621" s="553"/>
      <c r="AI621" s="455"/>
    </row>
    <row r="622" spans="1:35" x14ac:dyDescent="0.25">
      <c r="A622" s="237"/>
      <c r="B622" s="237"/>
      <c r="C622" s="237"/>
      <c r="D622" s="237"/>
      <c r="E622" s="237"/>
      <c r="F622" s="237"/>
      <c r="G622" s="237"/>
      <c r="H622" s="237"/>
      <c r="I622" s="237"/>
      <c r="J622" s="237"/>
      <c r="K622" s="237"/>
      <c r="L622" s="237"/>
      <c r="M622" s="237"/>
      <c r="N622" s="237"/>
      <c r="O622" s="237"/>
      <c r="P622" s="237"/>
      <c r="R622" s="237"/>
      <c r="S622" s="237"/>
      <c r="W622" s="237"/>
      <c r="X622" s="519" t="s">
        <v>923</v>
      </c>
      <c r="Y622" s="246" t="s">
        <v>539</v>
      </c>
      <c r="Z622" s="235" t="s">
        <v>566</v>
      </c>
      <c r="AA622" s="235" t="s">
        <v>1746</v>
      </c>
      <c r="AB622" s="471" t="s">
        <v>1930</v>
      </c>
      <c r="AC622" s="238">
        <v>800</v>
      </c>
      <c r="AD622" s="292">
        <f>AD623</f>
        <v>0.1</v>
      </c>
      <c r="AE622" s="475">
        <f>AE623</f>
        <v>0</v>
      </c>
      <c r="AF622" s="475">
        <f>AF623</f>
        <v>0</v>
      </c>
      <c r="AG622" s="553"/>
      <c r="AH622" s="553"/>
      <c r="AI622" s="455"/>
    </row>
    <row r="623" spans="1:35" x14ac:dyDescent="0.25">
      <c r="A623" s="237"/>
      <c r="B623" s="237"/>
      <c r="C623" s="237"/>
      <c r="D623" s="237"/>
      <c r="E623" s="237"/>
      <c r="F623" s="237"/>
      <c r="G623" s="237"/>
      <c r="H623" s="237"/>
      <c r="I623" s="237"/>
      <c r="J623" s="237"/>
      <c r="K623" s="237"/>
      <c r="L623" s="237"/>
      <c r="M623" s="237"/>
      <c r="N623" s="237"/>
      <c r="O623" s="237"/>
      <c r="P623" s="237"/>
      <c r="R623" s="237"/>
      <c r="S623" s="237"/>
      <c r="W623" s="237"/>
      <c r="X623" s="519" t="s">
        <v>1319</v>
      </c>
      <c r="Y623" s="246" t="s">
        <v>539</v>
      </c>
      <c r="Z623" s="235" t="s">
        <v>566</v>
      </c>
      <c r="AA623" s="235" t="s">
        <v>1746</v>
      </c>
      <c r="AB623" s="471" t="s">
        <v>1930</v>
      </c>
      <c r="AC623" s="238">
        <v>850</v>
      </c>
      <c r="AD623" s="292">
        <v>0.1</v>
      </c>
      <c r="AE623" s="475">
        <v>0</v>
      </c>
      <c r="AF623" s="475">
        <v>0</v>
      </c>
      <c r="AG623" s="553"/>
      <c r="AH623" s="553"/>
      <c r="AI623" s="455"/>
    </row>
    <row r="624" spans="1:35" ht="31.5" x14ac:dyDescent="0.25">
      <c r="A624" s="237"/>
      <c r="B624" s="237"/>
      <c r="C624" s="237"/>
      <c r="D624" s="237"/>
      <c r="E624" s="237"/>
      <c r="F624" s="237"/>
      <c r="G624" s="237"/>
      <c r="H624" s="237"/>
      <c r="I624" s="237"/>
      <c r="J624" s="237"/>
      <c r="K624" s="237"/>
      <c r="L624" s="237"/>
      <c r="M624" s="237"/>
      <c r="N624" s="237"/>
      <c r="O624" s="237"/>
      <c r="P624" s="237"/>
      <c r="R624" s="237"/>
      <c r="S624" s="237"/>
      <c r="W624" s="237"/>
      <c r="X624" s="519" t="s">
        <v>1934</v>
      </c>
      <c r="Y624" s="246" t="s">
        <v>539</v>
      </c>
      <c r="Z624" s="235" t="s">
        <v>566</v>
      </c>
      <c r="AA624" s="235" t="s">
        <v>1746</v>
      </c>
      <c r="AB624" s="249" t="str">
        <f>AB625</f>
        <v>12 5 01 00162</v>
      </c>
      <c r="AC624" s="238"/>
      <c r="AD624" s="292">
        <f>AD626</f>
        <v>7844.7</v>
      </c>
      <c r="AE624" s="475">
        <f>AE626</f>
        <v>7844.7</v>
      </c>
      <c r="AF624" s="475">
        <f>AF626</f>
        <v>7844.7</v>
      </c>
      <c r="AG624" s="553"/>
      <c r="AH624" s="553"/>
      <c r="AI624" s="455"/>
    </row>
    <row r="625" spans="1:35" ht="47.25" x14ac:dyDescent="0.25">
      <c r="A625" s="237"/>
      <c r="B625" s="237"/>
      <c r="C625" s="237"/>
      <c r="D625" s="237"/>
      <c r="E625" s="237"/>
      <c r="F625" s="237"/>
      <c r="G625" s="237"/>
      <c r="H625" s="237"/>
      <c r="I625" s="237"/>
      <c r="J625" s="237"/>
      <c r="K625" s="237"/>
      <c r="L625" s="237"/>
      <c r="M625" s="237"/>
      <c r="N625" s="237"/>
      <c r="O625" s="237"/>
      <c r="P625" s="237"/>
      <c r="R625" s="237"/>
      <c r="S625" s="237"/>
      <c r="W625" s="237"/>
      <c r="X625" s="519" t="s">
        <v>921</v>
      </c>
      <c r="Y625" s="246" t="s">
        <v>539</v>
      </c>
      <c r="Z625" s="235" t="s">
        <v>566</v>
      </c>
      <c r="AA625" s="235" t="s">
        <v>1746</v>
      </c>
      <c r="AB625" s="249" t="str">
        <f>AB626</f>
        <v>12 5 01 00162</v>
      </c>
      <c r="AC625" s="238">
        <v>100</v>
      </c>
      <c r="AD625" s="292">
        <f>AD626</f>
        <v>7844.7</v>
      </c>
      <c r="AE625" s="475">
        <f>AE626</f>
        <v>7844.7</v>
      </c>
      <c r="AF625" s="475">
        <f>AF626</f>
        <v>7844.7</v>
      </c>
      <c r="AG625" s="553"/>
      <c r="AH625" s="553"/>
      <c r="AI625" s="455"/>
    </row>
    <row r="626" spans="1:35" x14ac:dyDescent="0.25">
      <c r="A626" s="237"/>
      <c r="B626" s="237"/>
      <c r="C626" s="237"/>
      <c r="D626" s="237"/>
      <c r="E626" s="237"/>
      <c r="F626" s="237"/>
      <c r="G626" s="237"/>
      <c r="H626" s="237"/>
      <c r="I626" s="237"/>
      <c r="J626" s="237"/>
      <c r="K626" s="237"/>
      <c r="L626" s="237"/>
      <c r="M626" s="237"/>
      <c r="N626" s="237"/>
      <c r="O626" s="237"/>
      <c r="P626" s="237"/>
      <c r="R626" s="237"/>
      <c r="S626" s="237"/>
      <c r="W626" s="237"/>
      <c r="X626" s="519" t="s">
        <v>1747</v>
      </c>
      <c r="Y626" s="246" t="s">
        <v>539</v>
      </c>
      <c r="Z626" s="235" t="s">
        <v>566</v>
      </c>
      <c r="AA626" s="235" t="s">
        <v>1746</v>
      </c>
      <c r="AB626" s="471" t="s">
        <v>1931</v>
      </c>
      <c r="AC626" s="238">
        <v>120</v>
      </c>
      <c r="AD626" s="292">
        <v>7844.7</v>
      </c>
      <c r="AE626" s="475">
        <v>7844.7</v>
      </c>
      <c r="AF626" s="475">
        <v>7844.7</v>
      </c>
      <c r="AG626" s="553"/>
      <c r="AH626" s="553"/>
      <c r="AI626" s="455"/>
    </row>
    <row r="627" spans="1:35" ht="31.5" x14ac:dyDescent="0.25">
      <c r="A627" s="237"/>
      <c r="B627" s="237"/>
      <c r="C627" s="237"/>
      <c r="D627" s="237"/>
      <c r="E627" s="237"/>
      <c r="F627" s="237"/>
      <c r="G627" s="237"/>
      <c r="H627" s="237"/>
      <c r="I627" s="237"/>
      <c r="J627" s="237"/>
      <c r="K627" s="237"/>
      <c r="L627" s="237"/>
      <c r="M627" s="237"/>
      <c r="N627" s="237"/>
      <c r="O627" s="237"/>
      <c r="P627" s="237"/>
      <c r="R627" s="237"/>
      <c r="S627" s="237"/>
      <c r="W627" s="237"/>
      <c r="X627" s="519" t="s">
        <v>1933</v>
      </c>
      <c r="Y627" s="246" t="s">
        <v>539</v>
      </c>
      <c r="Z627" s="235" t="s">
        <v>566</v>
      </c>
      <c r="AA627" s="235" t="s">
        <v>1746</v>
      </c>
      <c r="AB627" s="249" t="str">
        <f>AB628</f>
        <v>12 5 01 00163</v>
      </c>
      <c r="AC627" s="238"/>
      <c r="AD627" s="292">
        <f>AD629</f>
        <v>5938.8</v>
      </c>
      <c r="AE627" s="475">
        <f>AE629</f>
        <v>5938.8</v>
      </c>
      <c r="AF627" s="475">
        <f>AF629</f>
        <v>5938.8</v>
      </c>
      <c r="AG627" s="553"/>
      <c r="AH627" s="553"/>
      <c r="AI627" s="455"/>
    </row>
    <row r="628" spans="1:35" ht="47.25" x14ac:dyDescent="0.25">
      <c r="A628" s="237"/>
      <c r="B628" s="237"/>
      <c r="C628" s="237"/>
      <c r="D628" s="237"/>
      <c r="E628" s="237"/>
      <c r="F628" s="237"/>
      <c r="G628" s="237"/>
      <c r="H628" s="237"/>
      <c r="I628" s="237"/>
      <c r="J628" s="237"/>
      <c r="K628" s="237"/>
      <c r="L628" s="237"/>
      <c r="M628" s="237"/>
      <c r="N628" s="237"/>
      <c r="O628" s="237"/>
      <c r="P628" s="237"/>
      <c r="R628" s="237"/>
      <c r="S628" s="237"/>
      <c r="W628" s="237"/>
      <c r="X628" s="519" t="s">
        <v>921</v>
      </c>
      <c r="Y628" s="246" t="s">
        <v>539</v>
      </c>
      <c r="Z628" s="235" t="s">
        <v>566</v>
      </c>
      <c r="AA628" s="235" t="s">
        <v>1746</v>
      </c>
      <c r="AB628" s="249" t="str">
        <f>AB629</f>
        <v>12 5 01 00163</v>
      </c>
      <c r="AC628" s="238">
        <v>100</v>
      </c>
      <c r="AD628" s="292">
        <f>AD629</f>
        <v>5938.8</v>
      </c>
      <c r="AE628" s="475">
        <f>AE629</f>
        <v>5938.8</v>
      </c>
      <c r="AF628" s="475">
        <f>AF629</f>
        <v>5938.8</v>
      </c>
      <c r="AG628" s="553"/>
      <c r="AH628" s="553"/>
      <c r="AI628" s="455"/>
    </row>
    <row r="629" spans="1:35" x14ac:dyDescent="0.25">
      <c r="A629" s="237"/>
      <c r="B629" s="237"/>
      <c r="C629" s="237"/>
      <c r="D629" s="237"/>
      <c r="E629" s="237"/>
      <c r="F629" s="237"/>
      <c r="G629" s="237"/>
      <c r="H629" s="237"/>
      <c r="I629" s="237"/>
      <c r="J629" s="237"/>
      <c r="K629" s="237"/>
      <c r="L629" s="237"/>
      <c r="M629" s="237"/>
      <c r="N629" s="237"/>
      <c r="O629" s="237"/>
      <c r="P629" s="237"/>
      <c r="R629" s="237"/>
      <c r="S629" s="237"/>
      <c r="W629" s="237"/>
      <c r="X629" s="519" t="s">
        <v>1747</v>
      </c>
      <c r="Y629" s="246" t="s">
        <v>539</v>
      </c>
      <c r="Z629" s="235" t="s">
        <v>566</v>
      </c>
      <c r="AA629" s="235" t="s">
        <v>1746</v>
      </c>
      <c r="AB629" s="471" t="s">
        <v>1932</v>
      </c>
      <c r="AC629" s="238">
        <v>120</v>
      </c>
      <c r="AD629" s="292">
        <v>5938.8</v>
      </c>
      <c r="AE629" s="475">
        <v>5938.8</v>
      </c>
      <c r="AF629" s="475">
        <v>5938.8</v>
      </c>
      <c r="AG629" s="553"/>
      <c r="AH629" s="553"/>
      <c r="AI629" s="455"/>
    </row>
    <row r="630" spans="1:35" ht="31.5" x14ac:dyDescent="0.25">
      <c r="A630" s="237"/>
      <c r="B630" s="237"/>
      <c r="C630" s="237"/>
      <c r="D630" s="237"/>
      <c r="E630" s="237"/>
      <c r="F630" s="237"/>
      <c r="G630" s="237"/>
      <c r="H630" s="237"/>
      <c r="I630" s="237"/>
      <c r="J630" s="237"/>
      <c r="K630" s="237"/>
      <c r="L630" s="237"/>
      <c r="M630" s="237"/>
      <c r="N630" s="237"/>
      <c r="O630" s="237"/>
      <c r="P630" s="237"/>
      <c r="R630" s="237"/>
      <c r="S630" s="237"/>
      <c r="W630" s="237"/>
      <c r="X630" s="520" t="s">
        <v>2102</v>
      </c>
      <c r="Y630" s="246" t="s">
        <v>539</v>
      </c>
      <c r="Z630" s="235" t="s">
        <v>566</v>
      </c>
      <c r="AA630" s="235" t="s">
        <v>1746</v>
      </c>
      <c r="AB630" s="442" t="s">
        <v>1805</v>
      </c>
      <c r="AC630" s="238"/>
      <c r="AD630" s="292">
        <f t="shared" ref="AD630:AF633" si="161">AD631</f>
        <v>11</v>
      </c>
      <c r="AE630" s="475">
        <f t="shared" si="161"/>
        <v>11</v>
      </c>
      <c r="AF630" s="475">
        <f t="shared" si="161"/>
        <v>11</v>
      </c>
      <c r="AG630" s="553"/>
      <c r="AH630" s="553"/>
      <c r="AI630" s="455"/>
    </row>
    <row r="631" spans="1:35" ht="47.25" x14ac:dyDescent="0.25">
      <c r="A631" s="237"/>
      <c r="B631" s="237"/>
      <c r="C631" s="237"/>
      <c r="D631" s="237"/>
      <c r="E631" s="237"/>
      <c r="F631" s="237"/>
      <c r="G631" s="237"/>
      <c r="H631" s="237"/>
      <c r="I631" s="237"/>
      <c r="J631" s="237"/>
      <c r="K631" s="237"/>
      <c r="L631" s="237"/>
      <c r="M631" s="237"/>
      <c r="N631" s="237"/>
      <c r="O631" s="237"/>
      <c r="P631" s="237"/>
      <c r="R631" s="237"/>
      <c r="S631" s="237"/>
      <c r="W631" s="237"/>
      <c r="X631" s="520" t="s">
        <v>2103</v>
      </c>
      <c r="Y631" s="246" t="s">
        <v>539</v>
      </c>
      <c r="Z631" s="235" t="s">
        <v>566</v>
      </c>
      <c r="AA631" s="235" t="s">
        <v>1746</v>
      </c>
      <c r="AB631" s="442" t="s">
        <v>2104</v>
      </c>
      <c r="AC631" s="238"/>
      <c r="AD631" s="292">
        <f t="shared" si="161"/>
        <v>11</v>
      </c>
      <c r="AE631" s="475">
        <f t="shared" si="161"/>
        <v>11</v>
      </c>
      <c r="AF631" s="475">
        <f t="shared" si="161"/>
        <v>11</v>
      </c>
      <c r="AG631" s="553"/>
      <c r="AH631" s="553"/>
      <c r="AI631" s="455"/>
    </row>
    <row r="632" spans="1:35" ht="31.5" x14ac:dyDescent="0.25">
      <c r="A632" s="237"/>
      <c r="B632" s="237"/>
      <c r="C632" s="237"/>
      <c r="D632" s="237"/>
      <c r="E632" s="237"/>
      <c r="F632" s="237"/>
      <c r="G632" s="237"/>
      <c r="H632" s="237"/>
      <c r="I632" s="237"/>
      <c r="J632" s="237"/>
      <c r="K632" s="237"/>
      <c r="L632" s="237"/>
      <c r="M632" s="237"/>
      <c r="N632" s="237"/>
      <c r="O632" s="237"/>
      <c r="P632" s="237"/>
      <c r="R632" s="237"/>
      <c r="S632" s="237"/>
      <c r="W632" s="237"/>
      <c r="X632" s="528" t="s">
        <v>2105</v>
      </c>
      <c r="Y632" s="246" t="s">
        <v>539</v>
      </c>
      <c r="Z632" s="235" t="s">
        <v>566</v>
      </c>
      <c r="AA632" s="235" t="s">
        <v>1746</v>
      </c>
      <c r="AB632" s="442" t="s">
        <v>2106</v>
      </c>
      <c r="AC632" s="238"/>
      <c r="AD632" s="292">
        <f t="shared" si="161"/>
        <v>11</v>
      </c>
      <c r="AE632" s="475">
        <f t="shared" si="161"/>
        <v>11</v>
      </c>
      <c r="AF632" s="475">
        <f t="shared" si="161"/>
        <v>11</v>
      </c>
      <c r="AG632" s="553"/>
      <c r="AH632" s="553"/>
      <c r="AI632" s="455"/>
    </row>
    <row r="633" spans="1:35" ht="94.5" x14ac:dyDescent="0.25">
      <c r="A633" s="237"/>
      <c r="B633" s="237"/>
      <c r="C633" s="237"/>
      <c r="D633" s="237"/>
      <c r="E633" s="237"/>
      <c r="F633" s="237"/>
      <c r="G633" s="237"/>
      <c r="H633" s="237"/>
      <c r="I633" s="237"/>
      <c r="J633" s="237"/>
      <c r="K633" s="237"/>
      <c r="L633" s="237"/>
      <c r="M633" s="237"/>
      <c r="N633" s="237"/>
      <c r="O633" s="237"/>
      <c r="P633" s="237"/>
      <c r="R633" s="237"/>
      <c r="S633" s="237"/>
      <c r="W633" s="237"/>
      <c r="X633" s="528" t="s">
        <v>2242</v>
      </c>
      <c r="Y633" s="246" t="s">
        <v>539</v>
      </c>
      <c r="Z633" s="235" t="s">
        <v>566</v>
      </c>
      <c r="AA633" s="235" t="s">
        <v>1746</v>
      </c>
      <c r="AB633" s="471" t="s">
        <v>2107</v>
      </c>
      <c r="AC633" s="238"/>
      <c r="AD633" s="292">
        <f t="shared" si="161"/>
        <v>11</v>
      </c>
      <c r="AE633" s="475">
        <f t="shared" si="161"/>
        <v>11</v>
      </c>
      <c r="AF633" s="475">
        <f t="shared" si="161"/>
        <v>11</v>
      </c>
      <c r="AG633" s="553"/>
      <c r="AH633" s="553"/>
      <c r="AI633" s="455"/>
    </row>
    <row r="634" spans="1:35" x14ac:dyDescent="0.25">
      <c r="A634" s="237"/>
      <c r="B634" s="237"/>
      <c r="C634" s="237"/>
      <c r="D634" s="237"/>
      <c r="E634" s="237"/>
      <c r="F634" s="237"/>
      <c r="G634" s="237"/>
      <c r="H634" s="237"/>
      <c r="I634" s="237"/>
      <c r="J634" s="237"/>
      <c r="K634" s="237"/>
      <c r="L634" s="237"/>
      <c r="M634" s="237"/>
      <c r="N634" s="237"/>
      <c r="O634" s="237"/>
      <c r="P634" s="237"/>
      <c r="R634" s="237"/>
      <c r="S634" s="237"/>
      <c r="W634" s="237"/>
      <c r="X634" s="519" t="s">
        <v>1781</v>
      </c>
      <c r="Y634" s="246" t="s">
        <v>539</v>
      </c>
      <c r="Z634" s="235" t="s">
        <v>566</v>
      </c>
      <c r="AA634" s="235" t="s">
        <v>1746</v>
      </c>
      <c r="AB634" s="471" t="s">
        <v>2107</v>
      </c>
      <c r="AC634" s="238">
        <v>200</v>
      </c>
      <c r="AD634" s="292">
        <f>AD635</f>
        <v>11</v>
      </c>
      <c r="AE634" s="475">
        <f>AE635</f>
        <v>11</v>
      </c>
      <c r="AF634" s="475">
        <f>AF635</f>
        <v>11</v>
      </c>
      <c r="AG634" s="553"/>
      <c r="AH634" s="553"/>
      <c r="AI634" s="455"/>
    </row>
    <row r="635" spans="1:35" ht="31.5" x14ac:dyDescent="0.25">
      <c r="A635" s="237"/>
      <c r="B635" s="237"/>
      <c r="C635" s="237"/>
      <c r="D635" s="237"/>
      <c r="E635" s="237"/>
      <c r="F635" s="237"/>
      <c r="G635" s="237"/>
      <c r="H635" s="237"/>
      <c r="I635" s="237"/>
      <c r="J635" s="237"/>
      <c r="K635" s="237"/>
      <c r="L635" s="237"/>
      <c r="M635" s="237"/>
      <c r="N635" s="237"/>
      <c r="O635" s="237"/>
      <c r="P635" s="237"/>
      <c r="R635" s="237"/>
      <c r="S635" s="237"/>
      <c r="W635" s="237"/>
      <c r="X635" s="519" t="s">
        <v>1273</v>
      </c>
      <c r="Y635" s="246" t="s">
        <v>539</v>
      </c>
      <c r="Z635" s="235" t="s">
        <v>566</v>
      </c>
      <c r="AA635" s="235" t="s">
        <v>1746</v>
      </c>
      <c r="AB635" s="471" t="s">
        <v>2107</v>
      </c>
      <c r="AC635" s="238">
        <v>240</v>
      </c>
      <c r="AD635" s="292">
        <v>11</v>
      </c>
      <c r="AE635" s="475">
        <v>11</v>
      </c>
      <c r="AF635" s="475">
        <v>11</v>
      </c>
      <c r="AG635" s="553"/>
      <c r="AH635" s="553"/>
      <c r="AI635" s="455"/>
    </row>
    <row r="636" spans="1:35" s="363" customFormat="1" x14ac:dyDescent="0.25">
      <c r="A636" s="423"/>
      <c r="B636" s="424"/>
      <c r="C636" s="425"/>
      <c r="D636" s="425"/>
      <c r="E636" s="425"/>
      <c r="F636" s="425"/>
      <c r="G636" s="425"/>
      <c r="I636" s="426"/>
      <c r="J636" s="426"/>
      <c r="K636" s="426"/>
      <c r="L636" s="426"/>
      <c r="M636" s="426"/>
      <c r="N636" s="426"/>
      <c r="O636" s="427"/>
      <c r="P636" s="428"/>
      <c r="R636" s="429"/>
      <c r="S636" s="430"/>
      <c r="W636" s="367"/>
      <c r="X636" s="558" t="s">
        <v>1745</v>
      </c>
      <c r="Y636" s="574" t="s">
        <v>539</v>
      </c>
      <c r="Z636" s="247" t="s">
        <v>768</v>
      </c>
      <c r="AA636" s="248"/>
      <c r="AB636" s="271"/>
      <c r="AC636" s="575"/>
      <c r="AD636" s="733">
        <f t="shared" ref="AD636:AF639" si="162">AD637</f>
        <v>845.1</v>
      </c>
      <c r="AE636" s="478">
        <f t="shared" si="162"/>
        <v>845.1</v>
      </c>
      <c r="AF636" s="478">
        <f t="shared" si="162"/>
        <v>845.1</v>
      </c>
      <c r="AG636" s="640"/>
      <c r="AH636" s="640"/>
      <c r="AI636" s="455"/>
    </row>
    <row r="637" spans="1:35" x14ac:dyDescent="0.25">
      <c r="X637" s="519" t="s">
        <v>1312</v>
      </c>
      <c r="Y637" s="246" t="s">
        <v>539</v>
      </c>
      <c r="Z637" s="235">
        <v>10</v>
      </c>
      <c r="AA637" s="235" t="s">
        <v>566</v>
      </c>
      <c r="AB637" s="249"/>
      <c r="AC637" s="588"/>
      <c r="AD637" s="292">
        <f t="shared" si="162"/>
        <v>845.1</v>
      </c>
      <c r="AE637" s="475">
        <f t="shared" si="162"/>
        <v>845.1</v>
      </c>
      <c r="AF637" s="475">
        <f t="shared" si="162"/>
        <v>845.1</v>
      </c>
      <c r="AG637" s="553"/>
      <c r="AH637" s="553"/>
      <c r="AI637" s="455"/>
    </row>
    <row r="638" spans="1:35" x14ac:dyDescent="0.25">
      <c r="X638" s="548" t="s">
        <v>2074</v>
      </c>
      <c r="Y638" s="246" t="s">
        <v>539</v>
      </c>
      <c r="Z638" s="235">
        <v>10</v>
      </c>
      <c r="AA638" s="235" t="s">
        <v>566</v>
      </c>
      <c r="AB638" s="442" t="s">
        <v>1768</v>
      </c>
      <c r="AC638" s="588"/>
      <c r="AD638" s="292">
        <f t="shared" si="162"/>
        <v>845.1</v>
      </c>
      <c r="AE638" s="475">
        <f t="shared" si="162"/>
        <v>845.1</v>
      </c>
      <c r="AF638" s="475">
        <f t="shared" si="162"/>
        <v>845.1</v>
      </c>
      <c r="AG638" s="553"/>
      <c r="AH638" s="553"/>
      <c r="AI638" s="455"/>
    </row>
    <row r="639" spans="1:35" x14ac:dyDescent="0.25">
      <c r="X639" s="524" t="s">
        <v>2075</v>
      </c>
      <c r="Y639" s="246" t="s">
        <v>539</v>
      </c>
      <c r="Z639" s="235">
        <v>10</v>
      </c>
      <c r="AA639" s="235" t="s">
        <v>566</v>
      </c>
      <c r="AB639" s="442" t="s">
        <v>1779</v>
      </c>
      <c r="AC639" s="588"/>
      <c r="AD639" s="292">
        <f t="shared" si="162"/>
        <v>845.1</v>
      </c>
      <c r="AE639" s="475">
        <f t="shared" si="162"/>
        <v>845.1</v>
      </c>
      <c r="AF639" s="475">
        <f t="shared" si="162"/>
        <v>845.1</v>
      </c>
      <c r="AG639" s="553"/>
      <c r="AH639" s="553"/>
      <c r="AI639" s="455"/>
    </row>
    <row r="640" spans="1:35" ht="31.5" x14ac:dyDescent="0.25">
      <c r="X640" s="548" t="s">
        <v>2081</v>
      </c>
      <c r="Y640" s="246" t="s">
        <v>539</v>
      </c>
      <c r="Z640" s="235">
        <v>10</v>
      </c>
      <c r="AA640" s="235" t="s">
        <v>566</v>
      </c>
      <c r="AB640" s="442" t="s">
        <v>2082</v>
      </c>
      <c r="AC640" s="588"/>
      <c r="AD640" s="292">
        <f t="shared" ref="AD640:AF642" si="163">AD641</f>
        <v>845.1</v>
      </c>
      <c r="AE640" s="475">
        <f t="shared" si="163"/>
        <v>845.1</v>
      </c>
      <c r="AF640" s="475">
        <f t="shared" si="163"/>
        <v>845.1</v>
      </c>
      <c r="AG640" s="553"/>
      <c r="AH640" s="553"/>
      <c r="AI640" s="455"/>
    </row>
    <row r="641" spans="1:35" ht="31.5" x14ac:dyDescent="0.25">
      <c r="X641" s="529" t="s">
        <v>2083</v>
      </c>
      <c r="Y641" s="246" t="s">
        <v>539</v>
      </c>
      <c r="Z641" s="235">
        <v>10</v>
      </c>
      <c r="AA641" s="235" t="s">
        <v>566</v>
      </c>
      <c r="AB641" s="442" t="s">
        <v>2084</v>
      </c>
      <c r="AC641" s="588"/>
      <c r="AD641" s="292">
        <f t="shared" si="163"/>
        <v>845.1</v>
      </c>
      <c r="AE641" s="475">
        <f t="shared" si="163"/>
        <v>845.1</v>
      </c>
      <c r="AF641" s="475">
        <f t="shared" si="163"/>
        <v>845.1</v>
      </c>
      <c r="AG641" s="553"/>
      <c r="AH641" s="553"/>
      <c r="AI641" s="455"/>
    </row>
    <row r="642" spans="1:35" x14ac:dyDescent="0.25">
      <c r="X642" s="519" t="s">
        <v>1754</v>
      </c>
      <c r="Y642" s="246" t="s">
        <v>539</v>
      </c>
      <c r="Z642" s="235">
        <v>10</v>
      </c>
      <c r="AA642" s="235" t="s">
        <v>566</v>
      </c>
      <c r="AB642" s="442" t="s">
        <v>2084</v>
      </c>
      <c r="AC642" s="238">
        <v>300</v>
      </c>
      <c r="AD642" s="292">
        <f t="shared" si="163"/>
        <v>845.1</v>
      </c>
      <c r="AE642" s="475">
        <f t="shared" si="163"/>
        <v>845.1</v>
      </c>
      <c r="AF642" s="475">
        <f t="shared" si="163"/>
        <v>845.1</v>
      </c>
      <c r="AG642" s="553"/>
      <c r="AH642" s="553"/>
      <c r="AI642" s="455"/>
    </row>
    <row r="643" spans="1:35" x14ac:dyDescent="0.25">
      <c r="X643" s="519" t="s">
        <v>868</v>
      </c>
      <c r="Y643" s="246" t="s">
        <v>539</v>
      </c>
      <c r="Z643" s="235">
        <v>10</v>
      </c>
      <c r="AA643" s="235" t="s">
        <v>566</v>
      </c>
      <c r="AB643" s="442" t="s">
        <v>2084</v>
      </c>
      <c r="AC643" s="238">
        <v>320</v>
      </c>
      <c r="AD643" s="292">
        <v>845.1</v>
      </c>
      <c r="AE643" s="475">
        <v>845.1</v>
      </c>
      <c r="AF643" s="475">
        <v>845.1</v>
      </c>
      <c r="AG643" s="553"/>
      <c r="AH643" s="553"/>
      <c r="AI643" s="455"/>
    </row>
    <row r="644" spans="1:35" x14ac:dyDescent="0.25">
      <c r="X644" s="558" t="s">
        <v>1613</v>
      </c>
      <c r="Y644" s="574" t="s">
        <v>1326</v>
      </c>
      <c r="Z644" s="236"/>
      <c r="AA644" s="236"/>
      <c r="AB644" s="249"/>
      <c r="AC644" s="576"/>
      <c r="AD644" s="733">
        <f>AD645+AD690</f>
        <v>76374.100000000006</v>
      </c>
      <c r="AE644" s="478">
        <f>AE645+AE690</f>
        <v>39874.300000000003</v>
      </c>
      <c r="AF644" s="478">
        <f>AF645+AF690</f>
        <v>29948.3</v>
      </c>
      <c r="AG644" s="640"/>
      <c r="AH644" s="640"/>
      <c r="AI644" s="455"/>
    </row>
    <row r="645" spans="1:35" s="363" customFormat="1" x14ac:dyDescent="0.25">
      <c r="A645" s="423"/>
      <c r="B645" s="424"/>
      <c r="C645" s="425"/>
      <c r="D645" s="425"/>
      <c r="E645" s="425"/>
      <c r="F645" s="425"/>
      <c r="G645" s="425"/>
      <c r="I645" s="426"/>
      <c r="J645" s="426"/>
      <c r="K645" s="426"/>
      <c r="L645" s="426"/>
      <c r="M645" s="426"/>
      <c r="N645" s="426"/>
      <c r="O645" s="427"/>
      <c r="P645" s="428"/>
      <c r="R645" s="429"/>
      <c r="S645" s="430"/>
      <c r="W645" s="367"/>
      <c r="X645" s="558" t="s">
        <v>482</v>
      </c>
      <c r="Y645" s="574" t="s">
        <v>1326</v>
      </c>
      <c r="Z645" s="262" t="s">
        <v>566</v>
      </c>
      <c r="AA645" s="248"/>
      <c r="AB645" s="271"/>
      <c r="AC645" s="575"/>
      <c r="AD645" s="733">
        <f>AD646</f>
        <v>26646.400000000001</v>
      </c>
      <c r="AE645" s="478">
        <f>AE646</f>
        <v>19382.8</v>
      </c>
      <c r="AF645" s="478">
        <f>AF646</f>
        <v>19362.8</v>
      </c>
      <c r="AG645" s="640"/>
      <c r="AH645" s="640"/>
      <c r="AI645" s="455"/>
    </row>
    <row r="646" spans="1:35" x14ac:dyDescent="0.25">
      <c r="X646" s="519" t="s">
        <v>287</v>
      </c>
      <c r="Y646" s="246" t="s">
        <v>1326</v>
      </c>
      <c r="Z646" s="235" t="s">
        <v>566</v>
      </c>
      <c r="AA646" s="235">
        <v>13</v>
      </c>
      <c r="AB646" s="249"/>
      <c r="AC646" s="576"/>
      <c r="AD646" s="292">
        <f>AD653+AD680+AD647+AD686</f>
        <v>26646.400000000001</v>
      </c>
      <c r="AE646" s="292">
        <f>AE653+AE680+AE647+AE686</f>
        <v>19382.8</v>
      </c>
      <c r="AF646" s="292">
        <f>AF653+AF680+AF647+AF686</f>
        <v>19362.8</v>
      </c>
      <c r="AG646" s="553"/>
      <c r="AH646" s="553"/>
      <c r="AI646" s="455"/>
    </row>
    <row r="647" spans="1:35" x14ac:dyDescent="0.25">
      <c r="X647" s="520" t="s">
        <v>1998</v>
      </c>
      <c r="Y647" s="246" t="s">
        <v>1326</v>
      </c>
      <c r="Z647" s="235" t="s">
        <v>566</v>
      </c>
      <c r="AA647" s="235">
        <v>13</v>
      </c>
      <c r="AB647" s="442" t="s">
        <v>1774</v>
      </c>
      <c r="AC647" s="576"/>
      <c r="AD647" s="292">
        <f t="shared" ref="AD647:AF648" si="164">AD648</f>
        <v>0</v>
      </c>
      <c r="AE647" s="475">
        <f t="shared" si="164"/>
        <v>220</v>
      </c>
      <c r="AF647" s="475">
        <f t="shared" si="164"/>
        <v>0</v>
      </c>
      <c r="AG647" s="553"/>
      <c r="AH647" s="553"/>
      <c r="AI647" s="455"/>
    </row>
    <row r="648" spans="1:35" x14ac:dyDescent="0.25">
      <c r="X648" s="517" t="s">
        <v>2337</v>
      </c>
      <c r="Y648" s="246" t="s">
        <v>1326</v>
      </c>
      <c r="Z648" s="235" t="s">
        <v>566</v>
      </c>
      <c r="AA648" s="235">
        <v>13</v>
      </c>
      <c r="AB648" s="442" t="s">
        <v>1801</v>
      </c>
      <c r="AC648" s="576"/>
      <c r="AD648" s="292">
        <f t="shared" si="164"/>
        <v>0</v>
      </c>
      <c r="AE648" s="475">
        <f t="shared" si="164"/>
        <v>220</v>
      </c>
      <c r="AF648" s="475">
        <f t="shared" si="164"/>
        <v>0</v>
      </c>
      <c r="AG648" s="553"/>
      <c r="AH648" s="553"/>
      <c r="AI648" s="455"/>
    </row>
    <row r="649" spans="1:35" ht="31.5" x14ac:dyDescent="0.25">
      <c r="X649" s="521" t="s">
        <v>2014</v>
      </c>
      <c r="Y649" s="246" t="s">
        <v>1326</v>
      </c>
      <c r="Z649" s="235" t="s">
        <v>566</v>
      </c>
      <c r="AA649" s="235">
        <v>13</v>
      </c>
      <c r="AB649" s="442" t="s">
        <v>1802</v>
      </c>
      <c r="AC649" s="576"/>
      <c r="AD649" s="292">
        <f t="shared" ref="AD649:AF650" si="165">AD650</f>
        <v>0</v>
      </c>
      <c r="AE649" s="475">
        <f t="shared" si="165"/>
        <v>220</v>
      </c>
      <c r="AF649" s="475">
        <f t="shared" si="165"/>
        <v>0</v>
      </c>
      <c r="AG649" s="553"/>
      <c r="AH649" s="553"/>
      <c r="AI649" s="455"/>
    </row>
    <row r="650" spans="1:35" x14ac:dyDescent="0.25">
      <c r="X650" s="521" t="s">
        <v>2015</v>
      </c>
      <c r="Y650" s="246" t="s">
        <v>1326</v>
      </c>
      <c r="Z650" s="235" t="s">
        <v>566</v>
      </c>
      <c r="AA650" s="235">
        <v>13</v>
      </c>
      <c r="AB650" s="442" t="s">
        <v>2016</v>
      </c>
      <c r="AC650" s="576"/>
      <c r="AD650" s="292">
        <f t="shared" si="165"/>
        <v>0</v>
      </c>
      <c r="AE650" s="475">
        <f t="shared" si="165"/>
        <v>220</v>
      </c>
      <c r="AF650" s="475">
        <f t="shared" si="165"/>
        <v>0</v>
      </c>
      <c r="AG650" s="553"/>
      <c r="AH650" s="553"/>
      <c r="AI650" s="455"/>
    </row>
    <row r="651" spans="1:35" x14ac:dyDescent="0.25">
      <c r="X651" s="519" t="s">
        <v>1781</v>
      </c>
      <c r="Y651" s="246" t="s">
        <v>1326</v>
      </c>
      <c r="Z651" s="235" t="s">
        <v>566</v>
      </c>
      <c r="AA651" s="235">
        <v>13</v>
      </c>
      <c r="AB651" s="442" t="s">
        <v>2016</v>
      </c>
      <c r="AC651" s="238">
        <v>200</v>
      </c>
      <c r="AD651" s="292">
        <f>AD652</f>
        <v>0</v>
      </c>
      <c r="AE651" s="475">
        <f>AE652</f>
        <v>220</v>
      </c>
      <c r="AF651" s="475">
        <f>AF652</f>
        <v>0</v>
      </c>
      <c r="AG651" s="553"/>
      <c r="AH651" s="553"/>
      <c r="AI651" s="455"/>
    </row>
    <row r="652" spans="1:35" ht="31.5" x14ac:dyDescent="0.25">
      <c r="X652" s="519" t="s">
        <v>1273</v>
      </c>
      <c r="Y652" s="246" t="s">
        <v>1326</v>
      </c>
      <c r="Z652" s="235" t="s">
        <v>566</v>
      </c>
      <c r="AA652" s="235">
        <v>13</v>
      </c>
      <c r="AB652" s="442" t="s">
        <v>2016</v>
      </c>
      <c r="AC652" s="576">
        <v>240</v>
      </c>
      <c r="AD652" s="292">
        <v>0</v>
      </c>
      <c r="AE652" s="475">
        <v>220</v>
      </c>
      <c r="AF652" s="475">
        <v>0</v>
      </c>
      <c r="AG652" s="553"/>
      <c r="AH652" s="553"/>
      <c r="AI652" s="455"/>
    </row>
    <row r="653" spans="1:35" x14ac:dyDescent="0.25">
      <c r="X653" s="548" t="s">
        <v>1898</v>
      </c>
      <c r="Y653" s="246" t="s">
        <v>1326</v>
      </c>
      <c r="Z653" s="235" t="s">
        <v>566</v>
      </c>
      <c r="AA653" s="235">
        <v>13</v>
      </c>
      <c r="AB653" s="442" t="s">
        <v>1771</v>
      </c>
      <c r="AC653" s="238"/>
      <c r="AD653" s="292">
        <f>AD654</f>
        <v>20458.3</v>
      </c>
      <c r="AE653" s="475">
        <f>AE654</f>
        <v>19158.3</v>
      </c>
      <c r="AF653" s="475">
        <f>AF654</f>
        <v>19358.3</v>
      </c>
      <c r="AG653" s="553"/>
      <c r="AH653" s="553"/>
      <c r="AI653" s="455"/>
    </row>
    <row r="654" spans="1:35" x14ac:dyDescent="0.25">
      <c r="X654" s="548" t="s">
        <v>1893</v>
      </c>
      <c r="Y654" s="246" t="s">
        <v>1326</v>
      </c>
      <c r="Z654" s="235" t="s">
        <v>566</v>
      </c>
      <c r="AA654" s="235">
        <v>13</v>
      </c>
      <c r="AB654" s="442" t="s">
        <v>1772</v>
      </c>
      <c r="AC654" s="238"/>
      <c r="AD654" s="292">
        <f>AD655+AD659+AD665</f>
        <v>20458.3</v>
      </c>
      <c r="AE654" s="475">
        <f>AE655+AE659+AE665</f>
        <v>19158.3</v>
      </c>
      <c r="AF654" s="475">
        <f>AF655+AF659+AF665</f>
        <v>19358.3</v>
      </c>
      <c r="AG654" s="553"/>
      <c r="AH654" s="553"/>
      <c r="AI654" s="455"/>
    </row>
    <row r="655" spans="1:35" ht="31.5" x14ac:dyDescent="0.25">
      <c r="X655" s="529" t="s">
        <v>1894</v>
      </c>
      <c r="Y655" s="246" t="s">
        <v>1326</v>
      </c>
      <c r="Z655" s="235" t="s">
        <v>566</v>
      </c>
      <c r="AA655" s="235">
        <v>13</v>
      </c>
      <c r="AB655" s="442" t="s">
        <v>1895</v>
      </c>
      <c r="AC655" s="238"/>
      <c r="AD655" s="292">
        <f t="shared" ref="AD655:AF657" si="166">AD656</f>
        <v>3197.2</v>
      </c>
      <c r="AE655" s="475">
        <f t="shared" si="166"/>
        <v>2000</v>
      </c>
      <c r="AF655" s="475">
        <f t="shared" si="166"/>
        <v>2200</v>
      </c>
      <c r="AG655" s="553"/>
      <c r="AH655" s="553"/>
      <c r="AI655" s="455"/>
    </row>
    <row r="656" spans="1:35" ht="31.5" x14ac:dyDescent="0.25">
      <c r="X656" s="531" t="s">
        <v>1896</v>
      </c>
      <c r="Y656" s="246" t="s">
        <v>1326</v>
      </c>
      <c r="Z656" s="235" t="s">
        <v>566</v>
      </c>
      <c r="AA656" s="235">
        <v>13</v>
      </c>
      <c r="AB656" s="442" t="s">
        <v>1897</v>
      </c>
      <c r="AC656" s="576"/>
      <c r="AD656" s="292">
        <f>AD657</f>
        <v>3197.2</v>
      </c>
      <c r="AE656" s="475">
        <f t="shared" si="166"/>
        <v>2000</v>
      </c>
      <c r="AF656" s="475">
        <f t="shared" si="166"/>
        <v>2200</v>
      </c>
      <c r="AG656" s="553"/>
      <c r="AH656" s="553"/>
      <c r="AI656" s="455"/>
    </row>
    <row r="657" spans="1:35" x14ac:dyDescent="0.25">
      <c r="X657" s="519" t="s">
        <v>1781</v>
      </c>
      <c r="Y657" s="246" t="s">
        <v>1326</v>
      </c>
      <c r="Z657" s="235" t="s">
        <v>566</v>
      </c>
      <c r="AA657" s="235">
        <v>13</v>
      </c>
      <c r="AB657" s="442" t="s">
        <v>1897</v>
      </c>
      <c r="AC657" s="238">
        <v>200</v>
      </c>
      <c r="AD657" s="292">
        <f t="shared" si="166"/>
        <v>3197.2</v>
      </c>
      <c r="AE657" s="475">
        <f t="shared" si="166"/>
        <v>2000</v>
      </c>
      <c r="AF657" s="475">
        <f t="shared" si="166"/>
        <v>2200</v>
      </c>
      <c r="AG657" s="553"/>
      <c r="AH657" s="553"/>
      <c r="AI657" s="455"/>
    </row>
    <row r="658" spans="1:35" ht="31.5" x14ac:dyDescent="0.25">
      <c r="X658" s="519" t="s">
        <v>1273</v>
      </c>
      <c r="Y658" s="246" t="s">
        <v>1326</v>
      </c>
      <c r="Z658" s="235" t="s">
        <v>566</v>
      </c>
      <c r="AA658" s="235">
        <v>13</v>
      </c>
      <c r="AB658" s="442" t="s">
        <v>1897</v>
      </c>
      <c r="AC658" s="238">
        <v>240</v>
      </c>
      <c r="AD658" s="292">
        <f>2000-85.8+2000-17-700</f>
        <v>3197.2</v>
      </c>
      <c r="AE658" s="475">
        <v>2000</v>
      </c>
      <c r="AF658" s="475">
        <v>2200</v>
      </c>
      <c r="AG658" s="553"/>
      <c r="AH658" s="553"/>
      <c r="AI658" s="455"/>
    </row>
    <row r="659" spans="1:35" ht="31.5" x14ac:dyDescent="0.25">
      <c r="A659" s="237"/>
      <c r="B659" s="237"/>
      <c r="C659" s="237"/>
      <c r="D659" s="237"/>
      <c r="E659" s="237"/>
      <c r="F659" s="237"/>
      <c r="G659" s="237"/>
      <c r="H659" s="237"/>
      <c r="I659" s="237"/>
      <c r="J659" s="237"/>
      <c r="K659" s="237"/>
      <c r="L659" s="237"/>
      <c r="M659" s="237"/>
      <c r="N659" s="237"/>
      <c r="O659" s="237"/>
      <c r="P659" s="237"/>
      <c r="R659" s="237"/>
      <c r="S659" s="237"/>
      <c r="W659" s="237"/>
      <c r="X659" s="529" t="s">
        <v>1899</v>
      </c>
      <c r="Y659" s="246" t="s">
        <v>1326</v>
      </c>
      <c r="Z659" s="235" t="s">
        <v>566</v>
      </c>
      <c r="AA659" s="235">
        <v>13</v>
      </c>
      <c r="AB659" s="442" t="s">
        <v>1900</v>
      </c>
      <c r="AC659" s="581"/>
      <c r="AD659" s="292">
        <f>AD660</f>
        <v>492</v>
      </c>
      <c r="AE659" s="475">
        <f>AE660</f>
        <v>492</v>
      </c>
      <c r="AF659" s="475">
        <f>AF660</f>
        <v>492</v>
      </c>
      <c r="AG659" s="553"/>
      <c r="AH659" s="553"/>
      <c r="AI659" s="455"/>
    </row>
    <row r="660" spans="1:35" ht="31.5" x14ac:dyDescent="0.25">
      <c r="A660" s="237"/>
      <c r="B660" s="237"/>
      <c r="C660" s="237"/>
      <c r="D660" s="237"/>
      <c r="E660" s="237"/>
      <c r="F660" s="237"/>
      <c r="G660" s="237"/>
      <c r="H660" s="237"/>
      <c r="I660" s="237"/>
      <c r="J660" s="237"/>
      <c r="K660" s="237"/>
      <c r="L660" s="237"/>
      <c r="M660" s="237"/>
      <c r="N660" s="237"/>
      <c r="O660" s="237"/>
      <c r="P660" s="237"/>
      <c r="R660" s="237"/>
      <c r="S660" s="237"/>
      <c r="W660" s="237"/>
      <c r="X660" s="529" t="s">
        <v>1822</v>
      </c>
      <c r="Y660" s="246" t="s">
        <v>1326</v>
      </c>
      <c r="Z660" s="235" t="s">
        <v>566</v>
      </c>
      <c r="AA660" s="235">
        <v>13</v>
      </c>
      <c r="AB660" s="442" t="s">
        <v>1901</v>
      </c>
      <c r="AC660" s="581"/>
      <c r="AD660" s="292">
        <f>AD661+AD663</f>
        <v>492</v>
      </c>
      <c r="AE660" s="475">
        <f>AE661+AE663</f>
        <v>492</v>
      </c>
      <c r="AF660" s="475">
        <f>AF661+AF663</f>
        <v>492</v>
      </c>
      <c r="AG660" s="553"/>
      <c r="AH660" s="553"/>
      <c r="AI660" s="455"/>
    </row>
    <row r="661" spans="1:35" ht="47.25" x14ac:dyDescent="0.25">
      <c r="A661" s="237"/>
      <c r="B661" s="237"/>
      <c r="C661" s="237"/>
      <c r="D661" s="237"/>
      <c r="E661" s="237"/>
      <c r="F661" s="237"/>
      <c r="G661" s="237"/>
      <c r="H661" s="237"/>
      <c r="I661" s="237"/>
      <c r="J661" s="237"/>
      <c r="K661" s="237"/>
      <c r="L661" s="237"/>
      <c r="M661" s="237"/>
      <c r="N661" s="237"/>
      <c r="O661" s="237"/>
      <c r="P661" s="237"/>
      <c r="R661" s="237"/>
      <c r="S661" s="237"/>
      <c r="W661" s="237"/>
      <c r="X661" s="519" t="s">
        <v>921</v>
      </c>
      <c r="Y661" s="246" t="s">
        <v>1326</v>
      </c>
      <c r="Z661" s="235" t="s">
        <v>566</v>
      </c>
      <c r="AA661" s="235">
        <v>13</v>
      </c>
      <c r="AB661" s="442" t="s">
        <v>1901</v>
      </c>
      <c r="AC661" s="581">
        <v>100</v>
      </c>
      <c r="AD661" s="292">
        <f>AD662</f>
        <v>423.6</v>
      </c>
      <c r="AE661" s="475">
        <f>AE662</f>
        <v>423.6</v>
      </c>
      <c r="AF661" s="475">
        <f>AF662</f>
        <v>423.6</v>
      </c>
      <c r="AG661" s="553"/>
      <c r="AH661" s="553"/>
      <c r="AI661" s="455"/>
    </row>
    <row r="662" spans="1:35" x14ac:dyDescent="0.25">
      <c r="A662" s="237"/>
      <c r="B662" s="237"/>
      <c r="C662" s="237"/>
      <c r="D662" s="237"/>
      <c r="E662" s="237"/>
      <c r="F662" s="237"/>
      <c r="G662" s="237"/>
      <c r="H662" s="237"/>
      <c r="I662" s="237"/>
      <c r="J662" s="237"/>
      <c r="K662" s="237"/>
      <c r="L662" s="237"/>
      <c r="M662" s="237"/>
      <c r="N662" s="237"/>
      <c r="O662" s="237"/>
      <c r="P662" s="237"/>
      <c r="R662" s="237"/>
      <c r="S662" s="237"/>
      <c r="W662" s="237"/>
      <c r="X662" s="523" t="s">
        <v>1747</v>
      </c>
      <c r="Y662" s="578" t="s">
        <v>1326</v>
      </c>
      <c r="Z662" s="235" t="s">
        <v>566</v>
      </c>
      <c r="AA662" s="235">
        <v>13</v>
      </c>
      <c r="AB662" s="442" t="s">
        <v>1901</v>
      </c>
      <c r="AC662" s="581">
        <v>120</v>
      </c>
      <c r="AD662" s="292">
        <v>423.6</v>
      </c>
      <c r="AE662" s="475">
        <v>423.6</v>
      </c>
      <c r="AF662" s="475">
        <v>423.6</v>
      </c>
      <c r="AG662" s="553"/>
      <c r="AH662" s="553"/>
      <c r="AI662" s="455"/>
    </row>
    <row r="663" spans="1:35" x14ac:dyDescent="0.25">
      <c r="X663" s="523" t="s">
        <v>1781</v>
      </c>
      <c r="Y663" s="578" t="s">
        <v>1326</v>
      </c>
      <c r="Z663" s="235" t="s">
        <v>566</v>
      </c>
      <c r="AA663" s="235">
        <v>13</v>
      </c>
      <c r="AB663" s="442" t="s">
        <v>1901</v>
      </c>
      <c r="AC663" s="581">
        <v>200</v>
      </c>
      <c r="AD663" s="292">
        <f>AD664</f>
        <v>68.400000000000006</v>
      </c>
      <c r="AE663" s="475">
        <f>AE664</f>
        <v>68.400000000000006</v>
      </c>
      <c r="AF663" s="475">
        <f>AF664</f>
        <v>68.400000000000006</v>
      </c>
      <c r="AG663" s="553"/>
      <c r="AH663" s="553"/>
      <c r="AI663" s="455"/>
    </row>
    <row r="664" spans="1:35" ht="31.5" x14ac:dyDescent="0.25">
      <c r="X664" s="523" t="s">
        <v>1273</v>
      </c>
      <c r="Y664" s="578" t="s">
        <v>1326</v>
      </c>
      <c r="Z664" s="235" t="s">
        <v>566</v>
      </c>
      <c r="AA664" s="235">
        <v>13</v>
      </c>
      <c r="AB664" s="442" t="s">
        <v>1901</v>
      </c>
      <c r="AC664" s="581">
        <v>240</v>
      </c>
      <c r="AD664" s="292">
        <v>68.400000000000006</v>
      </c>
      <c r="AE664" s="475">
        <v>68.400000000000006</v>
      </c>
      <c r="AF664" s="475">
        <v>68.400000000000006</v>
      </c>
      <c r="AG664" s="553"/>
      <c r="AH664" s="553"/>
      <c r="AI664" s="455"/>
    </row>
    <row r="665" spans="1:35" ht="31.5" x14ac:dyDescent="0.25">
      <c r="X665" s="548" t="s">
        <v>2169</v>
      </c>
      <c r="Y665" s="246" t="s">
        <v>1326</v>
      </c>
      <c r="Z665" s="235" t="s">
        <v>566</v>
      </c>
      <c r="AA665" s="235">
        <v>13</v>
      </c>
      <c r="AB665" s="442" t="s">
        <v>2177</v>
      </c>
      <c r="AC665" s="238"/>
      <c r="AD665" s="292">
        <f>AD666</f>
        <v>16769.099999999999</v>
      </c>
      <c r="AE665" s="475">
        <f>AE666</f>
        <v>16666.3</v>
      </c>
      <c r="AF665" s="475">
        <f>AF666</f>
        <v>16666.3</v>
      </c>
      <c r="AG665" s="553"/>
      <c r="AH665" s="553"/>
      <c r="AI665" s="455"/>
    </row>
    <row r="666" spans="1:35" x14ac:dyDescent="0.25">
      <c r="X666" s="548" t="s">
        <v>2180</v>
      </c>
      <c r="Y666" s="246" t="s">
        <v>1326</v>
      </c>
      <c r="Z666" s="235" t="s">
        <v>566</v>
      </c>
      <c r="AA666" s="235">
        <v>13</v>
      </c>
      <c r="AB666" s="442" t="s">
        <v>2178</v>
      </c>
      <c r="AC666" s="238"/>
      <c r="AD666" s="292">
        <f>AD667+AD674+AD677</f>
        <v>16769.099999999999</v>
      </c>
      <c r="AE666" s="475">
        <f>AE667+AE674+AE677+AE672</f>
        <v>16666.3</v>
      </c>
      <c r="AF666" s="475">
        <f>AF667+AF674+AF677+AF672</f>
        <v>16666.3</v>
      </c>
      <c r="AG666" s="553"/>
      <c r="AH666" s="553"/>
      <c r="AI666" s="455"/>
    </row>
    <row r="667" spans="1:35" ht="31.5" x14ac:dyDescent="0.25">
      <c r="X667" s="548" t="s">
        <v>1924</v>
      </c>
      <c r="Y667" s="246" t="s">
        <v>1326</v>
      </c>
      <c r="Z667" s="235" t="s">
        <v>566</v>
      </c>
      <c r="AA667" s="235">
        <v>13</v>
      </c>
      <c r="AB667" s="442" t="s">
        <v>2179</v>
      </c>
      <c r="AC667" s="238"/>
      <c r="AD667" s="292">
        <f>AD668+AD670+AD672</f>
        <v>1607.8999999999999</v>
      </c>
      <c r="AE667" s="292">
        <f t="shared" ref="AE667:AF667" si="167">AE668+AE670+AE672</f>
        <v>1419</v>
      </c>
      <c r="AF667" s="292">
        <f t="shared" si="167"/>
        <v>1419</v>
      </c>
      <c r="AG667" s="553"/>
      <c r="AH667" s="553"/>
      <c r="AI667" s="455"/>
    </row>
    <row r="668" spans="1:35" x14ac:dyDescent="0.25">
      <c r="X668" s="519" t="s">
        <v>1781</v>
      </c>
      <c r="Y668" s="246" t="s">
        <v>1326</v>
      </c>
      <c r="Z668" s="235" t="s">
        <v>566</v>
      </c>
      <c r="AA668" s="235">
        <v>13</v>
      </c>
      <c r="AB668" s="442" t="s">
        <v>2179</v>
      </c>
      <c r="AC668" s="238">
        <v>200</v>
      </c>
      <c r="AD668" s="292">
        <f t="shared" ref="AD668:AF668" si="168">AD669</f>
        <v>1521.7</v>
      </c>
      <c r="AE668" s="475">
        <f t="shared" si="168"/>
        <v>1419</v>
      </c>
      <c r="AF668" s="475">
        <f t="shared" si="168"/>
        <v>1419</v>
      </c>
      <c r="AG668" s="553"/>
      <c r="AH668" s="553"/>
      <c r="AI668" s="455"/>
    </row>
    <row r="669" spans="1:35" ht="31.5" x14ac:dyDescent="0.25">
      <c r="X669" s="519" t="s">
        <v>1273</v>
      </c>
      <c r="Y669" s="246" t="s">
        <v>1326</v>
      </c>
      <c r="Z669" s="235" t="s">
        <v>566</v>
      </c>
      <c r="AA669" s="235">
        <v>13</v>
      </c>
      <c r="AB669" s="442" t="s">
        <v>2179</v>
      </c>
      <c r="AC669" s="238">
        <v>240</v>
      </c>
      <c r="AD669" s="292">
        <f>1419-0.1+85.8+17</f>
        <v>1521.7</v>
      </c>
      <c r="AE669" s="475">
        <v>1419</v>
      </c>
      <c r="AF669" s="475">
        <v>1419</v>
      </c>
      <c r="AG669" s="553"/>
      <c r="AH669" s="553"/>
      <c r="AI669" s="455"/>
    </row>
    <row r="670" spans="1:35" x14ac:dyDescent="0.25">
      <c r="X670" s="519" t="s">
        <v>1754</v>
      </c>
      <c r="Y670" s="246" t="s">
        <v>1326</v>
      </c>
      <c r="Z670" s="235" t="s">
        <v>566</v>
      </c>
      <c r="AA670" s="235">
        <v>13</v>
      </c>
      <c r="AB670" s="442" t="s">
        <v>2179</v>
      </c>
      <c r="AC670" s="238">
        <v>300</v>
      </c>
      <c r="AD670" s="292">
        <f>AD671</f>
        <v>86.1</v>
      </c>
      <c r="AE670" s="292">
        <f t="shared" ref="AE670:AF670" si="169">AE671</f>
        <v>0</v>
      </c>
      <c r="AF670" s="292">
        <f t="shared" si="169"/>
        <v>0</v>
      </c>
      <c r="AG670" s="553"/>
      <c r="AH670" s="553"/>
      <c r="AI670" s="455"/>
    </row>
    <row r="671" spans="1:35" x14ac:dyDescent="0.25">
      <c r="X671" s="519" t="s">
        <v>868</v>
      </c>
      <c r="Y671" s="246" t="s">
        <v>1326</v>
      </c>
      <c r="Z671" s="235" t="s">
        <v>566</v>
      </c>
      <c r="AA671" s="235">
        <v>13</v>
      </c>
      <c r="AB671" s="442" t="s">
        <v>2179</v>
      </c>
      <c r="AC671" s="238">
        <v>320</v>
      </c>
      <c r="AD671" s="292">
        <v>86.1</v>
      </c>
      <c r="AE671" s="475">
        <v>0</v>
      </c>
      <c r="AF671" s="475">
        <v>0</v>
      </c>
      <c r="AG671" s="553"/>
      <c r="AH671" s="553"/>
      <c r="AI671" s="455"/>
    </row>
    <row r="672" spans="1:35" x14ac:dyDescent="0.25">
      <c r="X672" s="519" t="s">
        <v>923</v>
      </c>
      <c r="Y672" s="246" t="s">
        <v>1326</v>
      </c>
      <c r="Z672" s="235" t="s">
        <v>566</v>
      </c>
      <c r="AA672" s="235">
        <v>13</v>
      </c>
      <c r="AB672" s="442" t="s">
        <v>2179</v>
      </c>
      <c r="AC672" s="238">
        <v>800</v>
      </c>
      <c r="AD672" s="292">
        <f>AD673</f>
        <v>0.1</v>
      </c>
      <c r="AE672" s="475">
        <f>AE673</f>
        <v>0</v>
      </c>
      <c r="AF672" s="475">
        <f>AF673</f>
        <v>0</v>
      </c>
      <c r="AG672" s="553"/>
      <c r="AH672" s="553"/>
      <c r="AI672" s="455"/>
    </row>
    <row r="673" spans="24:35" x14ac:dyDescent="0.25">
      <c r="X673" s="519" t="s">
        <v>1319</v>
      </c>
      <c r="Y673" s="246" t="s">
        <v>1326</v>
      </c>
      <c r="Z673" s="235" t="s">
        <v>566</v>
      </c>
      <c r="AA673" s="235">
        <v>13</v>
      </c>
      <c r="AB673" s="442" t="s">
        <v>2179</v>
      </c>
      <c r="AC673" s="238">
        <v>850</v>
      </c>
      <c r="AD673" s="292">
        <v>0.1</v>
      </c>
      <c r="AE673" s="475">
        <v>0</v>
      </c>
      <c r="AF673" s="475">
        <v>0</v>
      </c>
      <c r="AG673" s="553"/>
      <c r="AH673" s="553"/>
      <c r="AI673" s="455"/>
    </row>
    <row r="674" spans="24:35" ht="31.5" x14ac:dyDescent="0.25">
      <c r="X674" s="519" t="s">
        <v>1925</v>
      </c>
      <c r="Y674" s="246" t="s">
        <v>1326</v>
      </c>
      <c r="Z674" s="235" t="s">
        <v>566</v>
      </c>
      <c r="AA674" s="235">
        <v>13</v>
      </c>
      <c r="AB674" s="249" t="str">
        <f>AB675</f>
        <v>12 1 07 00132</v>
      </c>
      <c r="AC674" s="238"/>
      <c r="AD674" s="292">
        <f>AD676</f>
        <v>5461.7</v>
      </c>
      <c r="AE674" s="475">
        <f>AE676</f>
        <v>5547.8</v>
      </c>
      <c r="AF674" s="475">
        <f>AF676</f>
        <v>5547.8</v>
      </c>
      <c r="AG674" s="553"/>
      <c r="AH674" s="553"/>
      <c r="AI674" s="455"/>
    </row>
    <row r="675" spans="24:35" ht="47.25" x14ac:dyDescent="0.25">
      <c r="X675" s="519" t="s">
        <v>921</v>
      </c>
      <c r="Y675" s="246" t="s">
        <v>1326</v>
      </c>
      <c r="Z675" s="235" t="s">
        <v>566</v>
      </c>
      <c r="AA675" s="235">
        <v>13</v>
      </c>
      <c r="AB675" s="249" t="str">
        <f>AB676</f>
        <v>12 1 07 00132</v>
      </c>
      <c r="AC675" s="238">
        <v>100</v>
      </c>
      <c r="AD675" s="292">
        <f>AD676</f>
        <v>5461.7</v>
      </c>
      <c r="AE675" s="292">
        <f t="shared" ref="AE675:AF675" si="170">AE676</f>
        <v>5547.8</v>
      </c>
      <c r="AF675" s="292">
        <f t="shared" si="170"/>
        <v>5547.8</v>
      </c>
      <c r="AG675" s="553"/>
      <c r="AH675" s="553"/>
      <c r="AI675" s="455"/>
    </row>
    <row r="676" spans="24:35" x14ac:dyDescent="0.25">
      <c r="X676" s="519" t="s">
        <v>1747</v>
      </c>
      <c r="Y676" s="246" t="s">
        <v>1326</v>
      </c>
      <c r="Z676" s="235" t="s">
        <v>566</v>
      </c>
      <c r="AA676" s="235">
        <v>13</v>
      </c>
      <c r="AB676" s="442" t="s">
        <v>2181</v>
      </c>
      <c r="AC676" s="238">
        <v>120</v>
      </c>
      <c r="AD676" s="292">
        <f>5547.8-86.1</f>
        <v>5461.7</v>
      </c>
      <c r="AE676" s="475">
        <v>5547.8</v>
      </c>
      <c r="AF676" s="475">
        <v>5547.8</v>
      </c>
      <c r="AG676" s="553"/>
      <c r="AH676" s="553"/>
      <c r="AI676" s="455"/>
    </row>
    <row r="677" spans="24:35" ht="31.5" x14ac:dyDescent="0.25">
      <c r="X677" s="519" t="s">
        <v>1926</v>
      </c>
      <c r="Y677" s="246" t="s">
        <v>1326</v>
      </c>
      <c r="Z677" s="235" t="s">
        <v>566</v>
      </c>
      <c r="AA677" s="235">
        <v>13</v>
      </c>
      <c r="AB677" s="249" t="str">
        <f>AB678</f>
        <v>12 1 07 00133</v>
      </c>
      <c r="AC677" s="238"/>
      <c r="AD677" s="292">
        <f>AD679</f>
        <v>9699.5</v>
      </c>
      <c r="AE677" s="475">
        <f>AE679</f>
        <v>9699.5</v>
      </c>
      <c r="AF677" s="475">
        <f>AF679</f>
        <v>9699.5</v>
      </c>
      <c r="AG677" s="553"/>
      <c r="AH677" s="553"/>
      <c r="AI677" s="455"/>
    </row>
    <row r="678" spans="24:35" ht="47.25" x14ac:dyDescent="0.25">
      <c r="X678" s="519" t="s">
        <v>921</v>
      </c>
      <c r="Y678" s="246" t="s">
        <v>1326</v>
      </c>
      <c r="Z678" s="235" t="s">
        <v>566</v>
      </c>
      <c r="AA678" s="235">
        <v>13</v>
      </c>
      <c r="AB678" s="249" t="str">
        <f>AB679</f>
        <v>12 1 07 00133</v>
      </c>
      <c r="AC678" s="238">
        <v>100</v>
      </c>
      <c r="AD678" s="292">
        <f>AD679</f>
        <v>9699.5</v>
      </c>
      <c r="AE678" s="475">
        <f>AE679</f>
        <v>9699.5</v>
      </c>
      <c r="AF678" s="475">
        <f>AF679</f>
        <v>9699.5</v>
      </c>
      <c r="AG678" s="553"/>
      <c r="AH678" s="553"/>
      <c r="AI678" s="455"/>
    </row>
    <row r="679" spans="24:35" x14ac:dyDescent="0.25">
      <c r="X679" s="519" t="s">
        <v>1747</v>
      </c>
      <c r="Y679" s="246" t="s">
        <v>1326</v>
      </c>
      <c r="Z679" s="235" t="s">
        <v>566</v>
      </c>
      <c r="AA679" s="235">
        <v>13</v>
      </c>
      <c r="AB679" s="442" t="s">
        <v>2182</v>
      </c>
      <c r="AC679" s="238">
        <v>120</v>
      </c>
      <c r="AD679" s="292">
        <v>9699.5</v>
      </c>
      <c r="AE679" s="475">
        <v>9699.5</v>
      </c>
      <c r="AF679" s="475">
        <v>9699.5</v>
      </c>
      <c r="AG679" s="553"/>
      <c r="AH679" s="553"/>
      <c r="AI679" s="455"/>
    </row>
    <row r="680" spans="24:35" ht="31.5" x14ac:dyDescent="0.25">
      <c r="X680" s="520" t="s">
        <v>2102</v>
      </c>
      <c r="Y680" s="246" t="s">
        <v>1326</v>
      </c>
      <c r="Z680" s="235" t="s">
        <v>566</v>
      </c>
      <c r="AA680" s="235">
        <v>13</v>
      </c>
      <c r="AB680" s="442" t="s">
        <v>1805</v>
      </c>
      <c r="AC680" s="238"/>
      <c r="AD680" s="292">
        <f t="shared" ref="AD680:AF684" si="171">AD681</f>
        <v>0</v>
      </c>
      <c r="AE680" s="475">
        <f t="shared" si="171"/>
        <v>4.5</v>
      </c>
      <c r="AF680" s="475">
        <f t="shared" si="171"/>
        <v>4.5</v>
      </c>
      <c r="AG680" s="553"/>
      <c r="AH680" s="553"/>
      <c r="AI680" s="455"/>
    </row>
    <row r="681" spans="24:35" ht="47.25" x14ac:dyDescent="0.25">
      <c r="X681" s="520" t="s">
        <v>2103</v>
      </c>
      <c r="Y681" s="246" t="s">
        <v>1326</v>
      </c>
      <c r="Z681" s="235" t="s">
        <v>566</v>
      </c>
      <c r="AA681" s="235">
        <v>13</v>
      </c>
      <c r="AB681" s="442" t="s">
        <v>2104</v>
      </c>
      <c r="AC681" s="238"/>
      <c r="AD681" s="292">
        <f t="shared" si="171"/>
        <v>0</v>
      </c>
      <c r="AE681" s="475">
        <f t="shared" si="171"/>
        <v>4.5</v>
      </c>
      <c r="AF681" s="475">
        <f t="shared" si="171"/>
        <v>4.5</v>
      </c>
      <c r="AG681" s="553"/>
      <c r="AH681" s="553"/>
      <c r="AI681" s="455"/>
    </row>
    <row r="682" spans="24:35" ht="31.5" x14ac:dyDescent="0.25">
      <c r="X682" s="528" t="s">
        <v>2105</v>
      </c>
      <c r="Y682" s="578" t="s">
        <v>1326</v>
      </c>
      <c r="Z682" s="235" t="s">
        <v>566</v>
      </c>
      <c r="AA682" s="235">
        <v>13</v>
      </c>
      <c r="AB682" s="442" t="s">
        <v>2106</v>
      </c>
      <c r="AC682" s="238"/>
      <c r="AD682" s="292">
        <f t="shared" si="171"/>
        <v>0</v>
      </c>
      <c r="AE682" s="475">
        <f t="shared" si="171"/>
        <v>4.5</v>
      </c>
      <c r="AF682" s="475">
        <f t="shared" si="171"/>
        <v>4.5</v>
      </c>
      <c r="AG682" s="553"/>
      <c r="AH682" s="553"/>
      <c r="AI682" s="455"/>
    </row>
    <row r="683" spans="24:35" ht="94.5" x14ac:dyDescent="0.25">
      <c r="X683" s="528" t="s">
        <v>2242</v>
      </c>
      <c r="Y683" s="578" t="s">
        <v>1326</v>
      </c>
      <c r="Z683" s="235" t="s">
        <v>566</v>
      </c>
      <c r="AA683" s="235">
        <v>13</v>
      </c>
      <c r="AB683" s="471" t="s">
        <v>2107</v>
      </c>
      <c r="AC683" s="238"/>
      <c r="AD683" s="292">
        <f t="shared" si="171"/>
        <v>0</v>
      </c>
      <c r="AE683" s="475">
        <f t="shared" si="171"/>
        <v>4.5</v>
      </c>
      <c r="AF683" s="475">
        <f t="shared" si="171"/>
        <v>4.5</v>
      </c>
      <c r="AG683" s="553"/>
      <c r="AH683" s="553"/>
      <c r="AI683" s="455"/>
    </row>
    <row r="684" spans="24:35" x14ac:dyDescent="0.25">
      <c r="X684" s="519" t="s">
        <v>1781</v>
      </c>
      <c r="Y684" s="578" t="s">
        <v>1326</v>
      </c>
      <c r="Z684" s="235" t="s">
        <v>566</v>
      </c>
      <c r="AA684" s="235">
        <v>13</v>
      </c>
      <c r="AB684" s="471" t="s">
        <v>2107</v>
      </c>
      <c r="AC684" s="238">
        <v>200</v>
      </c>
      <c r="AD684" s="292">
        <f t="shared" si="171"/>
        <v>0</v>
      </c>
      <c r="AE684" s="475">
        <f t="shared" si="171"/>
        <v>4.5</v>
      </c>
      <c r="AF684" s="475">
        <f t="shared" si="171"/>
        <v>4.5</v>
      </c>
      <c r="AG684" s="553"/>
      <c r="AH684" s="553"/>
      <c r="AI684" s="455"/>
    </row>
    <row r="685" spans="24:35" ht="31.5" x14ac:dyDescent="0.25">
      <c r="X685" s="519" t="s">
        <v>1273</v>
      </c>
      <c r="Y685" s="246" t="s">
        <v>1326</v>
      </c>
      <c r="Z685" s="235" t="s">
        <v>566</v>
      </c>
      <c r="AA685" s="235">
        <v>13</v>
      </c>
      <c r="AB685" s="471" t="s">
        <v>2107</v>
      </c>
      <c r="AC685" s="238">
        <v>240</v>
      </c>
      <c r="AD685" s="292">
        <f>4.5-4.5</f>
        <v>0</v>
      </c>
      <c r="AE685" s="475">
        <v>4.5</v>
      </c>
      <c r="AF685" s="475">
        <v>4.5</v>
      </c>
      <c r="AG685" s="553"/>
      <c r="AH685" s="553"/>
      <c r="AI685" s="455"/>
    </row>
    <row r="686" spans="24:35" x14ac:dyDescent="0.25">
      <c r="X686" s="548" t="s">
        <v>1945</v>
      </c>
      <c r="Y686" s="246" t="s">
        <v>1326</v>
      </c>
      <c r="Z686" s="235" t="s">
        <v>566</v>
      </c>
      <c r="AA686" s="235">
        <v>13</v>
      </c>
      <c r="AB686" s="442" t="s">
        <v>1815</v>
      </c>
      <c r="AC686" s="579"/>
      <c r="AD686" s="292">
        <f>AD687</f>
        <v>6188.1</v>
      </c>
      <c r="AE686" s="292">
        <f t="shared" ref="AE686:AF688" si="172">AE687</f>
        <v>0</v>
      </c>
      <c r="AF686" s="292">
        <f t="shared" si="172"/>
        <v>0</v>
      </c>
      <c r="AG686" s="553"/>
      <c r="AH686" s="553"/>
      <c r="AI686" s="455"/>
    </row>
    <row r="687" spans="24:35" x14ac:dyDescent="0.25">
      <c r="X687" s="531" t="s">
        <v>1946</v>
      </c>
      <c r="Y687" s="246" t="s">
        <v>1326</v>
      </c>
      <c r="Z687" s="242" t="s">
        <v>566</v>
      </c>
      <c r="AA687" s="242">
        <v>13</v>
      </c>
      <c r="AB687" s="442" t="s">
        <v>1947</v>
      </c>
      <c r="AC687" s="581"/>
      <c r="AD687" s="292">
        <f>AD688</f>
        <v>6188.1</v>
      </c>
      <c r="AE687" s="292">
        <f t="shared" si="172"/>
        <v>0</v>
      </c>
      <c r="AF687" s="292">
        <f t="shared" si="172"/>
        <v>0</v>
      </c>
      <c r="AG687" s="553"/>
      <c r="AH687" s="553"/>
      <c r="AI687" s="455"/>
    </row>
    <row r="688" spans="24:35" x14ac:dyDescent="0.25">
      <c r="X688" s="523" t="s">
        <v>923</v>
      </c>
      <c r="Y688" s="246" t="s">
        <v>1326</v>
      </c>
      <c r="Z688" s="242" t="s">
        <v>566</v>
      </c>
      <c r="AA688" s="242">
        <v>13</v>
      </c>
      <c r="AB688" s="442" t="s">
        <v>1947</v>
      </c>
      <c r="AC688" s="581">
        <v>800</v>
      </c>
      <c r="AD688" s="292">
        <f>AD689</f>
        <v>6188.1</v>
      </c>
      <c r="AE688" s="292">
        <f t="shared" si="172"/>
        <v>0</v>
      </c>
      <c r="AF688" s="292">
        <f t="shared" si="172"/>
        <v>0</v>
      </c>
      <c r="AG688" s="553"/>
      <c r="AH688" s="553"/>
      <c r="AI688" s="455"/>
    </row>
    <row r="689" spans="1:35" x14ac:dyDescent="0.25">
      <c r="X689" s="523" t="s">
        <v>1810</v>
      </c>
      <c r="Y689" s="246" t="s">
        <v>1326</v>
      </c>
      <c r="Z689" s="242" t="s">
        <v>566</v>
      </c>
      <c r="AA689" s="242">
        <v>13</v>
      </c>
      <c r="AB689" s="442" t="s">
        <v>1947</v>
      </c>
      <c r="AC689" s="581">
        <v>830</v>
      </c>
      <c r="AD689" s="292">
        <f>371.6+253.3+4482.7+1080.5</f>
        <v>6188.1</v>
      </c>
      <c r="AE689" s="475">
        <v>0</v>
      </c>
      <c r="AF689" s="475">
        <v>0</v>
      </c>
      <c r="AG689" s="553"/>
      <c r="AH689" s="553"/>
      <c r="AI689" s="455"/>
    </row>
    <row r="690" spans="1:35" s="363" customFormat="1" x14ac:dyDescent="0.25">
      <c r="A690" s="423"/>
      <c r="B690" s="424"/>
      <c r="C690" s="425"/>
      <c r="D690" s="425"/>
      <c r="E690" s="425"/>
      <c r="F690" s="425"/>
      <c r="G690" s="425"/>
      <c r="I690" s="426"/>
      <c r="J690" s="426"/>
      <c r="K690" s="426"/>
      <c r="L690" s="426"/>
      <c r="M690" s="426"/>
      <c r="N690" s="426"/>
      <c r="O690" s="427"/>
      <c r="P690" s="428"/>
      <c r="R690" s="429"/>
      <c r="S690" s="430"/>
      <c r="W690" s="367"/>
      <c r="X690" s="558" t="s">
        <v>1745</v>
      </c>
      <c r="Y690" s="574" t="s">
        <v>1326</v>
      </c>
      <c r="Z690" s="247" t="s">
        <v>768</v>
      </c>
      <c r="AA690" s="248"/>
      <c r="AB690" s="271"/>
      <c r="AC690" s="575"/>
      <c r="AD690" s="733">
        <f>AD691+AD698</f>
        <v>49727.7</v>
      </c>
      <c r="AE690" s="478">
        <f>AE691+AE698</f>
        <v>20491.5</v>
      </c>
      <c r="AF690" s="478">
        <f>AF691+AF698</f>
        <v>10585.5</v>
      </c>
      <c r="AG690" s="640"/>
      <c r="AH690" s="640"/>
      <c r="AI690" s="455"/>
    </row>
    <row r="691" spans="1:35" x14ac:dyDescent="0.25">
      <c r="X691" s="519" t="s">
        <v>1312</v>
      </c>
      <c r="Y691" s="246" t="s">
        <v>1326</v>
      </c>
      <c r="Z691" s="235">
        <v>10</v>
      </c>
      <c r="AA691" s="235" t="s">
        <v>566</v>
      </c>
      <c r="AB691" s="249"/>
      <c r="AC691" s="588"/>
      <c r="AD691" s="292">
        <f t="shared" ref="AD691:AF693" si="173">AD692</f>
        <v>690.7</v>
      </c>
      <c r="AE691" s="475">
        <f t="shared" si="173"/>
        <v>678.5</v>
      </c>
      <c r="AF691" s="475">
        <f t="shared" si="173"/>
        <v>678.5</v>
      </c>
      <c r="AG691" s="553"/>
      <c r="AH691" s="553"/>
      <c r="AI691" s="455"/>
    </row>
    <row r="692" spans="1:35" x14ac:dyDescent="0.25">
      <c r="X692" s="548" t="s">
        <v>2074</v>
      </c>
      <c r="Y692" s="246" t="s">
        <v>1326</v>
      </c>
      <c r="Z692" s="235">
        <v>10</v>
      </c>
      <c r="AA692" s="235" t="s">
        <v>566</v>
      </c>
      <c r="AB692" s="442" t="s">
        <v>1768</v>
      </c>
      <c r="AC692" s="588"/>
      <c r="AD692" s="292">
        <f t="shared" si="173"/>
        <v>690.7</v>
      </c>
      <c r="AE692" s="475">
        <f t="shared" si="173"/>
        <v>678.5</v>
      </c>
      <c r="AF692" s="475">
        <f t="shared" si="173"/>
        <v>678.5</v>
      </c>
      <c r="AG692" s="553"/>
      <c r="AH692" s="553"/>
      <c r="AI692" s="455"/>
    </row>
    <row r="693" spans="1:35" x14ac:dyDescent="0.25">
      <c r="X693" s="524" t="s">
        <v>2075</v>
      </c>
      <c r="Y693" s="246" t="s">
        <v>1326</v>
      </c>
      <c r="Z693" s="235">
        <v>10</v>
      </c>
      <c r="AA693" s="235" t="s">
        <v>566</v>
      </c>
      <c r="AB693" s="442" t="s">
        <v>1779</v>
      </c>
      <c r="AC693" s="588"/>
      <c r="AD693" s="292">
        <f t="shared" si="173"/>
        <v>690.7</v>
      </c>
      <c r="AE693" s="475">
        <f t="shared" si="173"/>
        <v>678.5</v>
      </c>
      <c r="AF693" s="475">
        <f t="shared" si="173"/>
        <v>678.5</v>
      </c>
      <c r="AG693" s="553"/>
      <c r="AH693" s="553"/>
      <c r="AI693" s="455"/>
    </row>
    <row r="694" spans="1:35" ht="31.5" x14ac:dyDescent="0.25">
      <c r="X694" s="548" t="s">
        <v>2081</v>
      </c>
      <c r="Y694" s="246" t="s">
        <v>1326</v>
      </c>
      <c r="Z694" s="235">
        <v>10</v>
      </c>
      <c r="AA694" s="235" t="s">
        <v>566</v>
      </c>
      <c r="AB694" s="442" t="s">
        <v>2082</v>
      </c>
      <c r="AC694" s="588"/>
      <c r="AD694" s="292">
        <f t="shared" ref="AD694:AF696" si="174">AD695</f>
        <v>690.7</v>
      </c>
      <c r="AE694" s="475">
        <f t="shared" si="174"/>
        <v>678.5</v>
      </c>
      <c r="AF694" s="475">
        <f t="shared" si="174"/>
        <v>678.5</v>
      </c>
      <c r="AG694" s="553"/>
      <c r="AH694" s="553"/>
      <c r="AI694" s="455"/>
    </row>
    <row r="695" spans="1:35" ht="31.5" x14ac:dyDescent="0.25">
      <c r="X695" s="529" t="s">
        <v>2083</v>
      </c>
      <c r="Y695" s="246" t="s">
        <v>1326</v>
      </c>
      <c r="Z695" s="235">
        <v>10</v>
      </c>
      <c r="AA695" s="235" t="s">
        <v>566</v>
      </c>
      <c r="AB695" s="442" t="s">
        <v>2084</v>
      </c>
      <c r="AC695" s="588"/>
      <c r="AD695" s="292">
        <f t="shared" si="174"/>
        <v>690.7</v>
      </c>
      <c r="AE695" s="475">
        <f t="shared" si="174"/>
        <v>678.5</v>
      </c>
      <c r="AF695" s="475">
        <f t="shared" si="174"/>
        <v>678.5</v>
      </c>
      <c r="AG695" s="553"/>
      <c r="AH695" s="553"/>
      <c r="AI695" s="455"/>
    </row>
    <row r="696" spans="1:35" x14ac:dyDescent="0.25">
      <c r="X696" s="519" t="s">
        <v>1754</v>
      </c>
      <c r="Y696" s="246" t="s">
        <v>1326</v>
      </c>
      <c r="Z696" s="235">
        <v>10</v>
      </c>
      <c r="AA696" s="235" t="s">
        <v>566</v>
      </c>
      <c r="AB696" s="442" t="s">
        <v>2084</v>
      </c>
      <c r="AC696" s="238">
        <v>300</v>
      </c>
      <c r="AD696" s="292">
        <f t="shared" si="174"/>
        <v>690.7</v>
      </c>
      <c r="AE696" s="475">
        <f t="shared" si="174"/>
        <v>678.5</v>
      </c>
      <c r="AF696" s="475">
        <f t="shared" si="174"/>
        <v>678.5</v>
      </c>
      <c r="AG696" s="553"/>
      <c r="AH696" s="553"/>
      <c r="AI696" s="455"/>
    </row>
    <row r="697" spans="1:35" x14ac:dyDescent="0.25">
      <c r="X697" s="519" t="s">
        <v>868</v>
      </c>
      <c r="Y697" s="246" t="s">
        <v>1326</v>
      </c>
      <c r="Z697" s="235">
        <v>10</v>
      </c>
      <c r="AA697" s="235" t="s">
        <v>566</v>
      </c>
      <c r="AB697" s="442" t="s">
        <v>2084</v>
      </c>
      <c r="AC697" s="238">
        <v>320</v>
      </c>
      <c r="AD697" s="292">
        <f>678.5+12.2</f>
        <v>690.7</v>
      </c>
      <c r="AE697" s="475">
        <v>678.5</v>
      </c>
      <c r="AF697" s="475">
        <v>678.5</v>
      </c>
      <c r="AG697" s="553"/>
      <c r="AH697" s="553"/>
      <c r="AI697" s="455"/>
    </row>
    <row r="698" spans="1:35" x14ac:dyDescent="0.25">
      <c r="X698" s="519" t="s">
        <v>605</v>
      </c>
      <c r="Y698" s="246" t="s">
        <v>1326</v>
      </c>
      <c r="Z698" s="235">
        <v>10</v>
      </c>
      <c r="AA698" s="235" t="s">
        <v>1181</v>
      </c>
      <c r="AB698" s="249"/>
      <c r="AC698" s="238"/>
      <c r="AD698" s="292">
        <f t="shared" ref="AD698:AF703" si="175">AD699</f>
        <v>49037</v>
      </c>
      <c r="AE698" s="475">
        <f t="shared" si="175"/>
        <v>19813</v>
      </c>
      <c r="AF698" s="475">
        <f t="shared" si="175"/>
        <v>9907</v>
      </c>
      <c r="AG698" s="553"/>
      <c r="AH698" s="553"/>
      <c r="AI698" s="455"/>
    </row>
    <row r="699" spans="1:35" x14ac:dyDescent="0.25">
      <c r="X699" s="548" t="s">
        <v>1890</v>
      </c>
      <c r="Y699" s="246" t="s">
        <v>1326</v>
      </c>
      <c r="Z699" s="235">
        <v>10</v>
      </c>
      <c r="AA699" s="235" t="s">
        <v>1181</v>
      </c>
      <c r="AB699" s="249" t="s">
        <v>1776</v>
      </c>
      <c r="AC699" s="238"/>
      <c r="AD699" s="292">
        <f>AD700</f>
        <v>49037</v>
      </c>
      <c r="AE699" s="475">
        <f>AE700</f>
        <v>19813</v>
      </c>
      <c r="AF699" s="475">
        <f>AF700</f>
        <v>9907</v>
      </c>
      <c r="AG699" s="553"/>
      <c r="AH699" s="553"/>
      <c r="AI699" s="455"/>
    </row>
    <row r="700" spans="1:35" ht="31.5" x14ac:dyDescent="0.25">
      <c r="A700" s="237"/>
      <c r="B700" s="237"/>
      <c r="C700" s="237"/>
      <c r="D700" s="237"/>
      <c r="E700" s="237"/>
      <c r="F700" s="237"/>
      <c r="G700" s="237"/>
      <c r="H700" s="237"/>
      <c r="I700" s="237"/>
      <c r="J700" s="237"/>
      <c r="K700" s="237"/>
      <c r="L700" s="237"/>
      <c r="M700" s="237"/>
      <c r="N700" s="237"/>
      <c r="O700" s="237"/>
      <c r="P700" s="237"/>
      <c r="R700" s="237"/>
      <c r="S700" s="237"/>
      <c r="W700" s="237"/>
      <c r="X700" s="548" t="s">
        <v>1891</v>
      </c>
      <c r="Y700" s="246" t="s">
        <v>1326</v>
      </c>
      <c r="Z700" s="235">
        <v>10</v>
      </c>
      <c r="AA700" s="235" t="s">
        <v>1181</v>
      </c>
      <c r="AB700" s="442" t="s">
        <v>1827</v>
      </c>
      <c r="AC700" s="238"/>
      <c r="AD700" s="292">
        <f>AD702</f>
        <v>49037</v>
      </c>
      <c r="AE700" s="475">
        <f>AE702</f>
        <v>19813</v>
      </c>
      <c r="AF700" s="475">
        <f>AF702</f>
        <v>9907</v>
      </c>
      <c r="AG700" s="553"/>
      <c r="AH700" s="553"/>
      <c r="AI700" s="455"/>
    </row>
    <row r="701" spans="1:35" ht="47.25" x14ac:dyDescent="0.25">
      <c r="A701" s="237"/>
      <c r="B701" s="237"/>
      <c r="C701" s="237"/>
      <c r="D701" s="237"/>
      <c r="E701" s="237"/>
      <c r="F701" s="237"/>
      <c r="G701" s="237"/>
      <c r="H701" s="237"/>
      <c r="I701" s="237"/>
      <c r="J701" s="237"/>
      <c r="K701" s="237"/>
      <c r="L701" s="237"/>
      <c r="M701" s="237"/>
      <c r="N701" s="237"/>
      <c r="O701" s="237"/>
      <c r="P701" s="237"/>
      <c r="R701" s="237"/>
      <c r="S701" s="237"/>
      <c r="W701" s="237"/>
      <c r="X701" s="548" t="s">
        <v>2320</v>
      </c>
      <c r="Y701" s="246" t="s">
        <v>1326</v>
      </c>
      <c r="Z701" s="235">
        <v>10</v>
      </c>
      <c r="AA701" s="235" t="s">
        <v>1181</v>
      </c>
      <c r="AB701" s="442" t="s">
        <v>1826</v>
      </c>
      <c r="AC701" s="238"/>
      <c r="AD701" s="292">
        <f>AD702</f>
        <v>49037</v>
      </c>
      <c r="AE701" s="475">
        <f>AE702</f>
        <v>19813</v>
      </c>
      <c r="AF701" s="475">
        <f>AF702</f>
        <v>9907</v>
      </c>
      <c r="AG701" s="553"/>
      <c r="AH701" s="553"/>
      <c r="AI701" s="455"/>
    </row>
    <row r="702" spans="1:35" ht="47.25" x14ac:dyDescent="0.25">
      <c r="A702" s="237"/>
      <c r="B702" s="237"/>
      <c r="C702" s="237"/>
      <c r="D702" s="237"/>
      <c r="E702" s="237"/>
      <c r="F702" s="237"/>
      <c r="G702" s="237"/>
      <c r="H702" s="237"/>
      <c r="I702" s="237"/>
      <c r="J702" s="237"/>
      <c r="K702" s="237"/>
      <c r="L702" s="237"/>
      <c r="M702" s="237"/>
      <c r="N702" s="237"/>
      <c r="O702" s="237"/>
      <c r="P702" s="237"/>
      <c r="R702" s="237"/>
      <c r="S702" s="237"/>
      <c r="W702" s="237"/>
      <c r="X702" s="548" t="s">
        <v>1892</v>
      </c>
      <c r="Y702" s="246" t="s">
        <v>1326</v>
      </c>
      <c r="Z702" s="235">
        <v>10</v>
      </c>
      <c r="AA702" s="235" t="s">
        <v>1181</v>
      </c>
      <c r="AB702" s="442" t="s">
        <v>1825</v>
      </c>
      <c r="AC702" s="238"/>
      <c r="AD702" s="292">
        <f t="shared" si="175"/>
        <v>49037</v>
      </c>
      <c r="AE702" s="475">
        <f t="shared" si="175"/>
        <v>19813</v>
      </c>
      <c r="AF702" s="475">
        <f t="shared" si="175"/>
        <v>9907</v>
      </c>
      <c r="AG702" s="553"/>
      <c r="AH702" s="553"/>
      <c r="AI702" s="455"/>
    </row>
    <row r="703" spans="1:35" x14ac:dyDescent="0.25">
      <c r="A703" s="237"/>
      <c r="B703" s="237"/>
      <c r="C703" s="237"/>
      <c r="D703" s="237"/>
      <c r="E703" s="237"/>
      <c r="F703" s="237"/>
      <c r="G703" s="237"/>
      <c r="H703" s="237"/>
      <c r="I703" s="237"/>
      <c r="J703" s="237"/>
      <c r="K703" s="237"/>
      <c r="L703" s="237"/>
      <c r="M703" s="237"/>
      <c r="N703" s="237"/>
      <c r="O703" s="237"/>
      <c r="P703" s="237"/>
      <c r="R703" s="237"/>
      <c r="S703" s="237"/>
      <c r="W703" s="237"/>
      <c r="X703" s="530" t="s">
        <v>418</v>
      </c>
      <c r="Y703" s="246" t="s">
        <v>1326</v>
      </c>
      <c r="Z703" s="235">
        <v>10</v>
      </c>
      <c r="AA703" s="235" t="s">
        <v>1181</v>
      </c>
      <c r="AB703" s="256" t="s">
        <v>1825</v>
      </c>
      <c r="AC703" s="238">
        <v>400</v>
      </c>
      <c r="AD703" s="292">
        <f t="shared" si="175"/>
        <v>49037</v>
      </c>
      <c r="AE703" s="475">
        <f t="shared" si="175"/>
        <v>19813</v>
      </c>
      <c r="AF703" s="475">
        <f t="shared" si="175"/>
        <v>9907</v>
      </c>
      <c r="AG703" s="553"/>
      <c r="AH703" s="553"/>
      <c r="AI703" s="455"/>
    </row>
    <row r="704" spans="1:35" x14ac:dyDescent="0.25">
      <c r="X704" s="519" t="s">
        <v>232</v>
      </c>
      <c r="Y704" s="246" t="s">
        <v>1326</v>
      </c>
      <c r="Z704" s="235">
        <v>10</v>
      </c>
      <c r="AA704" s="235" t="s">
        <v>1181</v>
      </c>
      <c r="AB704" s="256" t="s">
        <v>1825</v>
      </c>
      <c r="AC704" s="238">
        <v>410</v>
      </c>
      <c r="AD704" s="292">
        <f>36324+10897+1816</f>
        <v>49037</v>
      </c>
      <c r="AE704" s="475">
        <v>19813</v>
      </c>
      <c r="AF704" s="475">
        <v>9907</v>
      </c>
      <c r="AG704" s="553"/>
      <c r="AH704" s="553"/>
      <c r="AI704" s="455"/>
    </row>
    <row r="705" spans="24:35" ht="18.75" x14ac:dyDescent="0.3">
      <c r="X705" s="558" t="s">
        <v>1614</v>
      </c>
      <c r="Y705" s="574" t="s">
        <v>1037</v>
      </c>
      <c r="Z705" s="264"/>
      <c r="AA705" s="236"/>
      <c r="AB705" s="249"/>
      <c r="AC705" s="576"/>
      <c r="AD705" s="733">
        <f>AD706+AD730+AD884+AD722+AD714+AD875</f>
        <v>1087335</v>
      </c>
      <c r="AE705" s="733">
        <f t="shared" ref="AE705:AF705" si="176">AE706+AE730+AE884+AE722+AE714+AE875</f>
        <v>1082164.1000000001</v>
      </c>
      <c r="AF705" s="733">
        <f t="shared" si="176"/>
        <v>1062402.7000000002</v>
      </c>
      <c r="AG705" s="640"/>
      <c r="AH705" s="640"/>
      <c r="AI705" s="455"/>
    </row>
    <row r="706" spans="24:35" x14ac:dyDescent="0.25">
      <c r="X706" s="558" t="s">
        <v>482</v>
      </c>
      <c r="Y706" s="574" t="s">
        <v>1037</v>
      </c>
      <c r="Z706" s="262" t="s">
        <v>566</v>
      </c>
      <c r="AA706" s="247"/>
      <c r="AB706" s="249"/>
      <c r="AC706" s="576"/>
      <c r="AD706" s="292">
        <f t="shared" ref="AD706:AF712" si="177">AD707</f>
        <v>18022</v>
      </c>
      <c r="AE706" s="475">
        <f t="shared" si="177"/>
        <v>18022</v>
      </c>
      <c r="AF706" s="475">
        <f t="shared" si="177"/>
        <v>18022</v>
      </c>
      <c r="AG706" s="553"/>
      <c r="AH706" s="553"/>
      <c r="AI706" s="455"/>
    </row>
    <row r="707" spans="24:35" x14ac:dyDescent="0.25">
      <c r="X707" s="519" t="s">
        <v>287</v>
      </c>
      <c r="Y707" s="246" t="s">
        <v>1037</v>
      </c>
      <c r="Z707" s="255" t="s">
        <v>566</v>
      </c>
      <c r="AA707" s="255">
        <v>13</v>
      </c>
      <c r="AB707" s="442"/>
      <c r="AC707" s="576"/>
      <c r="AD707" s="292">
        <f t="shared" si="177"/>
        <v>18022</v>
      </c>
      <c r="AE707" s="475">
        <f t="shared" si="177"/>
        <v>18022</v>
      </c>
      <c r="AF707" s="475">
        <f t="shared" si="177"/>
        <v>18022</v>
      </c>
      <c r="AG707" s="553"/>
      <c r="AH707" s="553"/>
      <c r="AI707" s="455"/>
    </row>
    <row r="708" spans="24:35" x14ac:dyDescent="0.25">
      <c r="X708" s="548" t="s">
        <v>1898</v>
      </c>
      <c r="Y708" s="246" t="s">
        <v>1037</v>
      </c>
      <c r="Z708" s="255" t="s">
        <v>566</v>
      </c>
      <c r="AA708" s="255">
        <v>13</v>
      </c>
      <c r="AB708" s="442" t="s">
        <v>1771</v>
      </c>
      <c r="AC708" s="576"/>
      <c r="AD708" s="292">
        <f t="shared" si="177"/>
        <v>18022</v>
      </c>
      <c r="AE708" s="475">
        <f t="shared" si="177"/>
        <v>18022</v>
      </c>
      <c r="AF708" s="475">
        <f t="shared" si="177"/>
        <v>18022</v>
      </c>
      <c r="AG708" s="553"/>
      <c r="AH708" s="553"/>
      <c r="AI708" s="455"/>
    </row>
    <row r="709" spans="24:35" x14ac:dyDescent="0.25">
      <c r="X709" s="548" t="s">
        <v>1907</v>
      </c>
      <c r="Y709" s="246" t="s">
        <v>1037</v>
      </c>
      <c r="Z709" s="255" t="s">
        <v>566</v>
      </c>
      <c r="AA709" s="255">
        <v>13</v>
      </c>
      <c r="AB709" s="442" t="s">
        <v>1908</v>
      </c>
      <c r="AC709" s="576"/>
      <c r="AD709" s="292">
        <f t="shared" si="177"/>
        <v>18022</v>
      </c>
      <c r="AE709" s="475">
        <f t="shared" si="177"/>
        <v>18022</v>
      </c>
      <c r="AF709" s="475">
        <f t="shared" si="177"/>
        <v>18022</v>
      </c>
      <c r="AG709" s="553"/>
      <c r="AH709" s="553"/>
      <c r="AI709" s="455"/>
    </row>
    <row r="710" spans="24:35" ht="31.5" x14ac:dyDescent="0.25">
      <c r="X710" s="524" t="s">
        <v>1909</v>
      </c>
      <c r="Y710" s="246" t="s">
        <v>1037</v>
      </c>
      <c r="Z710" s="255" t="s">
        <v>566</v>
      </c>
      <c r="AA710" s="255">
        <v>13</v>
      </c>
      <c r="AB710" s="442" t="s">
        <v>1910</v>
      </c>
      <c r="AC710" s="576"/>
      <c r="AD710" s="292">
        <f>AD711</f>
        <v>18022</v>
      </c>
      <c r="AE710" s="475">
        <f>AE711</f>
        <v>18022</v>
      </c>
      <c r="AF710" s="475">
        <f>AF711</f>
        <v>18022</v>
      </c>
      <c r="AG710" s="553"/>
      <c r="AH710" s="553"/>
      <c r="AI710" s="455"/>
    </row>
    <row r="711" spans="24:35" ht="31.5" x14ac:dyDescent="0.25">
      <c r="X711" s="531" t="s">
        <v>1935</v>
      </c>
      <c r="Y711" s="246" t="s">
        <v>1037</v>
      </c>
      <c r="Z711" s="255" t="s">
        <v>566</v>
      </c>
      <c r="AA711" s="255">
        <v>13</v>
      </c>
      <c r="AB711" s="471" t="s">
        <v>1936</v>
      </c>
      <c r="AC711" s="576"/>
      <c r="AD711" s="292">
        <f t="shared" si="177"/>
        <v>18022</v>
      </c>
      <c r="AE711" s="475">
        <f t="shared" si="177"/>
        <v>18022</v>
      </c>
      <c r="AF711" s="475">
        <f t="shared" si="177"/>
        <v>18022</v>
      </c>
      <c r="AG711" s="553"/>
      <c r="AH711" s="553"/>
      <c r="AI711" s="455"/>
    </row>
    <row r="712" spans="24:35" ht="31.5" x14ac:dyDescent="0.25">
      <c r="X712" s="519" t="s">
        <v>1342</v>
      </c>
      <c r="Y712" s="246" t="s">
        <v>1037</v>
      </c>
      <c r="Z712" s="255" t="s">
        <v>566</v>
      </c>
      <c r="AA712" s="255">
        <v>13</v>
      </c>
      <c r="AB712" s="471" t="s">
        <v>1936</v>
      </c>
      <c r="AC712" s="595">
        <v>600</v>
      </c>
      <c r="AD712" s="292">
        <f t="shared" si="177"/>
        <v>18022</v>
      </c>
      <c r="AE712" s="475">
        <f t="shared" si="177"/>
        <v>18022</v>
      </c>
      <c r="AF712" s="475">
        <f t="shared" si="177"/>
        <v>18022</v>
      </c>
      <c r="AG712" s="553"/>
      <c r="AH712" s="553"/>
      <c r="AI712" s="455"/>
    </row>
    <row r="713" spans="24:35" x14ac:dyDescent="0.25">
      <c r="X713" s="519" t="s">
        <v>1343</v>
      </c>
      <c r="Y713" s="246" t="s">
        <v>1037</v>
      </c>
      <c r="Z713" s="255" t="s">
        <v>566</v>
      </c>
      <c r="AA713" s="255">
        <v>13</v>
      </c>
      <c r="AB713" s="471" t="s">
        <v>1936</v>
      </c>
      <c r="AC713" s="595">
        <v>610</v>
      </c>
      <c r="AD713" s="292">
        <v>18022</v>
      </c>
      <c r="AE713" s="475">
        <v>18022</v>
      </c>
      <c r="AF713" s="475">
        <v>18022</v>
      </c>
      <c r="AG713" s="553"/>
      <c r="AH713" s="553"/>
      <c r="AI713" s="455"/>
    </row>
    <row r="714" spans="24:35" x14ac:dyDescent="0.25">
      <c r="X714" s="558" t="s">
        <v>1049</v>
      </c>
      <c r="Y714" s="574" t="s">
        <v>1037</v>
      </c>
      <c r="Z714" s="247" t="s">
        <v>193</v>
      </c>
      <c r="AA714" s="255"/>
      <c r="AB714" s="471"/>
      <c r="AC714" s="595"/>
      <c r="AD714" s="292">
        <f t="shared" ref="AD714:AD720" si="178">AD715</f>
        <v>66</v>
      </c>
      <c r="AE714" s="292">
        <f t="shared" ref="AE714:AF714" si="179">AE715</f>
        <v>0</v>
      </c>
      <c r="AF714" s="292">
        <f t="shared" si="179"/>
        <v>0</v>
      </c>
      <c r="AG714" s="553"/>
      <c r="AH714" s="553"/>
      <c r="AI714" s="455"/>
    </row>
    <row r="715" spans="24:35" ht="31.5" x14ac:dyDescent="0.25">
      <c r="X715" s="519" t="s">
        <v>2324</v>
      </c>
      <c r="Y715" s="246" t="s">
        <v>1037</v>
      </c>
      <c r="Z715" s="235" t="s">
        <v>193</v>
      </c>
      <c r="AA715" s="235" t="s">
        <v>768</v>
      </c>
      <c r="AB715" s="249"/>
      <c r="AC715" s="576"/>
      <c r="AD715" s="292">
        <f t="shared" si="178"/>
        <v>66</v>
      </c>
      <c r="AE715" s="292">
        <f t="shared" ref="AE715:AF715" si="180">AE716</f>
        <v>0</v>
      </c>
      <c r="AF715" s="292">
        <f t="shared" si="180"/>
        <v>0</v>
      </c>
      <c r="AG715" s="553"/>
      <c r="AH715" s="553"/>
      <c r="AI715" s="455"/>
    </row>
    <row r="716" spans="24:35" ht="31.5" x14ac:dyDescent="0.25">
      <c r="X716" s="548" t="s">
        <v>1853</v>
      </c>
      <c r="Y716" s="246" t="s">
        <v>1037</v>
      </c>
      <c r="Z716" s="235" t="s">
        <v>193</v>
      </c>
      <c r="AA716" s="235" t="s">
        <v>768</v>
      </c>
      <c r="AB716" s="249" t="s">
        <v>1761</v>
      </c>
      <c r="AC716" s="576"/>
      <c r="AD716" s="292">
        <f t="shared" si="178"/>
        <v>66</v>
      </c>
      <c r="AE716" s="292">
        <f t="shared" ref="AE716:AF716" si="181">AE717</f>
        <v>0</v>
      </c>
      <c r="AF716" s="292">
        <f t="shared" si="181"/>
        <v>0</v>
      </c>
      <c r="AG716" s="553"/>
      <c r="AH716" s="553"/>
      <c r="AI716" s="455"/>
    </row>
    <row r="717" spans="24:35" ht="47.25" x14ac:dyDescent="0.25">
      <c r="X717" s="548" t="s">
        <v>2336</v>
      </c>
      <c r="Y717" s="246" t="s">
        <v>1037</v>
      </c>
      <c r="Z717" s="235" t="s">
        <v>193</v>
      </c>
      <c r="AA717" s="235" t="s">
        <v>768</v>
      </c>
      <c r="AB717" s="442" t="s">
        <v>1766</v>
      </c>
      <c r="AC717" s="579"/>
      <c r="AD717" s="292">
        <f t="shared" si="178"/>
        <v>66</v>
      </c>
      <c r="AE717" s="292">
        <f t="shared" ref="AE717:AF717" si="182">AE718</f>
        <v>0</v>
      </c>
      <c r="AF717" s="292">
        <f t="shared" si="182"/>
        <v>0</v>
      </c>
      <c r="AG717" s="553"/>
      <c r="AH717" s="553"/>
      <c r="AI717" s="455"/>
    </row>
    <row r="718" spans="24:35" ht="47.25" x14ac:dyDescent="0.25">
      <c r="X718" s="526" t="s">
        <v>2273</v>
      </c>
      <c r="Y718" s="246" t="s">
        <v>1037</v>
      </c>
      <c r="Z718" s="235" t="s">
        <v>193</v>
      </c>
      <c r="AA718" s="235" t="s">
        <v>768</v>
      </c>
      <c r="AB718" s="442" t="s">
        <v>1787</v>
      </c>
      <c r="AC718" s="579"/>
      <c r="AD718" s="292">
        <f t="shared" si="178"/>
        <v>66</v>
      </c>
      <c r="AE718" s="292">
        <f t="shared" ref="AE718:AF718" si="183">AE719</f>
        <v>0</v>
      </c>
      <c r="AF718" s="292">
        <f t="shared" si="183"/>
        <v>0</v>
      </c>
      <c r="AG718" s="553"/>
      <c r="AH718" s="553"/>
      <c r="AI718" s="455"/>
    </row>
    <row r="719" spans="24:35" ht="31.5" x14ac:dyDescent="0.25">
      <c r="X719" s="529" t="s">
        <v>1871</v>
      </c>
      <c r="Y719" s="246" t="s">
        <v>1037</v>
      </c>
      <c r="Z719" s="235" t="s">
        <v>193</v>
      </c>
      <c r="AA719" s="235" t="s">
        <v>768</v>
      </c>
      <c r="AB719" s="442" t="s">
        <v>1872</v>
      </c>
      <c r="AC719" s="579"/>
      <c r="AD719" s="292">
        <f t="shared" si="178"/>
        <v>66</v>
      </c>
      <c r="AE719" s="292">
        <f t="shared" ref="AE719:AF719" si="184">AE720</f>
        <v>0</v>
      </c>
      <c r="AF719" s="292">
        <f t="shared" si="184"/>
        <v>0</v>
      </c>
      <c r="AG719" s="553"/>
      <c r="AH719" s="553"/>
      <c r="AI719" s="455"/>
    </row>
    <row r="720" spans="24:35" ht="31.5" x14ac:dyDescent="0.25">
      <c r="X720" s="519" t="s">
        <v>1342</v>
      </c>
      <c r="Y720" s="246" t="s">
        <v>1037</v>
      </c>
      <c r="Z720" s="235" t="s">
        <v>193</v>
      </c>
      <c r="AA720" s="235" t="s">
        <v>768</v>
      </c>
      <c r="AB720" s="442" t="s">
        <v>1872</v>
      </c>
      <c r="AC720" s="595">
        <v>600</v>
      </c>
      <c r="AD720" s="292">
        <f t="shared" si="178"/>
        <v>66</v>
      </c>
      <c r="AE720" s="292">
        <f t="shared" ref="AE720:AF720" si="185">AE721</f>
        <v>0</v>
      </c>
      <c r="AF720" s="292">
        <f t="shared" si="185"/>
        <v>0</v>
      </c>
      <c r="AG720" s="553"/>
      <c r="AH720" s="553"/>
      <c r="AI720" s="455"/>
    </row>
    <row r="721" spans="24:35" x14ac:dyDescent="0.25">
      <c r="X721" s="519" t="s">
        <v>1343</v>
      </c>
      <c r="Y721" s="246" t="s">
        <v>1037</v>
      </c>
      <c r="Z721" s="235" t="s">
        <v>193</v>
      </c>
      <c r="AA721" s="235" t="s">
        <v>768</v>
      </c>
      <c r="AB721" s="442" t="s">
        <v>1872</v>
      </c>
      <c r="AC721" s="595">
        <v>610</v>
      </c>
      <c r="AD721" s="292">
        <v>66</v>
      </c>
      <c r="AE721" s="475">
        <v>0</v>
      </c>
      <c r="AF721" s="475">
        <v>0</v>
      </c>
      <c r="AG721" s="553"/>
      <c r="AH721" s="553"/>
      <c r="AI721" s="455"/>
    </row>
    <row r="722" spans="24:35" x14ac:dyDescent="0.25">
      <c r="X722" s="558" t="s">
        <v>993</v>
      </c>
      <c r="Y722" s="574" t="s">
        <v>1037</v>
      </c>
      <c r="Z722" s="247" t="s">
        <v>1181</v>
      </c>
      <c r="AA722" s="255"/>
      <c r="AB722" s="471"/>
      <c r="AC722" s="595"/>
      <c r="AD722" s="733">
        <f t="shared" ref="AD722:AF728" si="186">AD723</f>
        <v>694</v>
      </c>
      <c r="AE722" s="478">
        <f t="shared" si="186"/>
        <v>693</v>
      </c>
      <c r="AF722" s="478">
        <f t="shared" si="186"/>
        <v>694</v>
      </c>
      <c r="AG722" s="640"/>
      <c r="AH722" s="640"/>
      <c r="AI722" s="455"/>
    </row>
    <row r="723" spans="24:35" x14ac:dyDescent="0.25">
      <c r="X723" s="519" t="s">
        <v>626</v>
      </c>
      <c r="Y723" s="578" t="s">
        <v>1037</v>
      </c>
      <c r="Z723" s="255" t="s">
        <v>1181</v>
      </c>
      <c r="AA723" s="255">
        <v>10</v>
      </c>
      <c r="AB723" s="256"/>
      <c r="AC723" s="595"/>
      <c r="AD723" s="292">
        <f t="shared" si="186"/>
        <v>694</v>
      </c>
      <c r="AE723" s="475">
        <f t="shared" si="186"/>
        <v>693</v>
      </c>
      <c r="AF723" s="475">
        <f t="shared" si="186"/>
        <v>694</v>
      </c>
      <c r="AG723" s="553"/>
      <c r="AH723" s="553"/>
      <c r="AI723" s="455"/>
    </row>
    <row r="724" spans="24:35" x14ac:dyDescent="0.25">
      <c r="X724" s="548" t="s">
        <v>1957</v>
      </c>
      <c r="Y724" s="246" t="s">
        <v>1037</v>
      </c>
      <c r="Z724" s="255" t="s">
        <v>1181</v>
      </c>
      <c r="AA724" s="255">
        <v>10</v>
      </c>
      <c r="AB724" s="442" t="s">
        <v>1958</v>
      </c>
      <c r="AC724" s="595"/>
      <c r="AD724" s="292">
        <f t="shared" si="186"/>
        <v>694</v>
      </c>
      <c r="AE724" s="475">
        <f t="shared" si="186"/>
        <v>693</v>
      </c>
      <c r="AF724" s="475">
        <f t="shared" si="186"/>
        <v>694</v>
      </c>
      <c r="AG724" s="553"/>
      <c r="AH724" s="553"/>
      <c r="AI724" s="455"/>
    </row>
    <row r="725" spans="24:35" ht="31.5" x14ac:dyDescent="0.25">
      <c r="X725" s="548" t="s">
        <v>1964</v>
      </c>
      <c r="Y725" s="246" t="s">
        <v>1037</v>
      </c>
      <c r="Z725" s="255" t="s">
        <v>1181</v>
      </c>
      <c r="AA725" s="255">
        <v>10</v>
      </c>
      <c r="AB725" s="442" t="s">
        <v>1965</v>
      </c>
      <c r="AC725" s="595"/>
      <c r="AD725" s="292">
        <f>AD726</f>
        <v>694</v>
      </c>
      <c r="AE725" s="475">
        <f t="shared" si="186"/>
        <v>693</v>
      </c>
      <c r="AF725" s="475">
        <f t="shared" si="186"/>
        <v>694</v>
      </c>
      <c r="AG725" s="553"/>
      <c r="AH725" s="553"/>
      <c r="AI725" s="455"/>
    </row>
    <row r="726" spans="24:35" x14ac:dyDescent="0.25">
      <c r="X726" s="548" t="s">
        <v>2148</v>
      </c>
      <c r="Y726" s="246" t="s">
        <v>1037</v>
      </c>
      <c r="Z726" s="255" t="s">
        <v>1181</v>
      </c>
      <c r="AA726" s="255">
        <v>10</v>
      </c>
      <c r="AB726" s="442" t="s">
        <v>2149</v>
      </c>
      <c r="AC726" s="595"/>
      <c r="AD726" s="292">
        <f>AD727</f>
        <v>694</v>
      </c>
      <c r="AE726" s="475">
        <f>AE727</f>
        <v>693</v>
      </c>
      <c r="AF726" s="475">
        <f>AF727</f>
        <v>694</v>
      </c>
      <c r="AG726" s="553"/>
      <c r="AH726" s="553"/>
      <c r="AI726" s="455"/>
    </row>
    <row r="727" spans="24:35" ht="63" x14ac:dyDescent="0.25">
      <c r="X727" s="550" t="s">
        <v>2414</v>
      </c>
      <c r="Y727" s="246" t="s">
        <v>1037</v>
      </c>
      <c r="Z727" s="255" t="s">
        <v>1181</v>
      </c>
      <c r="AA727" s="255">
        <v>10</v>
      </c>
      <c r="AB727" s="442" t="s">
        <v>2150</v>
      </c>
      <c r="AC727" s="595"/>
      <c r="AD727" s="292">
        <f t="shared" si="186"/>
        <v>694</v>
      </c>
      <c r="AE727" s="475">
        <f t="shared" si="186"/>
        <v>693</v>
      </c>
      <c r="AF727" s="475">
        <f t="shared" si="186"/>
        <v>694</v>
      </c>
      <c r="AG727" s="553"/>
      <c r="AH727" s="553"/>
      <c r="AI727" s="455"/>
    </row>
    <row r="728" spans="24:35" ht="31.5" x14ac:dyDescent="0.25">
      <c r="X728" s="519" t="s">
        <v>1342</v>
      </c>
      <c r="Y728" s="246" t="s">
        <v>1037</v>
      </c>
      <c r="Z728" s="255" t="s">
        <v>1181</v>
      </c>
      <c r="AA728" s="255">
        <v>10</v>
      </c>
      <c r="AB728" s="442" t="s">
        <v>2150</v>
      </c>
      <c r="AC728" s="595">
        <v>600</v>
      </c>
      <c r="AD728" s="292">
        <f t="shared" si="186"/>
        <v>694</v>
      </c>
      <c r="AE728" s="475">
        <f t="shared" si="186"/>
        <v>693</v>
      </c>
      <c r="AF728" s="475">
        <f t="shared" si="186"/>
        <v>694</v>
      </c>
      <c r="AG728" s="553"/>
      <c r="AH728" s="553"/>
      <c r="AI728" s="455"/>
    </row>
    <row r="729" spans="24:35" x14ac:dyDescent="0.25">
      <c r="X729" s="519" t="s">
        <v>1343</v>
      </c>
      <c r="Y729" s="578" t="s">
        <v>1037</v>
      </c>
      <c r="Z729" s="255" t="s">
        <v>1181</v>
      </c>
      <c r="AA729" s="255">
        <v>10</v>
      </c>
      <c r="AB729" s="442" t="s">
        <v>2150</v>
      </c>
      <c r="AC729" s="595">
        <v>610</v>
      </c>
      <c r="AD729" s="292">
        <f>275+418+1</f>
        <v>694</v>
      </c>
      <c r="AE729" s="475">
        <f>277+417-1</f>
        <v>693</v>
      </c>
      <c r="AF729" s="475">
        <f>291+403-1+1</f>
        <v>694</v>
      </c>
      <c r="AG729" s="553"/>
      <c r="AH729" s="553"/>
      <c r="AI729" s="455"/>
    </row>
    <row r="730" spans="24:35" x14ac:dyDescent="0.25">
      <c r="X730" s="558" t="s">
        <v>174</v>
      </c>
      <c r="Y730" s="574" t="s">
        <v>1037</v>
      </c>
      <c r="Z730" s="247" t="s">
        <v>205</v>
      </c>
      <c r="AA730" s="248"/>
      <c r="AB730" s="271"/>
      <c r="AC730" s="575"/>
      <c r="AD730" s="733">
        <f>AD731+AD745+AD794+AD820+AD813</f>
        <v>1049427.3999999999</v>
      </c>
      <c r="AE730" s="478">
        <f>AE731+AE745+AE794+AE820+AE813</f>
        <v>1044823.5000000001</v>
      </c>
      <c r="AF730" s="478">
        <f>AF731+AF745+AF794+AF820+AF813</f>
        <v>1025061.1000000001</v>
      </c>
      <c r="AG730" s="640"/>
      <c r="AH730" s="640"/>
      <c r="AI730" s="455"/>
    </row>
    <row r="731" spans="24:35" x14ac:dyDescent="0.25">
      <c r="X731" s="519" t="s">
        <v>389</v>
      </c>
      <c r="Y731" s="246" t="s">
        <v>1037</v>
      </c>
      <c r="Z731" s="236" t="s">
        <v>205</v>
      </c>
      <c r="AA731" s="235" t="s">
        <v>566</v>
      </c>
      <c r="AB731" s="249"/>
      <c r="AC731" s="238"/>
      <c r="AD731" s="292">
        <f>AD732</f>
        <v>438320.8</v>
      </c>
      <c r="AE731" s="475">
        <f>AE732</f>
        <v>425351.9</v>
      </c>
      <c r="AF731" s="475">
        <f>AF732</f>
        <v>425351.9</v>
      </c>
      <c r="AG731" s="553"/>
      <c r="AH731" s="553"/>
      <c r="AI731" s="455"/>
    </row>
    <row r="732" spans="24:35" x14ac:dyDescent="0.25">
      <c r="X732" s="520" t="s">
        <v>2021</v>
      </c>
      <c r="Y732" s="578" t="s">
        <v>1037</v>
      </c>
      <c r="Z732" s="235" t="s">
        <v>205</v>
      </c>
      <c r="AA732" s="235" t="s">
        <v>566</v>
      </c>
      <c r="AB732" s="442" t="s">
        <v>1759</v>
      </c>
      <c r="AC732" s="576"/>
      <c r="AD732" s="292">
        <f t="shared" ref="AD732:AF733" si="187">AD733</f>
        <v>438320.8</v>
      </c>
      <c r="AE732" s="475">
        <f t="shared" si="187"/>
        <v>425351.9</v>
      </c>
      <c r="AF732" s="475">
        <f t="shared" si="187"/>
        <v>425351.9</v>
      </c>
      <c r="AG732" s="553"/>
      <c r="AH732" s="553"/>
      <c r="AI732" s="455"/>
    </row>
    <row r="733" spans="24:35" x14ac:dyDescent="0.25">
      <c r="X733" s="520" t="s">
        <v>2022</v>
      </c>
      <c r="Y733" s="578" t="s">
        <v>1037</v>
      </c>
      <c r="Z733" s="236" t="s">
        <v>205</v>
      </c>
      <c r="AA733" s="235" t="s">
        <v>566</v>
      </c>
      <c r="AB733" s="442" t="s">
        <v>1777</v>
      </c>
      <c r="AC733" s="238"/>
      <c r="AD733" s="292">
        <f>AD734</f>
        <v>438320.8</v>
      </c>
      <c r="AE733" s="475">
        <f t="shared" si="187"/>
        <v>425351.9</v>
      </c>
      <c r="AF733" s="475">
        <f t="shared" si="187"/>
        <v>425351.9</v>
      </c>
      <c r="AG733" s="553"/>
      <c r="AH733" s="553"/>
      <c r="AI733" s="455"/>
    </row>
    <row r="734" spans="24:35" ht="31.5" x14ac:dyDescent="0.25">
      <c r="X734" s="520" t="s">
        <v>2023</v>
      </c>
      <c r="Y734" s="246" t="s">
        <v>1037</v>
      </c>
      <c r="Z734" s="242" t="s">
        <v>205</v>
      </c>
      <c r="AA734" s="242" t="s">
        <v>566</v>
      </c>
      <c r="AB734" s="442" t="s">
        <v>1791</v>
      </c>
      <c r="AC734" s="576"/>
      <c r="AD734" s="292">
        <f>AD735+AD742</f>
        <v>438320.8</v>
      </c>
      <c r="AE734" s="475">
        <f>AE735+AE742</f>
        <v>425351.9</v>
      </c>
      <c r="AF734" s="475">
        <f>AF735+AF742</f>
        <v>425351.9</v>
      </c>
      <c r="AG734" s="553"/>
      <c r="AH734" s="553"/>
      <c r="AI734" s="455"/>
    </row>
    <row r="735" spans="24:35" ht="31.5" x14ac:dyDescent="0.25">
      <c r="X735" s="523" t="s">
        <v>2026</v>
      </c>
      <c r="Y735" s="246" t="s">
        <v>1037</v>
      </c>
      <c r="Z735" s="236" t="s">
        <v>205</v>
      </c>
      <c r="AA735" s="235" t="s">
        <v>566</v>
      </c>
      <c r="AB735" s="442" t="s">
        <v>2161</v>
      </c>
      <c r="AC735" s="593"/>
      <c r="AD735" s="292">
        <f>AD736+AD739</f>
        <v>154770.79999999999</v>
      </c>
      <c r="AE735" s="475">
        <f>AE736+AE739</f>
        <v>147524.9</v>
      </c>
      <c r="AF735" s="475">
        <f>AF736+AF739</f>
        <v>147524.9</v>
      </c>
      <c r="AG735" s="553"/>
      <c r="AH735" s="553"/>
      <c r="AI735" s="455"/>
    </row>
    <row r="736" spans="24:35" ht="31.5" x14ac:dyDescent="0.25">
      <c r="X736" s="523" t="s">
        <v>2202</v>
      </c>
      <c r="Y736" s="246" t="s">
        <v>1037</v>
      </c>
      <c r="Z736" s="236" t="s">
        <v>205</v>
      </c>
      <c r="AA736" s="235" t="s">
        <v>566</v>
      </c>
      <c r="AB736" s="442" t="s">
        <v>2162</v>
      </c>
      <c r="AC736" s="238"/>
      <c r="AD736" s="292">
        <f t="shared" ref="AD736:AF737" si="188">AD737</f>
        <v>148701.5</v>
      </c>
      <c r="AE736" s="475">
        <f t="shared" si="188"/>
        <v>145755.6</v>
      </c>
      <c r="AF736" s="475">
        <f t="shared" si="188"/>
        <v>145755.6</v>
      </c>
      <c r="AG736" s="553"/>
      <c r="AH736" s="553"/>
      <c r="AI736" s="455"/>
    </row>
    <row r="737" spans="24:36" ht="31.5" x14ac:dyDescent="0.25">
      <c r="X737" s="519" t="s">
        <v>1342</v>
      </c>
      <c r="Y737" s="246" t="s">
        <v>1037</v>
      </c>
      <c r="Z737" s="236" t="s">
        <v>205</v>
      </c>
      <c r="AA737" s="235" t="s">
        <v>566</v>
      </c>
      <c r="AB737" s="442" t="s">
        <v>2162</v>
      </c>
      <c r="AC737" s="238">
        <v>600</v>
      </c>
      <c r="AD737" s="292">
        <f t="shared" si="188"/>
        <v>148701.5</v>
      </c>
      <c r="AE737" s="475">
        <f t="shared" si="188"/>
        <v>145755.6</v>
      </c>
      <c r="AF737" s="475">
        <f t="shared" si="188"/>
        <v>145755.6</v>
      </c>
      <c r="AG737" s="553"/>
      <c r="AH737" s="553"/>
      <c r="AI737" s="455"/>
    </row>
    <row r="738" spans="24:36" x14ac:dyDescent="0.25">
      <c r="X738" s="519" t="s">
        <v>1343</v>
      </c>
      <c r="Y738" s="246" t="s">
        <v>1037</v>
      </c>
      <c r="Z738" s="235" t="s">
        <v>205</v>
      </c>
      <c r="AA738" s="235" t="s">
        <v>566</v>
      </c>
      <c r="AB738" s="442" t="s">
        <v>2162</v>
      </c>
      <c r="AC738" s="238">
        <v>610</v>
      </c>
      <c r="AD738" s="292">
        <f>145755.6+3545.9-600</f>
        <v>148701.5</v>
      </c>
      <c r="AE738" s="475">
        <v>145755.6</v>
      </c>
      <c r="AF738" s="475">
        <v>145755.6</v>
      </c>
      <c r="AG738" s="553"/>
      <c r="AH738" s="553"/>
      <c r="AI738" s="878"/>
      <c r="AJ738" s="848"/>
    </row>
    <row r="739" spans="24:36" ht="31.5" x14ac:dyDescent="0.25">
      <c r="X739" s="519" t="s">
        <v>2027</v>
      </c>
      <c r="Y739" s="246" t="s">
        <v>1037</v>
      </c>
      <c r="Z739" s="235" t="s">
        <v>205</v>
      </c>
      <c r="AA739" s="235" t="s">
        <v>566</v>
      </c>
      <c r="AB739" s="442" t="s">
        <v>2163</v>
      </c>
      <c r="AC739" s="238"/>
      <c r="AD739" s="292">
        <f t="shared" ref="AD739:AF740" si="189">AD740</f>
        <v>6069.3</v>
      </c>
      <c r="AE739" s="475">
        <f t="shared" si="189"/>
        <v>1769.3</v>
      </c>
      <c r="AF739" s="475">
        <f t="shared" si="189"/>
        <v>1769.3</v>
      </c>
      <c r="AG739" s="553"/>
      <c r="AH739" s="553"/>
      <c r="AI739" s="455"/>
    </row>
    <row r="740" spans="24:36" ht="31.5" x14ac:dyDescent="0.25">
      <c r="X740" s="519" t="s">
        <v>1342</v>
      </c>
      <c r="Y740" s="246" t="s">
        <v>1037</v>
      </c>
      <c r="Z740" s="235" t="s">
        <v>205</v>
      </c>
      <c r="AA740" s="235" t="s">
        <v>566</v>
      </c>
      <c r="AB740" s="442" t="s">
        <v>2163</v>
      </c>
      <c r="AC740" s="238">
        <v>600</v>
      </c>
      <c r="AD740" s="292">
        <f t="shared" si="189"/>
        <v>6069.3</v>
      </c>
      <c r="AE740" s="475">
        <f t="shared" si="189"/>
        <v>1769.3</v>
      </c>
      <c r="AF740" s="475">
        <f t="shared" si="189"/>
        <v>1769.3</v>
      </c>
      <c r="AG740" s="553"/>
      <c r="AH740" s="553"/>
      <c r="AI740" s="455"/>
    </row>
    <row r="741" spans="24:36" x14ac:dyDescent="0.25">
      <c r="X741" s="519" t="s">
        <v>1343</v>
      </c>
      <c r="Y741" s="246" t="s">
        <v>1037</v>
      </c>
      <c r="Z741" s="236" t="s">
        <v>205</v>
      </c>
      <c r="AA741" s="235" t="s">
        <v>566</v>
      </c>
      <c r="AB741" s="442" t="s">
        <v>2163</v>
      </c>
      <c r="AC741" s="238">
        <v>610</v>
      </c>
      <c r="AD741" s="292">
        <f>360+1409.3-700+5000</f>
        <v>6069.3</v>
      </c>
      <c r="AE741" s="475">
        <f>360+1409.3</f>
        <v>1769.3</v>
      </c>
      <c r="AF741" s="475">
        <f>360+1409.3</f>
        <v>1769.3</v>
      </c>
      <c r="AG741" s="553"/>
      <c r="AH741" s="553"/>
      <c r="AI741" s="455"/>
    </row>
    <row r="742" spans="24:36" ht="78.75" x14ac:dyDescent="0.25">
      <c r="X742" s="521" t="s">
        <v>2024</v>
      </c>
      <c r="Y742" s="246" t="s">
        <v>1037</v>
      </c>
      <c r="Z742" s="242" t="s">
        <v>205</v>
      </c>
      <c r="AA742" s="242" t="s">
        <v>566</v>
      </c>
      <c r="AB742" s="442" t="s">
        <v>2164</v>
      </c>
      <c r="AC742" s="593"/>
      <c r="AD742" s="292">
        <f t="shared" ref="AD742:AF743" si="190">AD743</f>
        <v>283550</v>
      </c>
      <c r="AE742" s="475">
        <f t="shared" si="190"/>
        <v>277827</v>
      </c>
      <c r="AF742" s="475">
        <f t="shared" si="190"/>
        <v>277827</v>
      </c>
      <c r="AG742" s="553"/>
      <c r="AH742" s="553"/>
      <c r="AI742" s="455"/>
    </row>
    <row r="743" spans="24:36" ht="31.5" x14ac:dyDescent="0.25">
      <c r="X743" s="519" t="s">
        <v>1342</v>
      </c>
      <c r="Y743" s="578" t="s">
        <v>1037</v>
      </c>
      <c r="Z743" s="242" t="s">
        <v>205</v>
      </c>
      <c r="AA743" s="242" t="s">
        <v>566</v>
      </c>
      <c r="AB743" s="442" t="s">
        <v>2164</v>
      </c>
      <c r="AC743" s="576">
        <v>600</v>
      </c>
      <c r="AD743" s="292">
        <f t="shared" si="190"/>
        <v>283550</v>
      </c>
      <c r="AE743" s="475">
        <f t="shared" si="190"/>
        <v>277827</v>
      </c>
      <c r="AF743" s="475">
        <f t="shared" si="190"/>
        <v>277827</v>
      </c>
      <c r="AG743" s="553"/>
      <c r="AH743" s="553"/>
      <c r="AI743" s="455"/>
    </row>
    <row r="744" spans="24:36" x14ac:dyDescent="0.25">
      <c r="X744" s="519" t="s">
        <v>1343</v>
      </c>
      <c r="Y744" s="246" t="s">
        <v>1037</v>
      </c>
      <c r="Z744" s="236" t="s">
        <v>205</v>
      </c>
      <c r="AA744" s="235" t="s">
        <v>566</v>
      </c>
      <c r="AB744" s="442" t="s">
        <v>2164</v>
      </c>
      <c r="AC744" s="576">
        <v>610</v>
      </c>
      <c r="AD744" s="292">
        <f>272939+4888+5723</f>
        <v>283550</v>
      </c>
      <c r="AE744" s="475">
        <f>272939+4888</f>
        <v>277827</v>
      </c>
      <c r="AF744" s="475">
        <f>272939+4888</f>
        <v>277827</v>
      </c>
      <c r="AG744" s="553"/>
      <c r="AH744" s="553"/>
      <c r="AI744" s="455"/>
    </row>
    <row r="745" spans="24:36" x14ac:dyDescent="0.25">
      <c r="X745" s="519" t="s">
        <v>734</v>
      </c>
      <c r="Y745" s="246" t="s">
        <v>1037</v>
      </c>
      <c r="Z745" s="236" t="s">
        <v>205</v>
      </c>
      <c r="AA745" s="235" t="s">
        <v>567</v>
      </c>
      <c r="AB745" s="249"/>
      <c r="AC745" s="576"/>
      <c r="AD745" s="292">
        <f>AD746+AD776+AD789+AD782</f>
        <v>511231.3</v>
      </c>
      <c r="AE745" s="475">
        <f>AE746+AE776+AE789</f>
        <v>508739.39999999997</v>
      </c>
      <c r="AF745" s="475">
        <f>AF746+AF776+AF789</f>
        <v>508745.39999999997</v>
      </c>
      <c r="AG745" s="553"/>
      <c r="AH745" s="553"/>
      <c r="AI745" s="455"/>
    </row>
    <row r="746" spans="24:36" x14ac:dyDescent="0.25">
      <c r="X746" s="520" t="s">
        <v>2021</v>
      </c>
      <c r="Y746" s="578" t="s">
        <v>1037</v>
      </c>
      <c r="Z746" s="236" t="s">
        <v>205</v>
      </c>
      <c r="AA746" s="235" t="s">
        <v>567</v>
      </c>
      <c r="AB746" s="442" t="s">
        <v>1759</v>
      </c>
      <c r="AC746" s="238"/>
      <c r="AD746" s="292">
        <f>AD747</f>
        <v>509298.4</v>
      </c>
      <c r="AE746" s="475">
        <f>AE747</f>
        <v>507789.39999999997</v>
      </c>
      <c r="AF746" s="475">
        <f>AF747</f>
        <v>507795.39999999997</v>
      </c>
      <c r="AG746" s="553"/>
      <c r="AH746" s="553"/>
      <c r="AI746" s="455"/>
    </row>
    <row r="747" spans="24:36" x14ac:dyDescent="0.25">
      <c r="X747" s="520" t="s">
        <v>2028</v>
      </c>
      <c r="Y747" s="246" t="s">
        <v>1037</v>
      </c>
      <c r="Z747" s="235" t="s">
        <v>205</v>
      </c>
      <c r="AA747" s="235" t="s">
        <v>567</v>
      </c>
      <c r="AB747" s="442" t="s">
        <v>1760</v>
      </c>
      <c r="AC747" s="238"/>
      <c r="AD747" s="292">
        <f>AD748+AD762+AD772</f>
        <v>509298.4</v>
      </c>
      <c r="AE747" s="475">
        <f>AE748+AE762+AE772</f>
        <v>507789.39999999997</v>
      </c>
      <c r="AF747" s="475">
        <f>AF748+AF762+AF772</f>
        <v>507795.39999999997</v>
      </c>
      <c r="AG747" s="553"/>
      <c r="AH747" s="553"/>
      <c r="AI747" s="455"/>
    </row>
    <row r="748" spans="24:36" ht="31.5" x14ac:dyDescent="0.25">
      <c r="X748" s="520" t="s">
        <v>2029</v>
      </c>
      <c r="Y748" s="578" t="s">
        <v>1037</v>
      </c>
      <c r="Z748" s="235" t="s">
        <v>205</v>
      </c>
      <c r="AA748" s="235" t="s">
        <v>567</v>
      </c>
      <c r="AB748" s="442" t="s">
        <v>1792</v>
      </c>
      <c r="AC748" s="238"/>
      <c r="AD748" s="292">
        <f>AD749+AD759+AD756</f>
        <v>460947.20000000001</v>
      </c>
      <c r="AE748" s="475">
        <f>AE749+AE759+AE756</f>
        <v>457404.1</v>
      </c>
      <c r="AF748" s="475">
        <f>AF749+AF759+AF756</f>
        <v>457404.1</v>
      </c>
      <c r="AG748" s="553"/>
      <c r="AH748" s="553"/>
      <c r="AI748" s="455"/>
    </row>
    <row r="749" spans="24:36" ht="31.5" x14ac:dyDescent="0.25">
      <c r="X749" s="520" t="s">
        <v>2030</v>
      </c>
      <c r="Y749" s="578" t="s">
        <v>1037</v>
      </c>
      <c r="Z749" s="235" t="s">
        <v>205</v>
      </c>
      <c r="AA749" s="235" t="s">
        <v>567</v>
      </c>
      <c r="AB749" s="442" t="s">
        <v>2031</v>
      </c>
      <c r="AC749" s="238"/>
      <c r="AD749" s="292">
        <f>AD750+AD753</f>
        <v>74778.2</v>
      </c>
      <c r="AE749" s="475">
        <f>AE750+AE753</f>
        <v>71763.100000000006</v>
      </c>
      <c r="AF749" s="475">
        <f>AF750+AF753</f>
        <v>71763.100000000006</v>
      </c>
      <c r="AG749" s="553"/>
      <c r="AH749" s="553"/>
      <c r="AI749" s="455"/>
    </row>
    <row r="750" spans="24:36" ht="31.5" x14ac:dyDescent="0.25">
      <c r="X750" s="520" t="s">
        <v>2238</v>
      </c>
      <c r="Y750" s="246" t="s">
        <v>1037</v>
      </c>
      <c r="Z750" s="235" t="s">
        <v>205</v>
      </c>
      <c r="AA750" s="235" t="s">
        <v>567</v>
      </c>
      <c r="AB750" s="442" t="s">
        <v>2032</v>
      </c>
      <c r="AC750" s="593"/>
      <c r="AD750" s="292">
        <f>AD751</f>
        <v>69129</v>
      </c>
      <c r="AE750" s="475">
        <f>AE751</f>
        <v>69929</v>
      </c>
      <c r="AF750" s="475">
        <f>AF751</f>
        <v>69929</v>
      </c>
      <c r="AG750" s="553"/>
      <c r="AH750" s="553"/>
      <c r="AI750" s="455"/>
    </row>
    <row r="751" spans="24:36" ht="31.5" x14ac:dyDescent="0.25">
      <c r="X751" s="519" t="s">
        <v>1342</v>
      </c>
      <c r="Y751" s="246" t="s">
        <v>1037</v>
      </c>
      <c r="Z751" s="235" t="s">
        <v>205</v>
      </c>
      <c r="AA751" s="235" t="s">
        <v>567</v>
      </c>
      <c r="AB751" s="442" t="s">
        <v>2032</v>
      </c>
      <c r="AC751" s="238">
        <v>600</v>
      </c>
      <c r="AD751" s="292">
        <f t="shared" ref="AD751:AF754" si="191">AD752</f>
        <v>69129</v>
      </c>
      <c r="AE751" s="475">
        <f t="shared" si="191"/>
        <v>69929</v>
      </c>
      <c r="AF751" s="475">
        <f t="shared" si="191"/>
        <v>69929</v>
      </c>
      <c r="AG751" s="553"/>
      <c r="AH751" s="553"/>
      <c r="AI751" s="455"/>
    </row>
    <row r="752" spans="24:36" x14ac:dyDescent="0.25">
      <c r="X752" s="519" t="s">
        <v>1343</v>
      </c>
      <c r="Y752" s="246" t="s">
        <v>1037</v>
      </c>
      <c r="Z752" s="235" t="s">
        <v>205</v>
      </c>
      <c r="AA752" s="235" t="s">
        <v>567</v>
      </c>
      <c r="AB752" s="442" t="s">
        <v>2032</v>
      </c>
      <c r="AC752" s="238">
        <v>610</v>
      </c>
      <c r="AD752" s="292">
        <f>69929-800</f>
        <v>69129</v>
      </c>
      <c r="AE752" s="475">
        <v>69929</v>
      </c>
      <c r="AF752" s="475">
        <v>69929</v>
      </c>
      <c r="AG752" s="553"/>
      <c r="AH752" s="553"/>
      <c r="AI752" s="455"/>
    </row>
    <row r="753" spans="1:36" ht="31.5" x14ac:dyDescent="0.25">
      <c r="X753" s="519" t="s">
        <v>2034</v>
      </c>
      <c r="Y753" s="246" t="s">
        <v>1037</v>
      </c>
      <c r="Z753" s="235" t="s">
        <v>205</v>
      </c>
      <c r="AA753" s="235" t="s">
        <v>567</v>
      </c>
      <c r="AB753" s="442" t="s">
        <v>2033</v>
      </c>
      <c r="AC753" s="238"/>
      <c r="AD753" s="292">
        <f>AD754</f>
        <v>5649.2</v>
      </c>
      <c r="AE753" s="475">
        <f>AE754</f>
        <v>1834.1</v>
      </c>
      <c r="AF753" s="475">
        <f>AF754</f>
        <v>1834.1</v>
      </c>
      <c r="AG753" s="553"/>
      <c r="AH753" s="553"/>
      <c r="AI753" s="455"/>
    </row>
    <row r="754" spans="1:36" ht="31.5" x14ac:dyDescent="0.25">
      <c r="X754" s="519" t="s">
        <v>1342</v>
      </c>
      <c r="Y754" s="246" t="s">
        <v>1037</v>
      </c>
      <c r="Z754" s="235" t="s">
        <v>205</v>
      </c>
      <c r="AA754" s="235" t="s">
        <v>567</v>
      </c>
      <c r="AB754" s="442" t="s">
        <v>2033</v>
      </c>
      <c r="AC754" s="238">
        <v>600</v>
      </c>
      <c r="AD754" s="292">
        <f t="shared" si="191"/>
        <v>5649.2</v>
      </c>
      <c r="AE754" s="475">
        <f t="shared" si="191"/>
        <v>1834.1</v>
      </c>
      <c r="AF754" s="475">
        <f t="shared" si="191"/>
        <v>1834.1</v>
      </c>
      <c r="AG754" s="553"/>
      <c r="AH754" s="553"/>
      <c r="AI754" s="455"/>
    </row>
    <row r="755" spans="1:36" x14ac:dyDescent="0.25">
      <c r="X755" s="519" t="s">
        <v>1343</v>
      </c>
      <c r="Y755" s="246" t="s">
        <v>1037</v>
      </c>
      <c r="Z755" s="235" t="s">
        <v>205</v>
      </c>
      <c r="AA755" s="235" t="s">
        <v>567</v>
      </c>
      <c r="AB755" s="442" t="s">
        <v>2033</v>
      </c>
      <c r="AC755" s="238">
        <v>610</v>
      </c>
      <c r="AD755" s="292">
        <f>1834.1-600+1500+600+70+1153.2+304+600+187.9</f>
        <v>5649.2</v>
      </c>
      <c r="AE755" s="475">
        <v>1834.1</v>
      </c>
      <c r="AF755" s="475">
        <v>1834.1</v>
      </c>
      <c r="AG755" s="553"/>
      <c r="AH755" s="553"/>
      <c r="AI755" s="878"/>
      <c r="AJ755" s="879"/>
    </row>
    <row r="756" spans="1:36" ht="141.75" x14ac:dyDescent="0.25">
      <c r="X756" s="514" t="s">
        <v>2287</v>
      </c>
      <c r="Y756" s="246" t="s">
        <v>1037</v>
      </c>
      <c r="Z756" s="235" t="s">
        <v>205</v>
      </c>
      <c r="AA756" s="235" t="s">
        <v>567</v>
      </c>
      <c r="AB756" s="249" t="s">
        <v>2288</v>
      </c>
      <c r="AC756" s="238"/>
      <c r="AD756" s="292">
        <f t="shared" ref="AD756:AF757" si="192">AD757</f>
        <v>18358</v>
      </c>
      <c r="AE756" s="475">
        <f t="shared" si="192"/>
        <v>18358</v>
      </c>
      <c r="AF756" s="475">
        <f t="shared" si="192"/>
        <v>18358</v>
      </c>
      <c r="AG756" s="553"/>
      <c r="AH756" s="553"/>
      <c r="AI756" s="632"/>
      <c r="AJ756" s="633"/>
    </row>
    <row r="757" spans="1:36" ht="31.5" x14ac:dyDescent="0.25">
      <c r="X757" s="519" t="s">
        <v>1342</v>
      </c>
      <c r="Y757" s="246" t="s">
        <v>1037</v>
      </c>
      <c r="Z757" s="235" t="s">
        <v>205</v>
      </c>
      <c r="AA757" s="235" t="s">
        <v>567</v>
      </c>
      <c r="AB757" s="249" t="s">
        <v>2288</v>
      </c>
      <c r="AC757" s="238">
        <v>600</v>
      </c>
      <c r="AD757" s="292">
        <f t="shared" si="192"/>
        <v>18358</v>
      </c>
      <c r="AE757" s="475">
        <f t="shared" si="192"/>
        <v>18358</v>
      </c>
      <c r="AF757" s="475">
        <f t="shared" si="192"/>
        <v>18358</v>
      </c>
      <c r="AG757" s="553"/>
      <c r="AH757" s="553"/>
      <c r="AI757" s="632"/>
      <c r="AJ757" s="633"/>
    </row>
    <row r="758" spans="1:36" x14ac:dyDescent="0.25">
      <c r="X758" s="519" t="s">
        <v>1343</v>
      </c>
      <c r="Y758" s="246" t="s">
        <v>1037</v>
      </c>
      <c r="Z758" s="235" t="s">
        <v>205</v>
      </c>
      <c r="AA758" s="235" t="s">
        <v>567</v>
      </c>
      <c r="AB758" s="249" t="s">
        <v>2288</v>
      </c>
      <c r="AC758" s="238">
        <v>610</v>
      </c>
      <c r="AD758" s="292">
        <f>18358</f>
        <v>18358</v>
      </c>
      <c r="AE758" s="475">
        <f>18358</f>
        <v>18358</v>
      </c>
      <c r="AF758" s="475">
        <f>18358</f>
        <v>18358</v>
      </c>
      <c r="AG758" s="553"/>
      <c r="AH758" s="553"/>
      <c r="AI758" s="632"/>
      <c r="AJ758" s="633"/>
    </row>
    <row r="759" spans="1:36" ht="126" x14ac:dyDescent="0.25">
      <c r="X759" s="521" t="s">
        <v>2035</v>
      </c>
      <c r="Y759" s="246" t="s">
        <v>1037</v>
      </c>
      <c r="Z759" s="235" t="s">
        <v>205</v>
      </c>
      <c r="AA759" s="235" t="s">
        <v>567</v>
      </c>
      <c r="AB759" s="249" t="s">
        <v>1793</v>
      </c>
      <c r="AC759" s="576"/>
      <c r="AD759" s="292">
        <f t="shared" ref="AD759:AF760" si="193">AD760</f>
        <v>367811</v>
      </c>
      <c r="AE759" s="475">
        <f t="shared" si="193"/>
        <v>367283</v>
      </c>
      <c r="AF759" s="475">
        <f t="shared" si="193"/>
        <v>367283</v>
      </c>
      <c r="AG759" s="553"/>
      <c r="AH759" s="553"/>
      <c r="AI759" s="455"/>
    </row>
    <row r="760" spans="1:36" ht="31.5" x14ac:dyDescent="0.25">
      <c r="X760" s="519" t="s">
        <v>1342</v>
      </c>
      <c r="Y760" s="246" t="s">
        <v>1037</v>
      </c>
      <c r="Z760" s="235" t="s">
        <v>205</v>
      </c>
      <c r="AA760" s="235" t="s">
        <v>567</v>
      </c>
      <c r="AB760" s="249" t="s">
        <v>1793</v>
      </c>
      <c r="AC760" s="238">
        <v>600</v>
      </c>
      <c r="AD760" s="292">
        <f t="shared" si="193"/>
        <v>367811</v>
      </c>
      <c r="AE760" s="475">
        <f t="shared" si="193"/>
        <v>367283</v>
      </c>
      <c r="AF760" s="475">
        <f t="shared" si="193"/>
        <v>367283</v>
      </c>
      <c r="AG760" s="553"/>
      <c r="AH760" s="553"/>
      <c r="AI760" s="455"/>
    </row>
    <row r="761" spans="1:36" x14ac:dyDescent="0.25">
      <c r="X761" s="519" t="s">
        <v>1343</v>
      </c>
      <c r="Y761" s="246" t="s">
        <v>1037</v>
      </c>
      <c r="Z761" s="235" t="s">
        <v>205</v>
      </c>
      <c r="AA761" s="235" t="s">
        <v>567</v>
      </c>
      <c r="AB761" s="249" t="s">
        <v>1793</v>
      </c>
      <c r="AC761" s="238">
        <v>610</v>
      </c>
      <c r="AD761" s="292">
        <f>364049+3234+715-187</f>
        <v>367811</v>
      </c>
      <c r="AE761" s="475">
        <f>364049+3234</f>
        <v>367283</v>
      </c>
      <c r="AF761" s="475">
        <f>364049+3234</f>
        <v>367283</v>
      </c>
      <c r="AG761" s="553"/>
      <c r="AH761" s="553"/>
      <c r="AI761" s="455"/>
    </row>
    <row r="762" spans="1:36" ht="47.25" x14ac:dyDescent="0.25">
      <c r="A762" s="275" t="s">
        <v>1808</v>
      </c>
      <c r="B762" s="246" t="s">
        <v>1037</v>
      </c>
      <c r="C762" s="235" t="s">
        <v>205</v>
      </c>
      <c r="D762" s="235" t="s">
        <v>567</v>
      </c>
      <c r="E762" s="249" t="s">
        <v>1809</v>
      </c>
      <c r="F762" s="238"/>
      <c r="G762" s="292" t="e">
        <f>#REF!</f>
        <v>#REF!</v>
      </c>
      <c r="X762" s="520" t="s">
        <v>2036</v>
      </c>
      <c r="Y762" s="246" t="s">
        <v>1037</v>
      </c>
      <c r="Z762" s="235" t="s">
        <v>205</v>
      </c>
      <c r="AA762" s="235" t="s">
        <v>567</v>
      </c>
      <c r="AB762" s="442" t="s">
        <v>1794</v>
      </c>
      <c r="AC762" s="238"/>
      <c r="AD762" s="292">
        <f>AD769+AD763+AD766</f>
        <v>47332.4</v>
      </c>
      <c r="AE762" s="475">
        <f>AE769+AE763+AE766</f>
        <v>49359</v>
      </c>
      <c r="AF762" s="475">
        <f>AF769+AF763+AF766</f>
        <v>49365</v>
      </c>
      <c r="AG762" s="553"/>
      <c r="AH762" s="553"/>
      <c r="AI762" s="455"/>
    </row>
    <row r="763" spans="1:36" ht="47.25" x14ac:dyDescent="0.25">
      <c r="X763" s="519" t="s">
        <v>2037</v>
      </c>
      <c r="Y763" s="246" t="s">
        <v>1037</v>
      </c>
      <c r="Z763" s="235" t="s">
        <v>205</v>
      </c>
      <c r="AA763" s="235" t="s">
        <v>567</v>
      </c>
      <c r="AB763" s="442" t="s">
        <v>1795</v>
      </c>
      <c r="AC763" s="238"/>
      <c r="AD763" s="292">
        <f t="shared" ref="AD763:AF764" si="194">AD764</f>
        <v>69</v>
      </c>
      <c r="AE763" s="475">
        <f t="shared" si="194"/>
        <v>69</v>
      </c>
      <c r="AF763" s="475">
        <f t="shared" si="194"/>
        <v>69</v>
      </c>
      <c r="AG763" s="553"/>
      <c r="AH763" s="553"/>
      <c r="AI763" s="455"/>
    </row>
    <row r="764" spans="1:36" ht="31.5" x14ac:dyDescent="0.25">
      <c r="X764" s="519" t="s">
        <v>1342</v>
      </c>
      <c r="Y764" s="246" t="s">
        <v>1037</v>
      </c>
      <c r="Z764" s="235" t="s">
        <v>205</v>
      </c>
      <c r="AA764" s="235" t="s">
        <v>567</v>
      </c>
      <c r="AB764" s="249" t="str">
        <f>AB765</f>
        <v>03 2 03 62230</v>
      </c>
      <c r="AC764" s="576">
        <v>600</v>
      </c>
      <c r="AD764" s="292">
        <f t="shared" si="194"/>
        <v>69</v>
      </c>
      <c r="AE764" s="475">
        <f t="shared" si="194"/>
        <v>69</v>
      </c>
      <c r="AF764" s="475">
        <f t="shared" si="194"/>
        <v>69</v>
      </c>
      <c r="AG764" s="553"/>
      <c r="AH764" s="553"/>
      <c r="AI764" s="455"/>
    </row>
    <row r="765" spans="1:36" x14ac:dyDescent="0.25">
      <c r="X765" s="519" t="s">
        <v>1343</v>
      </c>
      <c r="Y765" s="246" t="s">
        <v>1037</v>
      </c>
      <c r="Z765" s="235" t="s">
        <v>205</v>
      </c>
      <c r="AA765" s="235" t="s">
        <v>567</v>
      </c>
      <c r="AB765" s="249" t="s">
        <v>1795</v>
      </c>
      <c r="AC765" s="576">
        <v>610</v>
      </c>
      <c r="AD765" s="292">
        <v>69</v>
      </c>
      <c r="AE765" s="475">
        <v>69</v>
      </c>
      <c r="AF765" s="475">
        <v>69</v>
      </c>
      <c r="AG765" s="553"/>
      <c r="AH765" s="553"/>
      <c r="AI765" s="455"/>
    </row>
    <row r="766" spans="1:36" ht="31.5" x14ac:dyDescent="0.25">
      <c r="X766" s="519" t="s">
        <v>2283</v>
      </c>
      <c r="Y766" s="246" t="s">
        <v>1037</v>
      </c>
      <c r="Z766" s="235" t="s">
        <v>205</v>
      </c>
      <c r="AA766" s="235" t="s">
        <v>567</v>
      </c>
      <c r="AB766" s="249" t="s">
        <v>2284</v>
      </c>
      <c r="AC766" s="238"/>
      <c r="AD766" s="292">
        <f t="shared" ref="AD766:AF767" si="195">AD767</f>
        <v>29567.4</v>
      </c>
      <c r="AE766" s="475">
        <f t="shared" si="195"/>
        <v>30942.999999999996</v>
      </c>
      <c r="AF766" s="475">
        <f t="shared" si="195"/>
        <v>30948.999999999996</v>
      </c>
      <c r="AG766" s="553"/>
      <c r="AH766" s="553"/>
      <c r="AI766" s="455"/>
    </row>
    <row r="767" spans="1:36" x14ac:dyDescent="0.25">
      <c r="X767" s="514" t="s">
        <v>1781</v>
      </c>
      <c r="Y767" s="246" t="s">
        <v>1037</v>
      </c>
      <c r="Z767" s="235" t="s">
        <v>205</v>
      </c>
      <c r="AA767" s="235" t="s">
        <v>567</v>
      </c>
      <c r="AB767" s="249" t="s">
        <v>2284</v>
      </c>
      <c r="AC767" s="238">
        <v>200</v>
      </c>
      <c r="AD767" s="292">
        <f t="shared" si="195"/>
        <v>29567.4</v>
      </c>
      <c r="AE767" s="475">
        <f t="shared" si="195"/>
        <v>30942.999999999996</v>
      </c>
      <c r="AF767" s="475">
        <f t="shared" si="195"/>
        <v>30948.999999999996</v>
      </c>
      <c r="AG767" s="553"/>
      <c r="AH767" s="553"/>
      <c r="AI767" s="455"/>
    </row>
    <row r="768" spans="1:36" ht="31.5" x14ac:dyDescent="0.25">
      <c r="X768" s="514" t="s">
        <v>1273</v>
      </c>
      <c r="Y768" s="246" t="s">
        <v>1037</v>
      </c>
      <c r="Z768" s="235" t="s">
        <v>205</v>
      </c>
      <c r="AA768" s="235" t="s">
        <v>567</v>
      </c>
      <c r="AB768" s="249" t="s">
        <v>2284</v>
      </c>
      <c r="AC768" s="238">
        <v>240</v>
      </c>
      <c r="AD768" s="292">
        <f>27120+2448.2-724.2+723.4</f>
        <v>29567.4</v>
      </c>
      <c r="AE768" s="475">
        <f>29051+2498.8-793.7+793.6-606.7</f>
        <v>30942.999999999996</v>
      </c>
      <c r="AF768" s="475">
        <f>25871+5679+3216-3177.2-1292.9+1293-639.9</f>
        <v>30948.999999999996</v>
      </c>
      <c r="AG768" s="553"/>
      <c r="AH768" s="553"/>
      <c r="AI768" s="455"/>
    </row>
    <row r="769" spans="1:35" ht="47.25" x14ac:dyDescent="0.25">
      <c r="X769" s="521" t="s">
        <v>2370</v>
      </c>
      <c r="Y769" s="246" t="s">
        <v>1037</v>
      </c>
      <c r="Z769" s="235" t="s">
        <v>205</v>
      </c>
      <c r="AA769" s="235" t="s">
        <v>567</v>
      </c>
      <c r="AB769" s="442" t="s">
        <v>2323</v>
      </c>
      <c r="AC769" s="575"/>
      <c r="AD769" s="292">
        <f t="shared" ref="AD769:AF770" si="196">AD770</f>
        <v>17696</v>
      </c>
      <c r="AE769" s="475">
        <f t="shared" si="196"/>
        <v>18347</v>
      </c>
      <c r="AF769" s="475">
        <f t="shared" si="196"/>
        <v>18347</v>
      </c>
      <c r="AG769" s="553"/>
      <c r="AH769" s="553"/>
      <c r="AI769" s="455"/>
    </row>
    <row r="770" spans="1:35" x14ac:dyDescent="0.25">
      <c r="X770" s="514" t="s">
        <v>1781</v>
      </c>
      <c r="Y770" s="246" t="s">
        <v>1037</v>
      </c>
      <c r="Z770" s="235" t="s">
        <v>205</v>
      </c>
      <c r="AA770" s="235" t="s">
        <v>567</v>
      </c>
      <c r="AB770" s="442" t="s">
        <v>2323</v>
      </c>
      <c r="AC770" s="583">
        <v>200</v>
      </c>
      <c r="AD770" s="292">
        <f t="shared" si="196"/>
        <v>17696</v>
      </c>
      <c r="AE770" s="475">
        <f t="shared" si="196"/>
        <v>18347</v>
      </c>
      <c r="AF770" s="475">
        <f t="shared" si="196"/>
        <v>18347</v>
      </c>
      <c r="AG770" s="553"/>
      <c r="AH770" s="553"/>
      <c r="AI770" s="455"/>
    </row>
    <row r="771" spans="1:35" ht="31.5" x14ac:dyDescent="0.25">
      <c r="X771" s="514" t="s">
        <v>1273</v>
      </c>
      <c r="Y771" s="246" t="s">
        <v>1037</v>
      </c>
      <c r="Z771" s="235" t="s">
        <v>205</v>
      </c>
      <c r="AA771" s="235" t="s">
        <v>567</v>
      </c>
      <c r="AB771" s="442" t="s">
        <v>2323</v>
      </c>
      <c r="AC771" s="583">
        <v>240</v>
      </c>
      <c r="AD771" s="292">
        <f>15926+1770</f>
        <v>17696</v>
      </c>
      <c r="AE771" s="475">
        <f>14511+3185+651</f>
        <v>18347</v>
      </c>
      <c r="AF771" s="475">
        <f>14511+3185+651</f>
        <v>18347</v>
      </c>
      <c r="AG771" s="553"/>
      <c r="AH771" s="553"/>
      <c r="AI771" s="455"/>
    </row>
    <row r="772" spans="1:35" ht="47.25" x14ac:dyDescent="0.25">
      <c r="A772" s="237"/>
      <c r="B772" s="237"/>
      <c r="C772" s="237"/>
      <c r="D772" s="237"/>
      <c r="E772" s="237"/>
      <c r="F772" s="237"/>
      <c r="G772" s="237"/>
      <c r="H772" s="237"/>
      <c r="I772" s="237"/>
      <c r="J772" s="237"/>
      <c r="K772" s="237"/>
      <c r="L772" s="237"/>
      <c r="M772" s="237"/>
      <c r="N772" s="237"/>
      <c r="O772" s="237"/>
      <c r="P772" s="237"/>
      <c r="R772" s="237"/>
      <c r="S772" s="237"/>
      <c r="W772" s="237"/>
      <c r="X772" s="520" t="s">
        <v>2127</v>
      </c>
      <c r="Y772" s="246" t="s">
        <v>1037</v>
      </c>
      <c r="Z772" s="235" t="s">
        <v>205</v>
      </c>
      <c r="AA772" s="235" t="s">
        <v>567</v>
      </c>
      <c r="AB772" s="442" t="s">
        <v>2166</v>
      </c>
      <c r="AC772" s="576"/>
      <c r="AD772" s="292">
        <f t="shared" ref="AD772:AF774" si="197">AD773</f>
        <v>1018.8</v>
      </c>
      <c r="AE772" s="475">
        <f t="shared" si="197"/>
        <v>1026.3</v>
      </c>
      <c r="AF772" s="475">
        <f t="shared" si="197"/>
        <v>1026.3</v>
      </c>
      <c r="AG772" s="553"/>
      <c r="AH772" s="553"/>
      <c r="AI772" s="455"/>
    </row>
    <row r="773" spans="1:35" ht="31.5" x14ac:dyDescent="0.25">
      <c r="A773" s="237"/>
      <c r="B773" s="237"/>
      <c r="C773" s="237"/>
      <c r="D773" s="237"/>
      <c r="E773" s="237"/>
      <c r="F773" s="237"/>
      <c r="G773" s="237"/>
      <c r="H773" s="237"/>
      <c r="I773" s="237"/>
      <c r="J773" s="237"/>
      <c r="K773" s="237"/>
      <c r="L773" s="237"/>
      <c r="M773" s="237"/>
      <c r="N773" s="237"/>
      <c r="O773" s="237"/>
      <c r="P773" s="237"/>
      <c r="R773" s="237"/>
      <c r="S773" s="237"/>
      <c r="W773" s="237"/>
      <c r="X773" s="520" t="s">
        <v>2030</v>
      </c>
      <c r="Y773" s="246" t="s">
        <v>1037</v>
      </c>
      <c r="Z773" s="235" t="s">
        <v>205</v>
      </c>
      <c r="AA773" s="235" t="s">
        <v>567</v>
      </c>
      <c r="AB773" s="442" t="s">
        <v>2167</v>
      </c>
      <c r="AC773" s="576"/>
      <c r="AD773" s="292">
        <f t="shared" si="197"/>
        <v>1018.8</v>
      </c>
      <c r="AE773" s="475">
        <f t="shared" si="197"/>
        <v>1026.3</v>
      </c>
      <c r="AF773" s="475">
        <f t="shared" si="197"/>
        <v>1026.3</v>
      </c>
      <c r="AG773" s="553"/>
      <c r="AH773" s="553"/>
      <c r="AI773" s="455"/>
    </row>
    <row r="774" spans="1:35" ht="31.5" x14ac:dyDescent="0.25">
      <c r="A774" s="237"/>
      <c r="B774" s="237"/>
      <c r="C774" s="237"/>
      <c r="D774" s="237"/>
      <c r="E774" s="237"/>
      <c r="F774" s="237"/>
      <c r="G774" s="237"/>
      <c r="H774" s="237"/>
      <c r="I774" s="237"/>
      <c r="J774" s="237"/>
      <c r="K774" s="237"/>
      <c r="L774" s="237"/>
      <c r="M774" s="237"/>
      <c r="N774" s="237"/>
      <c r="O774" s="237"/>
      <c r="P774" s="237"/>
      <c r="R774" s="237"/>
      <c r="S774" s="237"/>
      <c r="W774" s="237"/>
      <c r="X774" s="519" t="s">
        <v>1342</v>
      </c>
      <c r="Y774" s="246" t="s">
        <v>1037</v>
      </c>
      <c r="Z774" s="235" t="s">
        <v>205</v>
      </c>
      <c r="AA774" s="235" t="s">
        <v>567</v>
      </c>
      <c r="AB774" s="442" t="s">
        <v>2167</v>
      </c>
      <c r="AC774" s="576">
        <v>600</v>
      </c>
      <c r="AD774" s="292">
        <f t="shared" si="197"/>
        <v>1018.8</v>
      </c>
      <c r="AE774" s="475">
        <f t="shared" si="197"/>
        <v>1026.3</v>
      </c>
      <c r="AF774" s="475">
        <f t="shared" si="197"/>
        <v>1026.3</v>
      </c>
      <c r="AG774" s="553"/>
      <c r="AH774" s="553"/>
      <c r="AI774" s="455"/>
    </row>
    <row r="775" spans="1:35" x14ac:dyDescent="0.25">
      <c r="A775" s="237"/>
      <c r="B775" s="237"/>
      <c r="C775" s="237"/>
      <c r="D775" s="237"/>
      <c r="E775" s="237"/>
      <c r="F775" s="237"/>
      <c r="G775" s="237"/>
      <c r="H775" s="237"/>
      <c r="I775" s="237"/>
      <c r="J775" s="237"/>
      <c r="K775" s="237"/>
      <c r="L775" s="237"/>
      <c r="M775" s="237"/>
      <c r="N775" s="237"/>
      <c r="O775" s="237"/>
      <c r="P775" s="237"/>
      <c r="R775" s="237"/>
      <c r="S775" s="237"/>
      <c r="W775" s="237"/>
      <c r="X775" s="519" t="s">
        <v>1343</v>
      </c>
      <c r="Y775" s="246" t="s">
        <v>1037</v>
      </c>
      <c r="Z775" s="235" t="s">
        <v>205</v>
      </c>
      <c r="AA775" s="235" t="s">
        <v>567</v>
      </c>
      <c r="AB775" s="442" t="s">
        <v>2167</v>
      </c>
      <c r="AC775" s="576">
        <v>610</v>
      </c>
      <c r="AD775" s="292">
        <f>1026.3-7.5</f>
        <v>1018.8</v>
      </c>
      <c r="AE775" s="475">
        <v>1026.3</v>
      </c>
      <c r="AF775" s="475">
        <v>1026.3</v>
      </c>
      <c r="AG775" s="553"/>
      <c r="AH775" s="553"/>
      <c r="AI775" s="455"/>
    </row>
    <row r="776" spans="1:35" x14ac:dyDescent="0.25">
      <c r="X776" s="548" t="s">
        <v>2074</v>
      </c>
      <c r="Y776" s="246" t="s">
        <v>1037</v>
      </c>
      <c r="Z776" s="235" t="s">
        <v>205</v>
      </c>
      <c r="AA776" s="235" t="s">
        <v>567</v>
      </c>
      <c r="AB776" s="463" t="s">
        <v>1768</v>
      </c>
      <c r="AC776" s="576"/>
      <c r="AD776" s="292">
        <f>AD777</f>
        <v>950</v>
      </c>
      <c r="AE776" s="475">
        <f>AE777</f>
        <v>950</v>
      </c>
      <c r="AF776" s="475">
        <f>AF777</f>
        <v>950</v>
      </c>
      <c r="AG776" s="553"/>
      <c r="AH776" s="553"/>
      <c r="AI776" s="455"/>
    </row>
    <row r="777" spans="1:35" x14ac:dyDescent="0.25">
      <c r="X777" s="563" t="s">
        <v>2085</v>
      </c>
      <c r="Y777" s="246" t="s">
        <v>1037</v>
      </c>
      <c r="Z777" s="235" t="s">
        <v>205</v>
      </c>
      <c r="AA777" s="235" t="s">
        <v>567</v>
      </c>
      <c r="AB777" s="442" t="s">
        <v>1769</v>
      </c>
      <c r="AC777" s="238"/>
      <c r="AD777" s="292">
        <f t="shared" ref="AD777:AF780" si="198">AD778</f>
        <v>950</v>
      </c>
      <c r="AE777" s="475">
        <f t="shared" si="198"/>
        <v>950</v>
      </c>
      <c r="AF777" s="475">
        <f t="shared" si="198"/>
        <v>950</v>
      </c>
      <c r="AG777" s="553"/>
      <c r="AH777" s="553"/>
      <c r="AI777" s="455"/>
    </row>
    <row r="778" spans="1:35" ht="31.5" x14ac:dyDescent="0.25">
      <c r="X778" s="550" t="s">
        <v>2259</v>
      </c>
      <c r="Y778" s="246" t="s">
        <v>1037</v>
      </c>
      <c r="Z778" s="235" t="s">
        <v>205</v>
      </c>
      <c r="AA778" s="235" t="s">
        <v>567</v>
      </c>
      <c r="AB778" s="442" t="s">
        <v>2101</v>
      </c>
      <c r="AC778" s="238"/>
      <c r="AD778" s="292">
        <f t="shared" si="198"/>
        <v>950</v>
      </c>
      <c r="AE778" s="475">
        <f t="shared" si="198"/>
        <v>950</v>
      </c>
      <c r="AF778" s="475">
        <f t="shared" si="198"/>
        <v>950</v>
      </c>
      <c r="AG778" s="553"/>
      <c r="AH778" s="553"/>
      <c r="AI778" s="455"/>
    </row>
    <row r="779" spans="1:35" ht="31.5" x14ac:dyDescent="0.25">
      <c r="X779" s="564" t="s">
        <v>2087</v>
      </c>
      <c r="Y779" s="246" t="s">
        <v>1037</v>
      </c>
      <c r="Z779" s="235" t="s">
        <v>205</v>
      </c>
      <c r="AA779" s="235" t="s">
        <v>567</v>
      </c>
      <c r="AB779" s="442" t="s">
        <v>2088</v>
      </c>
      <c r="AC779" s="238"/>
      <c r="AD779" s="292">
        <f t="shared" si="198"/>
        <v>950</v>
      </c>
      <c r="AE779" s="475">
        <f t="shared" si="198"/>
        <v>950</v>
      </c>
      <c r="AF779" s="475">
        <f t="shared" si="198"/>
        <v>950</v>
      </c>
      <c r="AG779" s="553"/>
      <c r="AH779" s="553"/>
      <c r="AI779" s="455"/>
    </row>
    <row r="780" spans="1:35" ht="31.5" x14ac:dyDescent="0.25">
      <c r="X780" s="519" t="s">
        <v>1342</v>
      </c>
      <c r="Y780" s="246" t="s">
        <v>1037</v>
      </c>
      <c r="Z780" s="235" t="s">
        <v>205</v>
      </c>
      <c r="AA780" s="235" t="s">
        <v>567</v>
      </c>
      <c r="AB780" s="442" t="s">
        <v>2088</v>
      </c>
      <c r="AC780" s="576">
        <v>600</v>
      </c>
      <c r="AD780" s="292">
        <f t="shared" si="198"/>
        <v>950</v>
      </c>
      <c r="AE780" s="475">
        <f t="shared" si="198"/>
        <v>950</v>
      </c>
      <c r="AF780" s="475">
        <f t="shared" si="198"/>
        <v>950</v>
      </c>
      <c r="AG780" s="553"/>
      <c r="AH780" s="553"/>
      <c r="AI780" s="455"/>
    </row>
    <row r="781" spans="1:35" x14ac:dyDescent="0.25">
      <c r="X781" s="519" t="s">
        <v>1343</v>
      </c>
      <c r="Y781" s="246" t="s">
        <v>1037</v>
      </c>
      <c r="Z781" s="235" t="s">
        <v>205</v>
      </c>
      <c r="AA781" s="235" t="s">
        <v>567</v>
      </c>
      <c r="AB781" s="442" t="s">
        <v>2088</v>
      </c>
      <c r="AC781" s="576">
        <v>610</v>
      </c>
      <c r="AD781" s="292">
        <v>950</v>
      </c>
      <c r="AE781" s="475">
        <v>950</v>
      </c>
      <c r="AF781" s="475">
        <v>950</v>
      </c>
      <c r="AG781" s="553"/>
      <c r="AH781" s="553"/>
      <c r="AI781" s="455"/>
    </row>
    <row r="782" spans="1:35" ht="31.5" x14ac:dyDescent="0.25">
      <c r="X782" s="548" t="s">
        <v>1853</v>
      </c>
      <c r="Y782" s="246" t="s">
        <v>1037</v>
      </c>
      <c r="Z782" s="235" t="s">
        <v>205</v>
      </c>
      <c r="AA782" s="235" t="s">
        <v>567</v>
      </c>
      <c r="AB782" s="249" t="s">
        <v>1761</v>
      </c>
      <c r="AC782" s="579"/>
      <c r="AD782" s="292">
        <f t="shared" ref="AD782:AD787" si="199">AD783</f>
        <v>883.8</v>
      </c>
      <c r="AE782" s="292">
        <f t="shared" ref="AE782:AF782" si="200">AE783</f>
        <v>0</v>
      </c>
      <c r="AF782" s="292">
        <f t="shared" si="200"/>
        <v>0</v>
      </c>
      <c r="AG782" s="553"/>
      <c r="AH782" s="553"/>
      <c r="AI782" s="455"/>
    </row>
    <row r="783" spans="1:35" x14ac:dyDescent="0.25">
      <c r="X783" s="548" t="s">
        <v>1854</v>
      </c>
      <c r="Y783" s="246" t="s">
        <v>1037</v>
      </c>
      <c r="Z783" s="235" t="s">
        <v>205</v>
      </c>
      <c r="AA783" s="235" t="s">
        <v>567</v>
      </c>
      <c r="AB783" s="249" t="s">
        <v>1765</v>
      </c>
      <c r="AC783" s="579"/>
      <c r="AD783" s="292">
        <f t="shared" si="199"/>
        <v>883.8</v>
      </c>
      <c r="AE783" s="292">
        <f t="shared" ref="AE783:AF783" si="201">AE784</f>
        <v>0</v>
      </c>
      <c r="AF783" s="292">
        <f t="shared" si="201"/>
        <v>0</v>
      </c>
      <c r="AG783" s="553"/>
      <c r="AH783" s="553"/>
      <c r="AI783" s="455"/>
    </row>
    <row r="784" spans="1:35" ht="47.25" x14ac:dyDescent="0.25">
      <c r="X784" s="514" t="s">
        <v>2253</v>
      </c>
      <c r="Y784" s="246" t="s">
        <v>1037</v>
      </c>
      <c r="Z784" s="235" t="s">
        <v>205</v>
      </c>
      <c r="AA784" s="235" t="s">
        <v>567</v>
      </c>
      <c r="AB784" s="442" t="s">
        <v>1785</v>
      </c>
      <c r="AC784" s="579"/>
      <c r="AD784" s="292">
        <f t="shared" si="199"/>
        <v>883.8</v>
      </c>
      <c r="AE784" s="292">
        <f t="shared" ref="AE784:AF784" si="202">AE785</f>
        <v>0</v>
      </c>
      <c r="AF784" s="292">
        <f t="shared" si="202"/>
        <v>0</v>
      </c>
      <c r="AG784" s="553"/>
      <c r="AH784" s="553"/>
      <c r="AI784" s="455"/>
    </row>
    <row r="785" spans="24:35" ht="47.25" x14ac:dyDescent="0.25">
      <c r="X785" s="548" t="s">
        <v>1855</v>
      </c>
      <c r="Y785" s="246" t="s">
        <v>1037</v>
      </c>
      <c r="Z785" s="235" t="s">
        <v>205</v>
      </c>
      <c r="AA785" s="235" t="s">
        <v>567</v>
      </c>
      <c r="AB785" s="442" t="s">
        <v>1856</v>
      </c>
      <c r="AC785" s="579"/>
      <c r="AD785" s="292">
        <f t="shared" si="199"/>
        <v>883.8</v>
      </c>
      <c r="AE785" s="292">
        <f t="shared" ref="AE785:AF785" si="203">AE786</f>
        <v>0</v>
      </c>
      <c r="AF785" s="292">
        <f t="shared" si="203"/>
        <v>0</v>
      </c>
      <c r="AG785" s="553"/>
      <c r="AH785" s="553"/>
      <c r="AI785" s="455"/>
    </row>
    <row r="786" spans="24:35" ht="63" x14ac:dyDescent="0.25">
      <c r="X786" s="524" t="s">
        <v>2248</v>
      </c>
      <c r="Y786" s="246" t="s">
        <v>1037</v>
      </c>
      <c r="Z786" s="235" t="s">
        <v>205</v>
      </c>
      <c r="AA786" s="235" t="s">
        <v>567</v>
      </c>
      <c r="AB786" s="442" t="s">
        <v>1857</v>
      </c>
      <c r="AC786" s="579"/>
      <c r="AD786" s="292">
        <f t="shared" si="199"/>
        <v>883.8</v>
      </c>
      <c r="AE786" s="292">
        <f t="shared" ref="AE786:AF786" si="204">AE787</f>
        <v>0</v>
      </c>
      <c r="AF786" s="292">
        <f t="shared" si="204"/>
        <v>0</v>
      </c>
      <c r="AG786" s="553"/>
      <c r="AH786" s="553"/>
      <c r="AI786" s="455"/>
    </row>
    <row r="787" spans="24:35" ht="31.5" x14ac:dyDescent="0.25">
      <c r="X787" s="519" t="s">
        <v>1342</v>
      </c>
      <c r="Y787" s="246">
        <v>901</v>
      </c>
      <c r="Z787" s="235" t="s">
        <v>205</v>
      </c>
      <c r="AA787" s="235" t="s">
        <v>567</v>
      </c>
      <c r="AB787" s="442" t="s">
        <v>1857</v>
      </c>
      <c r="AC787" s="576">
        <v>600</v>
      </c>
      <c r="AD787" s="292">
        <f t="shared" si="199"/>
        <v>883.8</v>
      </c>
      <c r="AE787" s="292">
        <f t="shared" ref="AE787:AF787" si="205">AE788</f>
        <v>0</v>
      </c>
      <c r="AF787" s="292">
        <f t="shared" si="205"/>
        <v>0</v>
      </c>
      <c r="AG787" s="553"/>
      <c r="AH787" s="553"/>
      <c r="AI787" s="455"/>
    </row>
    <row r="788" spans="24:35" x14ac:dyDescent="0.25">
      <c r="X788" s="519" t="s">
        <v>1343</v>
      </c>
      <c r="Y788" s="246">
        <v>901</v>
      </c>
      <c r="Z788" s="235" t="s">
        <v>205</v>
      </c>
      <c r="AA788" s="235" t="s">
        <v>567</v>
      </c>
      <c r="AB788" s="442" t="s">
        <v>1857</v>
      </c>
      <c r="AC788" s="576">
        <v>610</v>
      </c>
      <c r="AD788" s="292">
        <f>403.8+480</f>
        <v>883.8</v>
      </c>
      <c r="AE788" s="475">
        <v>0</v>
      </c>
      <c r="AF788" s="475">
        <v>0</v>
      </c>
      <c r="AG788" s="553"/>
      <c r="AH788" s="553"/>
      <c r="AI788" s="455"/>
    </row>
    <row r="789" spans="24:35" x14ac:dyDescent="0.25">
      <c r="X789" s="514" t="s">
        <v>2194</v>
      </c>
      <c r="Y789" s="246" t="s">
        <v>1037</v>
      </c>
      <c r="Z789" s="235" t="s">
        <v>205</v>
      </c>
      <c r="AA789" s="235" t="s">
        <v>567</v>
      </c>
      <c r="AB789" s="284" t="s">
        <v>1815</v>
      </c>
      <c r="AC789" s="579"/>
      <c r="AD789" s="292">
        <f t="shared" ref="AD789:AF792" si="206">AD790</f>
        <v>99.1</v>
      </c>
      <c r="AE789" s="475">
        <f t="shared" ref="AE789:AF791" si="207">AE790</f>
        <v>0</v>
      </c>
      <c r="AF789" s="475">
        <f t="shared" si="207"/>
        <v>0</v>
      </c>
      <c r="AG789" s="553"/>
      <c r="AH789" s="553"/>
      <c r="AI789" s="455"/>
    </row>
    <row r="790" spans="24:35" x14ac:dyDescent="0.25">
      <c r="X790" s="546" t="s">
        <v>2257</v>
      </c>
      <c r="Y790" s="246" t="s">
        <v>1037</v>
      </c>
      <c r="Z790" s="235" t="s">
        <v>205</v>
      </c>
      <c r="AA790" s="235" t="s">
        <v>567</v>
      </c>
      <c r="AB790" s="549" t="s">
        <v>2258</v>
      </c>
      <c r="AC790" s="579"/>
      <c r="AD790" s="292">
        <f t="shared" si="206"/>
        <v>99.1</v>
      </c>
      <c r="AE790" s="475">
        <f t="shared" si="207"/>
        <v>0</v>
      </c>
      <c r="AF790" s="475">
        <f t="shared" si="207"/>
        <v>0</v>
      </c>
      <c r="AG790" s="553"/>
      <c r="AH790" s="553"/>
      <c r="AI790" s="455"/>
    </row>
    <row r="791" spans="24:35" ht="112.9" customHeight="1" x14ac:dyDescent="0.25">
      <c r="X791" s="519" t="s">
        <v>2410</v>
      </c>
      <c r="Y791" s="246" t="s">
        <v>1037</v>
      </c>
      <c r="Z791" s="235" t="s">
        <v>205</v>
      </c>
      <c r="AA791" s="235" t="s">
        <v>567</v>
      </c>
      <c r="AB791" s="549" t="s">
        <v>2409</v>
      </c>
      <c r="AC791" s="579"/>
      <c r="AD791" s="292">
        <f t="shared" si="206"/>
        <v>99.1</v>
      </c>
      <c r="AE791" s="475">
        <f t="shared" si="207"/>
        <v>0</v>
      </c>
      <c r="AF791" s="475">
        <f t="shared" si="207"/>
        <v>0</v>
      </c>
      <c r="AG791" s="553"/>
      <c r="AH791" s="553"/>
      <c r="AI791" s="455"/>
    </row>
    <row r="792" spans="24:35" x14ac:dyDescent="0.25">
      <c r="X792" s="519" t="s">
        <v>923</v>
      </c>
      <c r="Y792" s="246" t="s">
        <v>1037</v>
      </c>
      <c r="Z792" s="235" t="s">
        <v>205</v>
      </c>
      <c r="AA792" s="235" t="s">
        <v>567</v>
      </c>
      <c r="AB792" s="549" t="s">
        <v>2409</v>
      </c>
      <c r="AC792" s="579" t="s">
        <v>2240</v>
      </c>
      <c r="AD792" s="292">
        <f t="shared" si="206"/>
        <v>99.1</v>
      </c>
      <c r="AE792" s="475">
        <f t="shared" si="206"/>
        <v>0</v>
      </c>
      <c r="AF792" s="475">
        <f t="shared" si="206"/>
        <v>0</v>
      </c>
      <c r="AG792" s="553"/>
      <c r="AH792" s="553"/>
      <c r="AI792" s="455"/>
    </row>
    <row r="793" spans="24:35" x14ac:dyDescent="0.25">
      <c r="X793" s="519" t="s">
        <v>1319</v>
      </c>
      <c r="Y793" s="246" t="s">
        <v>1037</v>
      </c>
      <c r="Z793" s="235" t="s">
        <v>205</v>
      </c>
      <c r="AA793" s="235" t="s">
        <v>567</v>
      </c>
      <c r="AB793" s="549" t="s">
        <v>2409</v>
      </c>
      <c r="AC793" s="579" t="s">
        <v>2391</v>
      </c>
      <c r="AD793" s="292">
        <v>99.1</v>
      </c>
      <c r="AE793" s="475">
        <v>0</v>
      </c>
      <c r="AF793" s="475">
        <v>0</v>
      </c>
      <c r="AG793" s="553"/>
      <c r="AH793" s="553"/>
      <c r="AI793" s="455"/>
    </row>
    <row r="794" spans="24:35" x14ac:dyDescent="0.25">
      <c r="X794" s="519" t="s">
        <v>1812</v>
      </c>
      <c r="Y794" s="246">
        <v>901</v>
      </c>
      <c r="Z794" s="236" t="s">
        <v>205</v>
      </c>
      <c r="AA794" s="235" t="s">
        <v>193</v>
      </c>
      <c r="AB794" s="249"/>
      <c r="AC794" s="238"/>
      <c r="AD794" s="292">
        <f t="shared" ref="AD794:AF795" si="208">AD795</f>
        <v>76099.899999999994</v>
      </c>
      <c r="AE794" s="475">
        <f t="shared" si="208"/>
        <v>72169.899999999994</v>
      </c>
      <c r="AF794" s="475">
        <f t="shared" si="208"/>
        <v>72169.899999999994</v>
      </c>
      <c r="AG794" s="553"/>
      <c r="AH794" s="553"/>
      <c r="AI794" s="455"/>
    </row>
    <row r="795" spans="24:35" x14ac:dyDescent="0.25">
      <c r="X795" s="520" t="s">
        <v>2021</v>
      </c>
      <c r="Y795" s="246">
        <v>901</v>
      </c>
      <c r="Z795" s="236" t="s">
        <v>205</v>
      </c>
      <c r="AA795" s="235" t="s">
        <v>193</v>
      </c>
      <c r="AB795" s="249" t="s">
        <v>1759</v>
      </c>
      <c r="AC795" s="238"/>
      <c r="AD795" s="292">
        <f t="shared" si="208"/>
        <v>76099.899999999994</v>
      </c>
      <c r="AE795" s="475">
        <f t="shared" si="208"/>
        <v>72169.899999999994</v>
      </c>
      <c r="AF795" s="475">
        <f t="shared" si="208"/>
        <v>72169.899999999994</v>
      </c>
      <c r="AG795" s="553"/>
      <c r="AH795" s="553"/>
      <c r="AI795" s="455"/>
    </row>
    <row r="796" spans="24:35" ht="31.5" x14ac:dyDescent="0.25">
      <c r="X796" s="520" t="s">
        <v>2038</v>
      </c>
      <c r="Y796" s="246">
        <v>901</v>
      </c>
      <c r="Z796" s="236" t="s">
        <v>205</v>
      </c>
      <c r="AA796" s="235" t="s">
        <v>193</v>
      </c>
      <c r="AB796" s="442" t="s">
        <v>1778</v>
      </c>
      <c r="AC796" s="580"/>
      <c r="AD796" s="734">
        <f>AD797+AD805</f>
        <v>76099.899999999994</v>
      </c>
      <c r="AE796" s="488">
        <f>AE797+AE805</f>
        <v>72169.899999999994</v>
      </c>
      <c r="AF796" s="488">
        <f>AF797+AF805</f>
        <v>72169.899999999994</v>
      </c>
      <c r="AG796" s="641"/>
      <c r="AH796" s="641"/>
      <c r="AI796" s="455"/>
    </row>
    <row r="797" spans="24:35" ht="31.5" x14ac:dyDescent="0.25">
      <c r="X797" s="520" t="s">
        <v>2039</v>
      </c>
      <c r="Y797" s="246">
        <v>901</v>
      </c>
      <c r="Z797" s="236" t="s">
        <v>205</v>
      </c>
      <c r="AA797" s="235" t="s">
        <v>193</v>
      </c>
      <c r="AB797" s="442" t="s">
        <v>2183</v>
      </c>
      <c r="AC797" s="580"/>
      <c r="AD797" s="734">
        <f>AD798</f>
        <v>63907.5</v>
      </c>
      <c r="AE797" s="488">
        <f>AE798</f>
        <v>37392.800000000003</v>
      </c>
      <c r="AF797" s="488">
        <f>AF798</f>
        <v>37392.800000000003</v>
      </c>
      <c r="AG797" s="641"/>
      <c r="AH797" s="641"/>
      <c r="AI797" s="455"/>
    </row>
    <row r="798" spans="24:35" ht="31.5" x14ac:dyDescent="0.25">
      <c r="X798" s="520" t="s">
        <v>2040</v>
      </c>
      <c r="Y798" s="246">
        <v>901</v>
      </c>
      <c r="Z798" s="236" t="s">
        <v>205</v>
      </c>
      <c r="AA798" s="235" t="s">
        <v>193</v>
      </c>
      <c r="AB798" s="442" t="s">
        <v>2184</v>
      </c>
      <c r="AC798" s="596"/>
      <c r="AD798" s="734">
        <f>AD799+AD802</f>
        <v>63907.5</v>
      </c>
      <c r="AE798" s="488">
        <f>AE799+AE802</f>
        <v>37392.800000000003</v>
      </c>
      <c r="AF798" s="488">
        <f>AF799+AF802</f>
        <v>37392.800000000003</v>
      </c>
      <c r="AG798" s="641"/>
      <c r="AH798" s="641"/>
      <c r="AI798" s="455"/>
    </row>
    <row r="799" spans="24:35" ht="31.5" x14ac:dyDescent="0.25">
      <c r="X799" s="519" t="s">
        <v>2185</v>
      </c>
      <c r="Y799" s="246">
        <v>901</v>
      </c>
      <c r="Z799" s="236" t="s">
        <v>205</v>
      </c>
      <c r="AA799" s="235" t="s">
        <v>193</v>
      </c>
      <c r="AB799" s="442" t="s">
        <v>2187</v>
      </c>
      <c r="AC799" s="597"/>
      <c r="AD799" s="734">
        <f t="shared" ref="AD799:AF800" si="209">AD800</f>
        <v>59737.5</v>
      </c>
      <c r="AE799" s="488">
        <f t="shared" si="209"/>
        <v>37152.800000000003</v>
      </c>
      <c r="AF799" s="488">
        <f t="shared" si="209"/>
        <v>37152.800000000003</v>
      </c>
      <c r="AG799" s="641"/>
      <c r="AH799" s="641"/>
      <c r="AI799" s="455"/>
    </row>
    <row r="800" spans="24:35" ht="31.5" x14ac:dyDescent="0.25">
      <c r="X800" s="519" t="s">
        <v>1342</v>
      </c>
      <c r="Y800" s="246">
        <v>901</v>
      </c>
      <c r="Z800" s="236" t="s">
        <v>205</v>
      </c>
      <c r="AA800" s="235" t="s">
        <v>193</v>
      </c>
      <c r="AB800" s="442" t="s">
        <v>2187</v>
      </c>
      <c r="AC800" s="238">
        <v>600</v>
      </c>
      <c r="AD800" s="734">
        <f t="shared" si="209"/>
        <v>59737.5</v>
      </c>
      <c r="AE800" s="488">
        <f t="shared" si="209"/>
        <v>37152.800000000003</v>
      </c>
      <c r="AF800" s="488">
        <f t="shared" si="209"/>
        <v>37152.800000000003</v>
      </c>
      <c r="AG800" s="641"/>
      <c r="AH800" s="641"/>
      <c r="AI800" s="455"/>
    </row>
    <row r="801" spans="24:35" x14ac:dyDescent="0.25">
      <c r="X801" s="519" t="s">
        <v>1343</v>
      </c>
      <c r="Y801" s="246">
        <v>901</v>
      </c>
      <c r="Z801" s="236" t="s">
        <v>205</v>
      </c>
      <c r="AA801" s="235" t="s">
        <v>193</v>
      </c>
      <c r="AB801" s="442" t="s">
        <v>2187</v>
      </c>
      <c r="AC801" s="238">
        <v>610</v>
      </c>
      <c r="AD801" s="292">
        <f>37152.8+5469.2+17115.5</f>
        <v>59737.5</v>
      </c>
      <c r="AE801" s="475">
        <v>37152.800000000003</v>
      </c>
      <c r="AF801" s="475">
        <v>37152.800000000003</v>
      </c>
      <c r="AG801" s="641"/>
      <c r="AH801" s="641"/>
      <c r="AI801" s="455"/>
    </row>
    <row r="802" spans="24:35" ht="31.5" x14ac:dyDescent="0.25">
      <c r="X802" s="519" t="s">
        <v>2186</v>
      </c>
      <c r="Y802" s="246">
        <v>901</v>
      </c>
      <c r="Z802" s="236" t="s">
        <v>205</v>
      </c>
      <c r="AA802" s="235" t="s">
        <v>193</v>
      </c>
      <c r="AB802" s="442" t="s">
        <v>2188</v>
      </c>
      <c r="AC802" s="238"/>
      <c r="AD802" s="292">
        <f t="shared" ref="AD802:AF803" si="210">AD803</f>
        <v>4170</v>
      </c>
      <c r="AE802" s="475">
        <f t="shared" si="210"/>
        <v>240</v>
      </c>
      <c r="AF802" s="475">
        <f t="shared" si="210"/>
        <v>240</v>
      </c>
      <c r="AG802" s="553"/>
      <c r="AH802" s="553"/>
      <c r="AI802" s="455"/>
    </row>
    <row r="803" spans="24:35" ht="31.5" x14ac:dyDescent="0.25">
      <c r="X803" s="519" t="s">
        <v>1342</v>
      </c>
      <c r="Y803" s="246">
        <v>901</v>
      </c>
      <c r="Z803" s="236" t="s">
        <v>205</v>
      </c>
      <c r="AA803" s="235" t="s">
        <v>193</v>
      </c>
      <c r="AB803" s="442" t="s">
        <v>2188</v>
      </c>
      <c r="AC803" s="238">
        <v>600</v>
      </c>
      <c r="AD803" s="292">
        <f t="shared" si="210"/>
        <v>4170</v>
      </c>
      <c r="AE803" s="475">
        <f t="shared" si="210"/>
        <v>240</v>
      </c>
      <c r="AF803" s="475">
        <f t="shared" si="210"/>
        <v>240</v>
      </c>
      <c r="AG803" s="553"/>
      <c r="AH803" s="553"/>
      <c r="AI803" s="455"/>
    </row>
    <row r="804" spans="24:35" x14ac:dyDescent="0.25">
      <c r="X804" s="519" t="s">
        <v>1343</v>
      </c>
      <c r="Y804" s="246">
        <v>901</v>
      </c>
      <c r="Z804" s="236" t="s">
        <v>205</v>
      </c>
      <c r="AA804" s="235" t="s">
        <v>193</v>
      </c>
      <c r="AB804" s="442" t="s">
        <v>2188</v>
      </c>
      <c r="AC804" s="238">
        <v>610</v>
      </c>
      <c r="AD804" s="292">
        <f>240-70+4000</f>
        <v>4170</v>
      </c>
      <c r="AE804" s="475">
        <v>240</v>
      </c>
      <c r="AF804" s="475">
        <v>240</v>
      </c>
      <c r="AG804" s="553"/>
      <c r="AH804" s="553"/>
      <c r="AI804" s="455"/>
    </row>
    <row r="805" spans="24:35" ht="31.5" x14ac:dyDescent="0.25">
      <c r="X805" s="520" t="s">
        <v>2041</v>
      </c>
      <c r="Y805" s="246">
        <v>901</v>
      </c>
      <c r="Z805" s="236" t="s">
        <v>205</v>
      </c>
      <c r="AA805" s="235" t="s">
        <v>193</v>
      </c>
      <c r="AB805" s="442" t="s">
        <v>2285</v>
      </c>
      <c r="AC805" s="238"/>
      <c r="AD805" s="292">
        <f>AD806</f>
        <v>12192.399999999998</v>
      </c>
      <c r="AE805" s="475">
        <f>AE806</f>
        <v>34777.1</v>
      </c>
      <c r="AF805" s="475">
        <f>AF806</f>
        <v>34777.1</v>
      </c>
      <c r="AG805" s="553"/>
      <c r="AH805" s="553"/>
      <c r="AI805" s="455"/>
    </row>
    <row r="806" spans="24:35" ht="31.5" x14ac:dyDescent="0.25">
      <c r="X806" s="521" t="s">
        <v>1839</v>
      </c>
      <c r="Y806" s="246">
        <v>901</v>
      </c>
      <c r="Z806" s="236" t="s">
        <v>205</v>
      </c>
      <c r="AA806" s="235" t="s">
        <v>193</v>
      </c>
      <c r="AB806" s="442" t="s">
        <v>2286</v>
      </c>
      <c r="AC806" s="238"/>
      <c r="AD806" s="292">
        <f>AD807+AD811</f>
        <v>12192.399999999998</v>
      </c>
      <c r="AE806" s="475">
        <f>AE807+AE811</f>
        <v>34777.1</v>
      </c>
      <c r="AF806" s="475">
        <f>AF807+AF811</f>
        <v>34777.1</v>
      </c>
      <c r="AG806" s="553"/>
      <c r="AH806" s="553"/>
      <c r="AI806" s="455"/>
    </row>
    <row r="807" spans="24:35" ht="31.5" x14ac:dyDescent="0.25">
      <c r="X807" s="519" t="s">
        <v>1342</v>
      </c>
      <c r="Y807" s="246">
        <v>901</v>
      </c>
      <c r="Z807" s="236" t="s">
        <v>205</v>
      </c>
      <c r="AA807" s="235" t="s">
        <v>193</v>
      </c>
      <c r="AB807" s="442" t="s">
        <v>2286</v>
      </c>
      <c r="AC807" s="238">
        <v>600</v>
      </c>
      <c r="AD807" s="292">
        <f>AD808+AD809+AD810</f>
        <v>11792.399999999998</v>
      </c>
      <c r="AE807" s="475">
        <f>AE808+AE809+AE810</f>
        <v>34377.1</v>
      </c>
      <c r="AF807" s="475">
        <f>AF808+AF809+AF810</f>
        <v>34377.1</v>
      </c>
      <c r="AG807" s="553"/>
      <c r="AH807" s="553"/>
      <c r="AI807" s="455"/>
    </row>
    <row r="808" spans="24:35" x14ac:dyDescent="0.25">
      <c r="X808" s="519" t="s">
        <v>1343</v>
      </c>
      <c r="Y808" s="246">
        <v>901</v>
      </c>
      <c r="Z808" s="236" t="s">
        <v>205</v>
      </c>
      <c r="AA808" s="235" t="s">
        <v>193</v>
      </c>
      <c r="AB808" s="442" t="s">
        <v>2286</v>
      </c>
      <c r="AC808" s="238">
        <v>610</v>
      </c>
      <c r="AD808" s="292">
        <f>33877.1-5469.2-723.4+723.4-17115.5</f>
        <v>11292.399999999998</v>
      </c>
      <c r="AE808" s="475">
        <f>33877.1-793.6+793.6</f>
        <v>33877.1</v>
      </c>
      <c r="AF808" s="475">
        <f>33877.1-1293+1293</f>
        <v>33877.1</v>
      </c>
      <c r="AG808" s="553"/>
      <c r="AH808" s="553"/>
      <c r="AI808" s="455"/>
    </row>
    <row r="809" spans="24:35" x14ac:dyDescent="0.25">
      <c r="X809" s="519" t="s">
        <v>1800</v>
      </c>
      <c r="Y809" s="246">
        <v>901</v>
      </c>
      <c r="Z809" s="236" t="s">
        <v>205</v>
      </c>
      <c r="AA809" s="235" t="s">
        <v>193</v>
      </c>
      <c r="AB809" s="442" t="s">
        <v>2286</v>
      </c>
      <c r="AC809" s="238">
        <v>620</v>
      </c>
      <c r="AD809" s="292">
        <v>250</v>
      </c>
      <c r="AE809" s="475">
        <v>250</v>
      </c>
      <c r="AF809" s="475">
        <v>250</v>
      </c>
      <c r="AG809" s="553"/>
      <c r="AH809" s="553"/>
      <c r="AI809" s="455"/>
    </row>
    <row r="810" spans="24:35" ht="47.25" x14ac:dyDescent="0.25">
      <c r="X810" s="551" t="s">
        <v>2299</v>
      </c>
      <c r="Y810" s="246">
        <v>901</v>
      </c>
      <c r="Z810" s="236" t="s">
        <v>205</v>
      </c>
      <c r="AA810" s="235" t="s">
        <v>193</v>
      </c>
      <c r="AB810" s="442" t="s">
        <v>2286</v>
      </c>
      <c r="AC810" s="238">
        <v>630</v>
      </c>
      <c r="AD810" s="292">
        <v>250</v>
      </c>
      <c r="AE810" s="475">
        <v>250</v>
      </c>
      <c r="AF810" s="475">
        <v>250</v>
      </c>
      <c r="AG810" s="553"/>
      <c r="AH810" s="553"/>
      <c r="AI810" s="455"/>
    </row>
    <row r="811" spans="24:35" x14ac:dyDescent="0.25">
      <c r="X811" s="519" t="s">
        <v>923</v>
      </c>
      <c r="Y811" s="246">
        <v>901</v>
      </c>
      <c r="Z811" s="236" t="s">
        <v>205</v>
      </c>
      <c r="AA811" s="235" t="s">
        <v>193</v>
      </c>
      <c r="AB811" s="442" t="s">
        <v>2286</v>
      </c>
      <c r="AC811" s="238">
        <v>800</v>
      </c>
      <c r="AD811" s="292">
        <f>AD812</f>
        <v>400</v>
      </c>
      <c r="AE811" s="475">
        <f>AE812</f>
        <v>400</v>
      </c>
      <c r="AF811" s="475">
        <f>AF812</f>
        <v>400</v>
      </c>
      <c r="AG811" s="553"/>
      <c r="AH811" s="553"/>
      <c r="AI811" s="455"/>
    </row>
    <row r="812" spans="24:35" ht="31.5" x14ac:dyDescent="0.25">
      <c r="X812" s="551" t="s">
        <v>1782</v>
      </c>
      <c r="Y812" s="246">
        <v>901</v>
      </c>
      <c r="Z812" s="236" t="s">
        <v>205</v>
      </c>
      <c r="AA812" s="235" t="s">
        <v>193</v>
      </c>
      <c r="AB812" s="442" t="s">
        <v>2286</v>
      </c>
      <c r="AC812" s="238">
        <v>810</v>
      </c>
      <c r="AD812" s="292">
        <v>400</v>
      </c>
      <c r="AE812" s="475">
        <v>400</v>
      </c>
      <c r="AF812" s="475">
        <v>400</v>
      </c>
      <c r="AG812" s="553"/>
      <c r="AH812" s="553"/>
      <c r="AI812" s="455"/>
    </row>
    <row r="813" spans="24:35" x14ac:dyDescent="0.25">
      <c r="X813" s="519" t="s">
        <v>1813</v>
      </c>
      <c r="Y813" s="246">
        <v>901</v>
      </c>
      <c r="Z813" s="235" t="s">
        <v>205</v>
      </c>
      <c r="AA813" s="235" t="s">
        <v>205</v>
      </c>
      <c r="AB813" s="249"/>
      <c r="AC813" s="238"/>
      <c r="AD813" s="292">
        <f t="shared" ref="AD813:AF815" si="211">AD814</f>
        <v>738</v>
      </c>
      <c r="AE813" s="475">
        <f t="shared" si="211"/>
        <v>490</v>
      </c>
      <c r="AF813" s="475">
        <f t="shared" si="211"/>
        <v>490</v>
      </c>
      <c r="AG813" s="553"/>
      <c r="AH813" s="553"/>
      <c r="AI813" s="455"/>
    </row>
    <row r="814" spans="24:35" ht="31.5" x14ac:dyDescent="0.25">
      <c r="X814" s="520" t="s">
        <v>2102</v>
      </c>
      <c r="Y814" s="246">
        <v>901</v>
      </c>
      <c r="Z814" s="235" t="s">
        <v>205</v>
      </c>
      <c r="AA814" s="235" t="s">
        <v>205</v>
      </c>
      <c r="AB814" s="442" t="s">
        <v>1805</v>
      </c>
      <c r="AC814" s="238"/>
      <c r="AD814" s="292">
        <f t="shared" si="211"/>
        <v>738</v>
      </c>
      <c r="AE814" s="475">
        <f t="shared" si="211"/>
        <v>490</v>
      </c>
      <c r="AF814" s="475">
        <f t="shared" si="211"/>
        <v>490</v>
      </c>
      <c r="AG814" s="553"/>
      <c r="AH814" s="553"/>
      <c r="AI814" s="455"/>
    </row>
    <row r="815" spans="24:35" x14ac:dyDescent="0.25">
      <c r="X815" s="520" t="s">
        <v>2111</v>
      </c>
      <c r="Y815" s="246">
        <v>901</v>
      </c>
      <c r="Z815" s="255" t="s">
        <v>205</v>
      </c>
      <c r="AA815" s="255" t="s">
        <v>205</v>
      </c>
      <c r="AB815" s="442" t="s">
        <v>2112</v>
      </c>
      <c r="AC815" s="238"/>
      <c r="AD815" s="292">
        <f t="shared" si="211"/>
        <v>738</v>
      </c>
      <c r="AE815" s="475">
        <f t="shared" si="211"/>
        <v>490</v>
      </c>
      <c r="AF815" s="475">
        <f t="shared" si="211"/>
        <v>490</v>
      </c>
      <c r="AG815" s="553"/>
      <c r="AH815" s="553"/>
      <c r="AI815" s="455"/>
    </row>
    <row r="816" spans="24:35" ht="63" x14ac:dyDescent="0.25">
      <c r="X816" s="528" t="s">
        <v>2113</v>
      </c>
      <c r="Y816" s="246">
        <v>901</v>
      </c>
      <c r="Z816" s="255" t="s">
        <v>205</v>
      </c>
      <c r="AA816" s="255" t="s">
        <v>205</v>
      </c>
      <c r="AB816" s="442" t="s">
        <v>2114</v>
      </c>
      <c r="AC816" s="238"/>
      <c r="AD816" s="292">
        <f t="shared" ref="AD816:AF818" si="212">AD817</f>
        <v>738</v>
      </c>
      <c r="AE816" s="475">
        <f t="shared" si="212"/>
        <v>490</v>
      </c>
      <c r="AF816" s="475">
        <f t="shared" si="212"/>
        <v>490</v>
      </c>
      <c r="AG816" s="553"/>
      <c r="AH816" s="553"/>
      <c r="AI816" s="455"/>
    </row>
    <row r="817" spans="24:35" ht="31.5" x14ac:dyDescent="0.25">
      <c r="X817" s="528" t="s">
        <v>2115</v>
      </c>
      <c r="Y817" s="246">
        <v>901</v>
      </c>
      <c r="Z817" s="235" t="s">
        <v>205</v>
      </c>
      <c r="AA817" s="235" t="s">
        <v>205</v>
      </c>
      <c r="AB817" s="442" t="s">
        <v>2116</v>
      </c>
      <c r="AC817" s="238"/>
      <c r="AD817" s="292">
        <f t="shared" si="212"/>
        <v>738</v>
      </c>
      <c r="AE817" s="475">
        <f t="shared" si="212"/>
        <v>490</v>
      </c>
      <c r="AF817" s="475">
        <f t="shared" si="212"/>
        <v>490</v>
      </c>
      <c r="AG817" s="553"/>
      <c r="AH817" s="553"/>
      <c r="AI817" s="455"/>
    </row>
    <row r="818" spans="24:35" ht="31.5" x14ac:dyDescent="0.25">
      <c r="X818" s="519" t="s">
        <v>1342</v>
      </c>
      <c r="Y818" s="246">
        <v>901</v>
      </c>
      <c r="Z818" s="255" t="s">
        <v>205</v>
      </c>
      <c r="AA818" s="255" t="s">
        <v>205</v>
      </c>
      <c r="AB818" s="442" t="s">
        <v>2116</v>
      </c>
      <c r="AC818" s="238">
        <v>600</v>
      </c>
      <c r="AD818" s="292">
        <f t="shared" si="212"/>
        <v>738</v>
      </c>
      <c r="AE818" s="475">
        <f t="shared" si="212"/>
        <v>490</v>
      </c>
      <c r="AF818" s="475">
        <f t="shared" si="212"/>
        <v>490</v>
      </c>
      <c r="AG818" s="553"/>
      <c r="AH818" s="553"/>
      <c r="AI818" s="455"/>
    </row>
    <row r="819" spans="24:35" x14ac:dyDescent="0.25">
      <c r="X819" s="519" t="s">
        <v>1343</v>
      </c>
      <c r="Y819" s="246">
        <v>901</v>
      </c>
      <c r="Z819" s="255" t="s">
        <v>205</v>
      </c>
      <c r="AA819" s="255" t="s">
        <v>205</v>
      </c>
      <c r="AB819" s="442" t="s">
        <v>2116</v>
      </c>
      <c r="AC819" s="238">
        <v>610</v>
      </c>
      <c r="AD819" s="292">
        <f>490+248</f>
        <v>738</v>
      </c>
      <c r="AE819" s="475">
        <v>490</v>
      </c>
      <c r="AF819" s="475">
        <v>490</v>
      </c>
      <c r="AG819" s="553"/>
      <c r="AH819" s="553"/>
      <c r="AI819" s="455"/>
    </row>
    <row r="820" spans="24:35" x14ac:dyDescent="0.25">
      <c r="X820" s="519" t="s">
        <v>840</v>
      </c>
      <c r="Y820" s="246">
        <v>901</v>
      </c>
      <c r="Z820" s="235" t="s">
        <v>205</v>
      </c>
      <c r="AA820" s="235" t="s">
        <v>406</v>
      </c>
      <c r="AB820" s="249"/>
      <c r="AC820" s="238"/>
      <c r="AD820" s="292">
        <f>AD821+AD844+AD854+AD860</f>
        <v>23037.4</v>
      </c>
      <c r="AE820" s="475">
        <f>AE821+AE844+AE854+AE860</f>
        <v>38072.300000000003</v>
      </c>
      <c r="AF820" s="475">
        <f>AF821+AF844+AF854+AF860</f>
        <v>18303.900000000001</v>
      </c>
      <c r="AG820" s="553"/>
      <c r="AH820" s="553"/>
      <c r="AI820" s="455"/>
    </row>
    <row r="821" spans="24:35" x14ac:dyDescent="0.25">
      <c r="X821" s="520" t="s">
        <v>2021</v>
      </c>
      <c r="Y821" s="246">
        <v>901</v>
      </c>
      <c r="Z821" s="235" t="s">
        <v>205</v>
      </c>
      <c r="AA821" s="235" t="s">
        <v>406</v>
      </c>
      <c r="AB821" s="249" t="s">
        <v>1759</v>
      </c>
      <c r="AC821" s="576"/>
      <c r="AD821" s="292">
        <f>AD822+AD827</f>
        <v>17301.5</v>
      </c>
      <c r="AE821" s="475">
        <f>AE822+AE827</f>
        <v>16889.400000000001</v>
      </c>
      <c r="AF821" s="475">
        <f>AF822+AF827</f>
        <v>16889.400000000001</v>
      </c>
      <c r="AG821" s="553"/>
      <c r="AH821" s="553"/>
      <c r="AI821" s="455"/>
    </row>
    <row r="822" spans="24:35" x14ac:dyDescent="0.25">
      <c r="X822" s="520" t="s">
        <v>2022</v>
      </c>
      <c r="Y822" s="246">
        <v>901</v>
      </c>
      <c r="Z822" s="235" t="s">
        <v>205</v>
      </c>
      <c r="AA822" s="235" t="s">
        <v>406</v>
      </c>
      <c r="AB822" s="249" t="s">
        <v>1777</v>
      </c>
      <c r="AC822" s="576"/>
      <c r="AD822" s="292">
        <f t="shared" ref="AD822:AF823" si="213">AD823</f>
        <v>857</v>
      </c>
      <c r="AE822" s="475">
        <f t="shared" si="213"/>
        <v>857</v>
      </c>
      <c r="AF822" s="475">
        <f t="shared" si="213"/>
        <v>857</v>
      </c>
      <c r="AG822" s="553"/>
      <c r="AH822" s="553"/>
      <c r="AI822" s="455"/>
    </row>
    <row r="823" spans="24:35" ht="31.5" x14ac:dyDescent="0.25">
      <c r="X823" s="520" t="s">
        <v>2023</v>
      </c>
      <c r="Y823" s="246">
        <v>901</v>
      </c>
      <c r="Z823" s="235" t="s">
        <v>205</v>
      </c>
      <c r="AA823" s="235" t="s">
        <v>406</v>
      </c>
      <c r="AB823" s="442" t="s">
        <v>1791</v>
      </c>
      <c r="AC823" s="576"/>
      <c r="AD823" s="292">
        <f t="shared" si="213"/>
        <v>857</v>
      </c>
      <c r="AE823" s="475">
        <f t="shared" si="213"/>
        <v>857</v>
      </c>
      <c r="AF823" s="475">
        <f t="shared" si="213"/>
        <v>857</v>
      </c>
      <c r="AG823" s="553"/>
      <c r="AH823" s="553"/>
      <c r="AI823" s="455"/>
    </row>
    <row r="824" spans="24:35" ht="47.25" x14ac:dyDescent="0.25">
      <c r="X824" s="519" t="s">
        <v>1784</v>
      </c>
      <c r="Y824" s="246">
        <v>901</v>
      </c>
      <c r="Z824" s="235" t="s">
        <v>205</v>
      </c>
      <c r="AA824" s="235" t="s">
        <v>406</v>
      </c>
      <c r="AB824" s="442" t="s">
        <v>2165</v>
      </c>
      <c r="AC824" s="238"/>
      <c r="AD824" s="292">
        <f t="shared" ref="AD824:AF825" si="214">AD825</f>
        <v>857</v>
      </c>
      <c r="AE824" s="475">
        <f t="shared" si="214"/>
        <v>857</v>
      </c>
      <c r="AF824" s="475">
        <f t="shared" si="214"/>
        <v>857</v>
      </c>
      <c r="AG824" s="553"/>
      <c r="AH824" s="553"/>
      <c r="AI824" s="455"/>
    </row>
    <row r="825" spans="24:35" ht="31.5" x14ac:dyDescent="0.25">
      <c r="X825" s="519" t="s">
        <v>1342</v>
      </c>
      <c r="Y825" s="246" t="s">
        <v>1037</v>
      </c>
      <c r="Z825" s="235" t="s">
        <v>205</v>
      </c>
      <c r="AA825" s="235" t="s">
        <v>406</v>
      </c>
      <c r="AB825" s="442" t="s">
        <v>2165</v>
      </c>
      <c r="AC825" s="238">
        <v>600</v>
      </c>
      <c r="AD825" s="292">
        <f t="shared" si="214"/>
        <v>857</v>
      </c>
      <c r="AE825" s="475">
        <f t="shared" si="214"/>
        <v>857</v>
      </c>
      <c r="AF825" s="475">
        <f t="shared" si="214"/>
        <v>857</v>
      </c>
      <c r="AG825" s="553"/>
      <c r="AH825" s="553"/>
      <c r="AI825" s="455"/>
    </row>
    <row r="826" spans="24:35" x14ac:dyDescent="0.25">
      <c r="X826" s="519" t="s">
        <v>1343</v>
      </c>
      <c r="Y826" s="246" t="s">
        <v>1037</v>
      </c>
      <c r="Z826" s="235" t="s">
        <v>205</v>
      </c>
      <c r="AA826" s="235" t="s">
        <v>406</v>
      </c>
      <c r="AB826" s="442" t="s">
        <v>2165</v>
      </c>
      <c r="AC826" s="238">
        <v>610</v>
      </c>
      <c r="AD826" s="292">
        <v>857</v>
      </c>
      <c r="AE826" s="475">
        <v>857</v>
      </c>
      <c r="AF826" s="475">
        <v>857</v>
      </c>
      <c r="AG826" s="553"/>
      <c r="AH826" s="553"/>
      <c r="AI826" s="455"/>
    </row>
    <row r="827" spans="24:35" x14ac:dyDescent="0.25">
      <c r="X827" s="520" t="s">
        <v>2290</v>
      </c>
      <c r="Y827" s="246" t="s">
        <v>1037</v>
      </c>
      <c r="Z827" s="235" t="s">
        <v>205</v>
      </c>
      <c r="AA827" s="235" t="s">
        <v>406</v>
      </c>
      <c r="AB827" s="442" t="s">
        <v>2126</v>
      </c>
      <c r="AC827" s="238"/>
      <c r="AD827" s="292">
        <f>AD828</f>
        <v>16444.5</v>
      </c>
      <c r="AE827" s="475">
        <f>AE828</f>
        <v>16032.4</v>
      </c>
      <c r="AF827" s="475">
        <f>AF828</f>
        <v>16032.4</v>
      </c>
      <c r="AG827" s="553"/>
      <c r="AH827" s="553"/>
      <c r="AI827" s="455"/>
    </row>
    <row r="828" spans="24:35" ht="31.5" x14ac:dyDescent="0.25">
      <c r="X828" s="520" t="s">
        <v>2042</v>
      </c>
      <c r="Y828" s="246" t="s">
        <v>1037</v>
      </c>
      <c r="Z828" s="235" t="s">
        <v>205</v>
      </c>
      <c r="AA828" s="235" t="s">
        <v>406</v>
      </c>
      <c r="AB828" s="442" t="s">
        <v>2125</v>
      </c>
      <c r="AC828" s="238"/>
      <c r="AD828" s="292">
        <f>AD829+AD841</f>
        <v>16444.5</v>
      </c>
      <c r="AE828" s="475">
        <f>AE829+AE841</f>
        <v>16032.4</v>
      </c>
      <c r="AF828" s="475">
        <f>AF829+AF841</f>
        <v>16032.4</v>
      </c>
      <c r="AG828" s="553"/>
      <c r="AH828" s="553"/>
      <c r="AI828" s="455"/>
    </row>
    <row r="829" spans="24:35" x14ac:dyDescent="0.25">
      <c r="X829" s="521" t="s">
        <v>1923</v>
      </c>
      <c r="Y829" s="246" t="s">
        <v>1037</v>
      </c>
      <c r="Z829" s="235" t="s">
        <v>205</v>
      </c>
      <c r="AA829" s="235" t="s">
        <v>406</v>
      </c>
      <c r="AB829" s="442" t="s">
        <v>2189</v>
      </c>
      <c r="AC829" s="238"/>
      <c r="AD829" s="292">
        <f>AD830+AD835+AD838</f>
        <v>16444.5</v>
      </c>
      <c r="AE829" s="475">
        <f>AE830+AE835+AE838</f>
        <v>15844.5</v>
      </c>
      <c r="AF829" s="475">
        <f>AF830+AF835+AF838</f>
        <v>15844.5</v>
      </c>
      <c r="AG829" s="553"/>
      <c r="AH829" s="553"/>
      <c r="AI829" s="455"/>
    </row>
    <row r="830" spans="24:35" ht="31.5" x14ac:dyDescent="0.25">
      <c r="X830" s="519" t="s">
        <v>1924</v>
      </c>
      <c r="Y830" s="246" t="s">
        <v>1037</v>
      </c>
      <c r="Z830" s="235" t="s">
        <v>205</v>
      </c>
      <c r="AA830" s="235" t="s">
        <v>406</v>
      </c>
      <c r="AB830" s="442" t="s">
        <v>2190</v>
      </c>
      <c r="AC830" s="238"/>
      <c r="AD830" s="292">
        <f>AD831+AD833</f>
        <v>1870.1</v>
      </c>
      <c r="AE830" s="475">
        <f>AE831+AE833</f>
        <v>1230.0999999999999</v>
      </c>
      <c r="AF830" s="475">
        <f>AF831+AF833</f>
        <v>1230.0999999999999</v>
      </c>
      <c r="AG830" s="553"/>
      <c r="AH830" s="553"/>
      <c r="AI830" s="455"/>
    </row>
    <row r="831" spans="24:35" x14ac:dyDescent="0.25">
      <c r="X831" s="519" t="s">
        <v>1781</v>
      </c>
      <c r="Y831" s="246" t="s">
        <v>1037</v>
      </c>
      <c r="Z831" s="235" t="s">
        <v>205</v>
      </c>
      <c r="AA831" s="235" t="s">
        <v>406</v>
      </c>
      <c r="AB831" s="442" t="s">
        <v>2190</v>
      </c>
      <c r="AC831" s="238">
        <v>200</v>
      </c>
      <c r="AD831" s="292">
        <f>AD832</f>
        <v>1858.1</v>
      </c>
      <c r="AE831" s="475">
        <f>AE832</f>
        <v>1230.0999999999999</v>
      </c>
      <c r="AF831" s="475">
        <f>AF832</f>
        <v>1230.0999999999999</v>
      </c>
      <c r="AG831" s="553"/>
      <c r="AH831" s="553"/>
      <c r="AI831" s="455"/>
    </row>
    <row r="832" spans="24:35" ht="31.5" x14ac:dyDescent="0.25">
      <c r="X832" s="519" t="s">
        <v>1273</v>
      </c>
      <c r="Y832" s="246" t="s">
        <v>1037</v>
      </c>
      <c r="Z832" s="235" t="s">
        <v>205</v>
      </c>
      <c r="AA832" s="235" t="s">
        <v>406</v>
      </c>
      <c r="AB832" s="442" t="s">
        <v>2190</v>
      </c>
      <c r="AC832" s="238">
        <v>240</v>
      </c>
      <c r="AD832" s="292">
        <f>1230.1-12+600+40</f>
        <v>1858.1</v>
      </c>
      <c r="AE832" s="475">
        <v>1230.0999999999999</v>
      </c>
      <c r="AF832" s="475">
        <v>1230.0999999999999</v>
      </c>
      <c r="AG832" s="553"/>
      <c r="AH832" s="553"/>
      <c r="AI832" s="455"/>
    </row>
    <row r="833" spans="24:35" x14ac:dyDescent="0.25">
      <c r="X833" s="519" t="s">
        <v>923</v>
      </c>
      <c r="Y833" s="246" t="s">
        <v>1037</v>
      </c>
      <c r="Z833" s="235" t="s">
        <v>205</v>
      </c>
      <c r="AA833" s="235" t="s">
        <v>406</v>
      </c>
      <c r="AB833" s="442" t="s">
        <v>2190</v>
      </c>
      <c r="AC833" s="238">
        <v>800</v>
      </c>
      <c r="AD833" s="292">
        <f>AD834</f>
        <v>12</v>
      </c>
      <c r="AE833" s="475">
        <f>AE834</f>
        <v>0</v>
      </c>
      <c r="AF833" s="475">
        <f>AF834</f>
        <v>0</v>
      </c>
      <c r="AG833" s="553"/>
      <c r="AH833" s="553"/>
      <c r="AI833" s="455"/>
    </row>
    <row r="834" spans="24:35" x14ac:dyDescent="0.25">
      <c r="X834" s="519" t="s">
        <v>1319</v>
      </c>
      <c r="Y834" s="246" t="s">
        <v>1037</v>
      </c>
      <c r="Z834" s="235" t="s">
        <v>205</v>
      </c>
      <c r="AA834" s="235" t="s">
        <v>406</v>
      </c>
      <c r="AB834" s="442" t="s">
        <v>2190</v>
      </c>
      <c r="AC834" s="238">
        <v>850</v>
      </c>
      <c r="AD834" s="292">
        <v>12</v>
      </c>
      <c r="AE834" s="475">
        <v>0</v>
      </c>
      <c r="AF834" s="475">
        <v>0</v>
      </c>
      <c r="AG834" s="553"/>
      <c r="AH834" s="553"/>
      <c r="AI834" s="455"/>
    </row>
    <row r="835" spans="24:35" ht="31.5" x14ac:dyDescent="0.25">
      <c r="X835" s="514" t="s">
        <v>2245</v>
      </c>
      <c r="Y835" s="246" t="s">
        <v>1037</v>
      </c>
      <c r="Z835" s="235" t="s">
        <v>205</v>
      </c>
      <c r="AA835" s="235" t="s">
        <v>406</v>
      </c>
      <c r="AB835" s="442" t="s">
        <v>2191</v>
      </c>
      <c r="AC835" s="238"/>
      <c r="AD835" s="292">
        <f t="shared" ref="AD835:AF836" si="215">AD836</f>
        <v>5937.5</v>
      </c>
      <c r="AE835" s="475">
        <f t="shared" si="215"/>
        <v>5977.5</v>
      </c>
      <c r="AF835" s="475">
        <f t="shared" si="215"/>
        <v>5977.5</v>
      </c>
      <c r="AG835" s="553"/>
      <c r="AH835" s="553"/>
      <c r="AI835" s="455"/>
    </row>
    <row r="836" spans="24:35" ht="47.25" x14ac:dyDescent="0.25">
      <c r="X836" s="519" t="s">
        <v>921</v>
      </c>
      <c r="Y836" s="246" t="s">
        <v>1037</v>
      </c>
      <c r="Z836" s="235" t="s">
        <v>205</v>
      </c>
      <c r="AA836" s="235" t="s">
        <v>406</v>
      </c>
      <c r="AB836" s="442" t="s">
        <v>2191</v>
      </c>
      <c r="AC836" s="238">
        <v>100</v>
      </c>
      <c r="AD836" s="292">
        <f t="shared" si="215"/>
        <v>5937.5</v>
      </c>
      <c r="AE836" s="475">
        <f t="shared" si="215"/>
        <v>5977.5</v>
      </c>
      <c r="AF836" s="475">
        <f t="shared" si="215"/>
        <v>5977.5</v>
      </c>
      <c r="AG836" s="553"/>
      <c r="AH836" s="553"/>
      <c r="AI836" s="455"/>
    </row>
    <row r="837" spans="24:35" x14ac:dyDescent="0.25">
      <c r="X837" s="519" t="s">
        <v>1747</v>
      </c>
      <c r="Y837" s="246" t="s">
        <v>1037</v>
      </c>
      <c r="Z837" s="235" t="s">
        <v>205</v>
      </c>
      <c r="AA837" s="235" t="s">
        <v>406</v>
      </c>
      <c r="AB837" s="442" t="s">
        <v>2191</v>
      </c>
      <c r="AC837" s="238">
        <v>120</v>
      </c>
      <c r="AD837" s="292">
        <f>5977.5-40</f>
        <v>5937.5</v>
      </c>
      <c r="AE837" s="475">
        <v>5977.5</v>
      </c>
      <c r="AF837" s="475">
        <v>5977.5</v>
      </c>
      <c r="AG837" s="553"/>
      <c r="AH837" s="553"/>
      <c r="AI837" s="455"/>
    </row>
    <row r="838" spans="24:35" ht="31.5" x14ac:dyDescent="0.25">
      <c r="X838" s="519" t="s">
        <v>2043</v>
      </c>
      <c r="Y838" s="246" t="s">
        <v>1037</v>
      </c>
      <c r="Z838" s="235" t="s">
        <v>205</v>
      </c>
      <c r="AA838" s="235" t="s">
        <v>406</v>
      </c>
      <c r="AB838" s="442" t="s">
        <v>2192</v>
      </c>
      <c r="AC838" s="238"/>
      <c r="AD838" s="292">
        <f t="shared" ref="AD838:AF839" si="216">AD839</f>
        <v>8636.9</v>
      </c>
      <c r="AE838" s="475">
        <f t="shared" si="216"/>
        <v>8636.9</v>
      </c>
      <c r="AF838" s="475">
        <f t="shared" si="216"/>
        <v>8636.9</v>
      </c>
      <c r="AG838" s="553"/>
      <c r="AH838" s="553"/>
      <c r="AI838" s="455"/>
    </row>
    <row r="839" spans="24:35" ht="47.25" x14ac:dyDescent="0.25">
      <c r="X839" s="519" t="s">
        <v>921</v>
      </c>
      <c r="Y839" s="246" t="s">
        <v>1037</v>
      </c>
      <c r="Z839" s="235" t="s">
        <v>205</v>
      </c>
      <c r="AA839" s="235" t="s">
        <v>406</v>
      </c>
      <c r="AB839" s="442" t="s">
        <v>2192</v>
      </c>
      <c r="AC839" s="238">
        <v>100</v>
      </c>
      <c r="AD839" s="292">
        <f t="shared" si="216"/>
        <v>8636.9</v>
      </c>
      <c r="AE839" s="475">
        <f t="shared" si="216"/>
        <v>8636.9</v>
      </c>
      <c r="AF839" s="475">
        <f t="shared" si="216"/>
        <v>8636.9</v>
      </c>
      <c r="AG839" s="553"/>
      <c r="AH839" s="553"/>
      <c r="AI839" s="455"/>
    </row>
    <row r="840" spans="24:35" x14ac:dyDescent="0.25">
      <c r="X840" s="519" t="s">
        <v>1747</v>
      </c>
      <c r="Y840" s="246" t="s">
        <v>1037</v>
      </c>
      <c r="Z840" s="235" t="s">
        <v>205</v>
      </c>
      <c r="AA840" s="235" t="s">
        <v>406</v>
      </c>
      <c r="AB840" s="442" t="s">
        <v>2192</v>
      </c>
      <c r="AC840" s="238">
        <v>120</v>
      </c>
      <c r="AD840" s="292">
        <v>8636.9</v>
      </c>
      <c r="AE840" s="475">
        <v>8636.9</v>
      </c>
      <c r="AF840" s="475">
        <v>8636.9</v>
      </c>
      <c r="AG840" s="553"/>
      <c r="AH840" s="553"/>
      <c r="AI840" s="455"/>
    </row>
    <row r="841" spans="24:35" x14ac:dyDescent="0.25">
      <c r="X841" s="519" t="s">
        <v>2044</v>
      </c>
      <c r="Y841" s="246" t="s">
        <v>1037</v>
      </c>
      <c r="Z841" s="235" t="s">
        <v>205</v>
      </c>
      <c r="AA841" s="235" t="s">
        <v>406</v>
      </c>
      <c r="AB841" s="442" t="s">
        <v>2193</v>
      </c>
      <c r="AC841" s="238"/>
      <c r="AD841" s="292">
        <f t="shared" ref="AD841:AF842" si="217">AD842</f>
        <v>0</v>
      </c>
      <c r="AE841" s="475">
        <f t="shared" si="217"/>
        <v>187.9</v>
      </c>
      <c r="AF841" s="475">
        <f t="shared" si="217"/>
        <v>187.9</v>
      </c>
      <c r="AG841" s="553"/>
      <c r="AH841" s="553"/>
      <c r="AI841" s="455"/>
    </row>
    <row r="842" spans="24:35" x14ac:dyDescent="0.25">
      <c r="X842" s="519" t="s">
        <v>1781</v>
      </c>
      <c r="Y842" s="246" t="s">
        <v>1037</v>
      </c>
      <c r="Z842" s="235" t="s">
        <v>205</v>
      </c>
      <c r="AA842" s="235" t="s">
        <v>406</v>
      </c>
      <c r="AB842" s="442" t="s">
        <v>2193</v>
      </c>
      <c r="AC842" s="238">
        <v>200</v>
      </c>
      <c r="AD842" s="292">
        <f t="shared" si="217"/>
        <v>0</v>
      </c>
      <c r="AE842" s="475">
        <f t="shared" si="217"/>
        <v>187.9</v>
      </c>
      <c r="AF842" s="475">
        <f t="shared" si="217"/>
        <v>187.9</v>
      </c>
      <c r="AG842" s="553"/>
      <c r="AH842" s="553"/>
      <c r="AI842" s="455"/>
    </row>
    <row r="843" spans="24:35" ht="31.5" x14ac:dyDescent="0.25">
      <c r="X843" s="519" t="s">
        <v>1273</v>
      </c>
      <c r="Y843" s="246" t="s">
        <v>1037</v>
      </c>
      <c r="Z843" s="235" t="s">
        <v>205</v>
      </c>
      <c r="AA843" s="235" t="s">
        <v>406</v>
      </c>
      <c r="AB843" s="442" t="s">
        <v>2193</v>
      </c>
      <c r="AC843" s="238">
        <v>240</v>
      </c>
      <c r="AD843" s="292">
        <f>187.9-187.9</f>
        <v>0</v>
      </c>
      <c r="AE843" s="475">
        <v>187.9</v>
      </c>
      <c r="AF843" s="475">
        <v>187.9</v>
      </c>
      <c r="AG843" s="553"/>
      <c r="AH843" s="553"/>
      <c r="AI843" s="455"/>
    </row>
    <row r="844" spans="24:35" x14ac:dyDescent="0.25">
      <c r="X844" s="548" t="s">
        <v>2074</v>
      </c>
      <c r="Y844" s="246" t="s">
        <v>1037</v>
      </c>
      <c r="Z844" s="235" t="s">
        <v>205</v>
      </c>
      <c r="AA844" s="235" t="s">
        <v>406</v>
      </c>
      <c r="AB844" s="442" t="s">
        <v>1768</v>
      </c>
      <c r="AC844" s="238"/>
      <c r="AD844" s="292">
        <f t="shared" ref="AD844:AF846" si="218">AD845</f>
        <v>2748.7</v>
      </c>
      <c r="AE844" s="475">
        <f t="shared" si="218"/>
        <v>1410</v>
      </c>
      <c r="AF844" s="475">
        <f t="shared" si="218"/>
        <v>1410</v>
      </c>
      <c r="AG844" s="553"/>
      <c r="AH844" s="553"/>
      <c r="AI844" s="455"/>
    </row>
    <row r="845" spans="24:35" x14ac:dyDescent="0.25">
      <c r="X845" s="548" t="s">
        <v>2089</v>
      </c>
      <c r="Y845" s="246" t="s">
        <v>1037</v>
      </c>
      <c r="Z845" s="235" t="s">
        <v>205</v>
      </c>
      <c r="AA845" s="235" t="s">
        <v>406</v>
      </c>
      <c r="AB845" s="442" t="s">
        <v>2090</v>
      </c>
      <c r="AC845" s="238"/>
      <c r="AD845" s="292">
        <f t="shared" si="218"/>
        <v>2748.7</v>
      </c>
      <c r="AE845" s="475">
        <f t="shared" si="218"/>
        <v>1410</v>
      </c>
      <c r="AF845" s="475">
        <f t="shared" si="218"/>
        <v>1410</v>
      </c>
      <c r="AG845" s="553"/>
      <c r="AH845" s="553"/>
      <c r="AI845" s="455"/>
    </row>
    <row r="846" spans="24:35" ht="31.5" x14ac:dyDescent="0.25">
      <c r="X846" s="531" t="s">
        <v>2091</v>
      </c>
      <c r="Y846" s="246" t="s">
        <v>1037</v>
      </c>
      <c r="Z846" s="235" t="s">
        <v>205</v>
      </c>
      <c r="AA846" s="235" t="s">
        <v>406</v>
      </c>
      <c r="AB846" s="442" t="s">
        <v>2092</v>
      </c>
      <c r="AC846" s="238"/>
      <c r="AD846" s="292">
        <f t="shared" si="218"/>
        <v>2748.7</v>
      </c>
      <c r="AE846" s="475">
        <f t="shared" si="218"/>
        <v>1410</v>
      </c>
      <c r="AF846" s="475">
        <f t="shared" si="218"/>
        <v>1410</v>
      </c>
      <c r="AG846" s="553"/>
      <c r="AH846" s="553"/>
      <c r="AI846" s="455"/>
    </row>
    <row r="847" spans="24:35" x14ac:dyDescent="0.25">
      <c r="X847" s="531" t="s">
        <v>2093</v>
      </c>
      <c r="Y847" s="246" t="s">
        <v>1037</v>
      </c>
      <c r="Z847" s="235" t="s">
        <v>205</v>
      </c>
      <c r="AA847" s="235" t="s">
        <v>406</v>
      </c>
      <c r="AB847" s="442" t="s">
        <v>2094</v>
      </c>
      <c r="AC847" s="238"/>
      <c r="AD847" s="292">
        <f>AD851+AD848</f>
        <v>2748.7</v>
      </c>
      <c r="AE847" s="292">
        <f t="shared" ref="AE847:AF847" si="219">AE851+AE848</f>
        <v>1410</v>
      </c>
      <c r="AF847" s="292">
        <f t="shared" si="219"/>
        <v>1410</v>
      </c>
      <c r="AG847" s="553"/>
      <c r="AH847" s="553"/>
      <c r="AI847" s="455"/>
    </row>
    <row r="848" spans="24:35" ht="31.9" customHeight="1" x14ac:dyDescent="0.25">
      <c r="X848" s="531" t="s">
        <v>2134</v>
      </c>
      <c r="Y848" s="246" t="s">
        <v>1037</v>
      </c>
      <c r="Z848" s="235" t="s">
        <v>205</v>
      </c>
      <c r="AA848" s="235" t="s">
        <v>406</v>
      </c>
      <c r="AB848" s="442" t="s">
        <v>2135</v>
      </c>
      <c r="AC848" s="238"/>
      <c r="AD848" s="292">
        <f>AD849</f>
        <v>1376.2</v>
      </c>
      <c r="AE848" s="292">
        <f t="shared" ref="AE848:AF848" si="220">AE849</f>
        <v>0</v>
      </c>
      <c r="AF848" s="292">
        <f t="shared" si="220"/>
        <v>0</v>
      </c>
      <c r="AG848" s="553"/>
      <c r="AH848" s="553"/>
      <c r="AI848" s="455"/>
    </row>
    <row r="849" spans="24:35" ht="31.5" x14ac:dyDescent="0.25">
      <c r="X849" s="519" t="s">
        <v>1342</v>
      </c>
      <c r="Y849" s="246" t="s">
        <v>1037</v>
      </c>
      <c r="Z849" s="235" t="s">
        <v>205</v>
      </c>
      <c r="AA849" s="235" t="s">
        <v>406</v>
      </c>
      <c r="AB849" s="442" t="s">
        <v>2135</v>
      </c>
      <c r="AC849" s="238">
        <v>600</v>
      </c>
      <c r="AD849" s="292">
        <f>AD850</f>
        <v>1376.2</v>
      </c>
      <c r="AE849" s="292">
        <f t="shared" ref="AE849:AF849" si="221">AE850</f>
        <v>0</v>
      </c>
      <c r="AF849" s="292">
        <f t="shared" si="221"/>
        <v>0</v>
      </c>
      <c r="AG849" s="553"/>
      <c r="AH849" s="553"/>
      <c r="AI849" s="455"/>
    </row>
    <row r="850" spans="24:35" x14ac:dyDescent="0.25">
      <c r="X850" s="519" t="s">
        <v>1343</v>
      </c>
      <c r="Y850" s="246" t="s">
        <v>1037</v>
      </c>
      <c r="Z850" s="235" t="s">
        <v>205</v>
      </c>
      <c r="AA850" s="235" t="s">
        <v>406</v>
      </c>
      <c r="AB850" s="442" t="s">
        <v>2135</v>
      </c>
      <c r="AC850" s="238">
        <v>610</v>
      </c>
      <c r="AD850" s="292">
        <f>1337.6+2.4+40-3.8</f>
        <v>1376.2</v>
      </c>
      <c r="AE850" s="475">
        <v>0</v>
      </c>
      <c r="AF850" s="475">
        <v>0</v>
      </c>
      <c r="AG850" s="553"/>
      <c r="AH850" s="553"/>
      <c r="AI850" s="455"/>
    </row>
    <row r="851" spans="24:35" ht="31.5" x14ac:dyDescent="0.25">
      <c r="X851" s="519" t="s">
        <v>2136</v>
      </c>
      <c r="Y851" s="246" t="s">
        <v>1037</v>
      </c>
      <c r="Z851" s="235" t="s">
        <v>205</v>
      </c>
      <c r="AA851" s="235" t="s">
        <v>406</v>
      </c>
      <c r="AB851" s="442" t="s">
        <v>2137</v>
      </c>
      <c r="AC851" s="238"/>
      <c r="AD851" s="292">
        <f t="shared" ref="AD851:AF852" si="222">AD852</f>
        <v>1372.5</v>
      </c>
      <c r="AE851" s="475">
        <f t="shared" si="222"/>
        <v>1410</v>
      </c>
      <c r="AF851" s="475">
        <f t="shared" si="222"/>
        <v>1410</v>
      </c>
      <c r="AG851" s="553"/>
      <c r="AH851" s="553"/>
      <c r="AI851" s="455"/>
    </row>
    <row r="852" spans="24:35" ht="31.5" x14ac:dyDescent="0.25">
      <c r="X852" s="519" t="s">
        <v>1342</v>
      </c>
      <c r="Y852" s="246" t="s">
        <v>1037</v>
      </c>
      <c r="Z852" s="235" t="s">
        <v>205</v>
      </c>
      <c r="AA852" s="235" t="s">
        <v>406</v>
      </c>
      <c r="AB852" s="442" t="s">
        <v>2137</v>
      </c>
      <c r="AC852" s="238">
        <v>600</v>
      </c>
      <c r="AD852" s="292">
        <f t="shared" si="222"/>
        <v>1372.5</v>
      </c>
      <c r="AE852" s="475">
        <f t="shared" si="222"/>
        <v>1410</v>
      </c>
      <c r="AF852" s="475">
        <f t="shared" si="222"/>
        <v>1410</v>
      </c>
      <c r="AG852" s="553"/>
      <c r="AH852" s="553"/>
      <c r="AI852" s="455"/>
    </row>
    <row r="853" spans="24:35" x14ac:dyDescent="0.25">
      <c r="X853" s="519" t="s">
        <v>1343</v>
      </c>
      <c r="Y853" s="246" t="s">
        <v>1037</v>
      </c>
      <c r="Z853" s="235" t="s">
        <v>205</v>
      </c>
      <c r="AA853" s="235" t="s">
        <v>406</v>
      </c>
      <c r="AB853" s="442" t="s">
        <v>2137</v>
      </c>
      <c r="AC853" s="238">
        <v>610</v>
      </c>
      <c r="AD853" s="292">
        <f>540+870-2.4+2.4-37.5</f>
        <v>1372.5</v>
      </c>
      <c r="AE853" s="475">
        <f>540+870</f>
        <v>1410</v>
      </c>
      <c r="AF853" s="475">
        <f>540+870</f>
        <v>1410</v>
      </c>
      <c r="AG853" s="553"/>
      <c r="AH853" s="553"/>
      <c r="AI853" s="455"/>
    </row>
    <row r="854" spans="24:35" ht="31.5" x14ac:dyDescent="0.25">
      <c r="X854" s="520" t="s">
        <v>2102</v>
      </c>
      <c r="Y854" s="246" t="s">
        <v>1037</v>
      </c>
      <c r="Z854" s="235" t="s">
        <v>205</v>
      </c>
      <c r="AA854" s="235" t="s">
        <v>406</v>
      </c>
      <c r="AB854" s="442" t="s">
        <v>1805</v>
      </c>
      <c r="AC854" s="238"/>
      <c r="AD854" s="292">
        <f t="shared" ref="AD854:AF858" si="223">AD855</f>
        <v>4.5</v>
      </c>
      <c r="AE854" s="475">
        <f t="shared" si="223"/>
        <v>4.5</v>
      </c>
      <c r="AF854" s="475">
        <f t="shared" si="223"/>
        <v>4.5</v>
      </c>
      <c r="AG854" s="553"/>
      <c r="AH854" s="553"/>
      <c r="AI854" s="455"/>
    </row>
    <row r="855" spans="24:35" ht="47.25" x14ac:dyDescent="0.25">
      <c r="X855" s="520" t="s">
        <v>2103</v>
      </c>
      <c r="Y855" s="246" t="s">
        <v>1037</v>
      </c>
      <c r="Z855" s="235" t="s">
        <v>205</v>
      </c>
      <c r="AA855" s="235" t="s">
        <v>406</v>
      </c>
      <c r="AB855" s="442" t="s">
        <v>2104</v>
      </c>
      <c r="AC855" s="238"/>
      <c r="AD855" s="292">
        <f t="shared" si="223"/>
        <v>4.5</v>
      </c>
      <c r="AE855" s="475">
        <f t="shared" si="223"/>
        <v>4.5</v>
      </c>
      <c r="AF855" s="475">
        <f t="shared" si="223"/>
        <v>4.5</v>
      </c>
      <c r="AG855" s="553"/>
      <c r="AH855" s="553"/>
      <c r="AI855" s="455"/>
    </row>
    <row r="856" spans="24:35" ht="31.5" x14ac:dyDescent="0.25">
      <c r="X856" s="528" t="s">
        <v>2105</v>
      </c>
      <c r="Y856" s="246" t="s">
        <v>1037</v>
      </c>
      <c r="Z856" s="235" t="s">
        <v>205</v>
      </c>
      <c r="AA856" s="235" t="s">
        <v>406</v>
      </c>
      <c r="AB856" s="442" t="s">
        <v>2106</v>
      </c>
      <c r="AC856" s="238"/>
      <c r="AD856" s="292">
        <f t="shared" si="223"/>
        <v>4.5</v>
      </c>
      <c r="AE856" s="475">
        <f t="shared" si="223"/>
        <v>4.5</v>
      </c>
      <c r="AF856" s="475">
        <f t="shared" si="223"/>
        <v>4.5</v>
      </c>
      <c r="AG856" s="553"/>
      <c r="AH856" s="553"/>
      <c r="AI856" s="455"/>
    </row>
    <row r="857" spans="24:35" ht="94.5" x14ac:dyDescent="0.25">
      <c r="X857" s="528" t="s">
        <v>2242</v>
      </c>
      <c r="Y857" s="246" t="s">
        <v>1037</v>
      </c>
      <c r="Z857" s="235" t="s">
        <v>205</v>
      </c>
      <c r="AA857" s="235" t="s">
        <v>406</v>
      </c>
      <c r="AB857" s="471" t="s">
        <v>2107</v>
      </c>
      <c r="AC857" s="238"/>
      <c r="AD857" s="292">
        <f t="shared" si="223"/>
        <v>4.5</v>
      </c>
      <c r="AE857" s="475">
        <f t="shared" si="223"/>
        <v>4.5</v>
      </c>
      <c r="AF857" s="475">
        <f t="shared" si="223"/>
        <v>4.5</v>
      </c>
      <c r="AG857" s="553"/>
      <c r="AH857" s="553"/>
      <c r="AI857" s="455"/>
    </row>
    <row r="858" spans="24:35" x14ac:dyDescent="0.25">
      <c r="X858" s="519" t="s">
        <v>1781</v>
      </c>
      <c r="Y858" s="246" t="s">
        <v>1037</v>
      </c>
      <c r="Z858" s="235" t="s">
        <v>205</v>
      </c>
      <c r="AA858" s="235" t="s">
        <v>406</v>
      </c>
      <c r="AB858" s="471" t="s">
        <v>2107</v>
      </c>
      <c r="AC858" s="238">
        <v>200</v>
      </c>
      <c r="AD858" s="292">
        <f t="shared" si="223"/>
        <v>4.5</v>
      </c>
      <c r="AE858" s="475">
        <f t="shared" si="223"/>
        <v>4.5</v>
      </c>
      <c r="AF858" s="475">
        <f t="shared" si="223"/>
        <v>4.5</v>
      </c>
      <c r="AG858" s="553"/>
      <c r="AH858" s="553"/>
      <c r="AI858" s="455"/>
    </row>
    <row r="859" spans="24:35" ht="31.5" x14ac:dyDescent="0.25">
      <c r="X859" s="519" t="s">
        <v>1273</v>
      </c>
      <c r="Y859" s="246" t="s">
        <v>1037</v>
      </c>
      <c r="Z859" s="235" t="s">
        <v>205</v>
      </c>
      <c r="AA859" s="235" t="s">
        <v>406</v>
      </c>
      <c r="AB859" s="471" t="s">
        <v>2107</v>
      </c>
      <c r="AC859" s="238">
        <v>240</v>
      </c>
      <c r="AD859" s="292">
        <v>4.5</v>
      </c>
      <c r="AE859" s="475">
        <v>4.5</v>
      </c>
      <c r="AF859" s="475">
        <v>4.5</v>
      </c>
      <c r="AG859" s="553"/>
      <c r="AH859" s="553"/>
      <c r="AI859" s="455"/>
    </row>
    <row r="860" spans="24:35" x14ac:dyDescent="0.25">
      <c r="X860" s="548" t="s">
        <v>1957</v>
      </c>
      <c r="Y860" s="246" t="s">
        <v>1037</v>
      </c>
      <c r="Z860" s="235" t="s">
        <v>205</v>
      </c>
      <c r="AA860" s="235" t="s">
        <v>406</v>
      </c>
      <c r="AB860" s="442" t="s">
        <v>1958</v>
      </c>
      <c r="AC860" s="595"/>
      <c r="AD860" s="292">
        <f t="shared" ref="AD860:AF861" si="224">AD861</f>
        <v>2982.7</v>
      </c>
      <c r="AE860" s="475">
        <f t="shared" si="224"/>
        <v>19768.400000000001</v>
      </c>
      <c r="AF860" s="475">
        <f t="shared" si="224"/>
        <v>0</v>
      </c>
      <c r="AG860" s="553"/>
      <c r="AH860" s="553"/>
      <c r="AI860" s="455"/>
    </row>
    <row r="861" spans="24:35" ht="31.5" x14ac:dyDescent="0.25">
      <c r="X861" s="548" t="s">
        <v>1964</v>
      </c>
      <c r="Y861" s="246" t="s">
        <v>1037</v>
      </c>
      <c r="Z861" s="235" t="s">
        <v>205</v>
      </c>
      <c r="AA861" s="235" t="s">
        <v>406</v>
      </c>
      <c r="AB861" s="442" t="s">
        <v>1965</v>
      </c>
      <c r="AC861" s="595"/>
      <c r="AD861" s="292">
        <f>AD862</f>
        <v>2982.7</v>
      </c>
      <c r="AE861" s="475">
        <f t="shared" si="224"/>
        <v>19768.400000000001</v>
      </c>
      <c r="AF861" s="475">
        <f t="shared" si="224"/>
        <v>0</v>
      </c>
      <c r="AG861" s="553"/>
      <c r="AH861" s="553"/>
      <c r="AI861" s="455"/>
    </row>
    <row r="862" spans="24:35" x14ac:dyDescent="0.25">
      <c r="X862" s="519" t="s">
        <v>2222</v>
      </c>
      <c r="Y862" s="246" t="s">
        <v>1037</v>
      </c>
      <c r="Z862" s="235" t="s">
        <v>205</v>
      </c>
      <c r="AA862" s="235" t="s">
        <v>406</v>
      </c>
      <c r="AB862" s="442" t="s">
        <v>2223</v>
      </c>
      <c r="AC862" s="576"/>
      <c r="AD862" s="292">
        <f>AD863+AD866+AD869+AD872</f>
        <v>2982.7</v>
      </c>
      <c r="AE862" s="292">
        <f t="shared" ref="AE862:AF862" si="225">AE863+AE866+AE869+AE872</f>
        <v>19768.400000000001</v>
      </c>
      <c r="AF862" s="292">
        <f t="shared" si="225"/>
        <v>0</v>
      </c>
      <c r="AG862" s="553"/>
      <c r="AH862" s="553"/>
      <c r="AI862" s="455"/>
    </row>
    <row r="863" spans="24:35" ht="63" x14ac:dyDescent="0.25">
      <c r="X863" s="523" t="s">
        <v>2347</v>
      </c>
      <c r="Y863" s="246" t="s">
        <v>1037</v>
      </c>
      <c r="Z863" s="235" t="s">
        <v>205</v>
      </c>
      <c r="AA863" s="235" t="s">
        <v>406</v>
      </c>
      <c r="AB863" s="442" t="s">
        <v>2348</v>
      </c>
      <c r="AC863" s="576"/>
      <c r="AD863" s="292">
        <f t="shared" ref="AD863:AF864" si="226">AD864</f>
        <v>2907.7</v>
      </c>
      <c r="AE863" s="475">
        <f t="shared" si="226"/>
        <v>15783.4</v>
      </c>
      <c r="AF863" s="475">
        <f t="shared" si="226"/>
        <v>0</v>
      </c>
      <c r="AG863" s="553"/>
      <c r="AH863" s="553"/>
      <c r="AI863" s="455"/>
    </row>
    <row r="864" spans="24:35" x14ac:dyDescent="0.25">
      <c r="X864" s="519" t="s">
        <v>1781</v>
      </c>
      <c r="Y864" s="246" t="s">
        <v>1037</v>
      </c>
      <c r="Z864" s="235" t="s">
        <v>205</v>
      </c>
      <c r="AA864" s="235" t="s">
        <v>406</v>
      </c>
      <c r="AB864" s="442" t="s">
        <v>2348</v>
      </c>
      <c r="AC864" s="576">
        <v>200</v>
      </c>
      <c r="AD864" s="292">
        <f t="shared" si="226"/>
        <v>2907.7</v>
      </c>
      <c r="AE864" s="475">
        <f t="shared" si="226"/>
        <v>15783.4</v>
      </c>
      <c r="AF864" s="475">
        <f t="shared" si="226"/>
        <v>0</v>
      </c>
      <c r="AG864" s="553"/>
      <c r="AH864" s="553"/>
      <c r="AI864" s="455"/>
    </row>
    <row r="865" spans="24:35" ht="31.5" x14ac:dyDescent="0.25">
      <c r="X865" s="519" t="s">
        <v>1273</v>
      </c>
      <c r="Y865" s="246" t="s">
        <v>1037</v>
      </c>
      <c r="Z865" s="235" t="s">
        <v>205</v>
      </c>
      <c r="AA865" s="235" t="s">
        <v>406</v>
      </c>
      <c r="AB865" s="442" t="s">
        <v>2348</v>
      </c>
      <c r="AC865" s="576">
        <v>240</v>
      </c>
      <c r="AD865" s="292">
        <f>3265.2+81.6-428.4-10.7</f>
        <v>2907.7</v>
      </c>
      <c r="AE865" s="475">
        <f>16326.3+408.2-928-23.2+0.1</f>
        <v>15783.4</v>
      </c>
      <c r="AF865" s="475">
        <v>0</v>
      </c>
      <c r="AG865" s="553"/>
      <c r="AH865" s="553"/>
      <c r="AI865" s="455"/>
    </row>
    <row r="866" spans="24:35" ht="94.5" x14ac:dyDescent="0.25">
      <c r="X866" s="519" t="s">
        <v>2349</v>
      </c>
      <c r="Y866" s="246" t="s">
        <v>1037</v>
      </c>
      <c r="Z866" s="235" t="s">
        <v>205</v>
      </c>
      <c r="AA866" s="235" t="s">
        <v>406</v>
      </c>
      <c r="AB866" s="442" t="s">
        <v>2350</v>
      </c>
      <c r="AC866" s="576"/>
      <c r="AD866" s="292">
        <f t="shared" ref="AD866:AF867" si="227">AD867</f>
        <v>0</v>
      </c>
      <c r="AE866" s="475">
        <f t="shared" si="227"/>
        <v>492</v>
      </c>
      <c r="AF866" s="475">
        <f t="shared" si="227"/>
        <v>0</v>
      </c>
      <c r="AG866" s="553"/>
      <c r="AH866" s="553"/>
      <c r="AI866" s="455"/>
    </row>
    <row r="867" spans="24:35" ht="31.5" x14ac:dyDescent="0.25">
      <c r="X867" s="519" t="s">
        <v>1342</v>
      </c>
      <c r="Y867" s="246" t="s">
        <v>1037</v>
      </c>
      <c r="Z867" s="235" t="s">
        <v>205</v>
      </c>
      <c r="AA867" s="235" t="s">
        <v>406</v>
      </c>
      <c r="AB867" s="442" t="s">
        <v>2350</v>
      </c>
      <c r="AC867" s="576">
        <v>600</v>
      </c>
      <c r="AD867" s="292">
        <f t="shared" si="227"/>
        <v>0</v>
      </c>
      <c r="AE867" s="475">
        <f t="shared" si="227"/>
        <v>492</v>
      </c>
      <c r="AF867" s="475">
        <f t="shared" si="227"/>
        <v>0</v>
      </c>
      <c r="AG867" s="553"/>
      <c r="AH867" s="553"/>
      <c r="AI867" s="455"/>
    </row>
    <row r="868" spans="24:35" x14ac:dyDescent="0.25">
      <c r="X868" s="519" t="s">
        <v>1343</v>
      </c>
      <c r="Y868" s="246" t="s">
        <v>1037</v>
      </c>
      <c r="Z868" s="235" t="s">
        <v>205</v>
      </c>
      <c r="AA868" s="235" t="s">
        <v>406</v>
      </c>
      <c r="AB868" s="442" t="s">
        <v>2350</v>
      </c>
      <c r="AC868" s="576">
        <v>610</v>
      </c>
      <c r="AD868" s="292">
        <v>0</v>
      </c>
      <c r="AE868" s="475">
        <f>442.8+49.2</f>
        <v>492</v>
      </c>
      <c r="AF868" s="475">
        <v>0</v>
      </c>
      <c r="AG868" s="553"/>
      <c r="AH868" s="553"/>
      <c r="AI868" s="455"/>
    </row>
    <row r="869" spans="24:35" ht="31.5" x14ac:dyDescent="0.25">
      <c r="X869" s="519" t="s">
        <v>2224</v>
      </c>
      <c r="Y869" s="246" t="s">
        <v>1037</v>
      </c>
      <c r="Z869" s="235" t="s">
        <v>205</v>
      </c>
      <c r="AA869" s="235" t="s">
        <v>406</v>
      </c>
      <c r="AB869" s="442" t="s">
        <v>2225</v>
      </c>
      <c r="AC869" s="576"/>
      <c r="AD869" s="292">
        <f t="shared" ref="AD869:AF870" si="228">AD870</f>
        <v>0</v>
      </c>
      <c r="AE869" s="475">
        <f t="shared" si="228"/>
        <v>3493</v>
      </c>
      <c r="AF869" s="475">
        <f t="shared" si="228"/>
        <v>0</v>
      </c>
      <c r="AG869" s="553"/>
      <c r="AH869" s="553"/>
      <c r="AI869" s="455"/>
    </row>
    <row r="870" spans="24:35" ht="31.5" x14ac:dyDescent="0.25">
      <c r="X870" s="519" t="s">
        <v>1342</v>
      </c>
      <c r="Y870" s="246" t="s">
        <v>1037</v>
      </c>
      <c r="Z870" s="235" t="s">
        <v>205</v>
      </c>
      <c r="AA870" s="235" t="s">
        <v>406</v>
      </c>
      <c r="AB870" s="442" t="s">
        <v>2225</v>
      </c>
      <c r="AC870" s="576">
        <v>600</v>
      </c>
      <c r="AD870" s="292">
        <f t="shared" si="228"/>
        <v>0</v>
      </c>
      <c r="AE870" s="475">
        <f t="shared" si="228"/>
        <v>3493</v>
      </c>
      <c r="AF870" s="475">
        <f t="shared" si="228"/>
        <v>0</v>
      </c>
      <c r="AG870" s="553"/>
      <c r="AH870" s="553"/>
      <c r="AI870" s="455"/>
    </row>
    <row r="871" spans="24:35" x14ac:dyDescent="0.25">
      <c r="X871" s="519" t="s">
        <v>1343</v>
      </c>
      <c r="Y871" s="246" t="s">
        <v>1037</v>
      </c>
      <c r="Z871" s="235" t="s">
        <v>205</v>
      </c>
      <c r="AA871" s="235" t="s">
        <v>406</v>
      </c>
      <c r="AB871" s="442" t="s">
        <v>2225</v>
      </c>
      <c r="AC871" s="576">
        <v>610</v>
      </c>
      <c r="AD871" s="292">
        <v>0</v>
      </c>
      <c r="AE871" s="475">
        <f>2864+629</f>
        <v>3493</v>
      </c>
      <c r="AF871" s="475">
        <v>0</v>
      </c>
      <c r="AG871" s="553"/>
      <c r="AH871" s="553"/>
      <c r="AI871" s="455"/>
    </row>
    <row r="872" spans="24:35" ht="78.75" x14ac:dyDescent="0.25">
      <c r="X872" s="519" t="s">
        <v>2443</v>
      </c>
      <c r="Y872" s="246" t="s">
        <v>1037</v>
      </c>
      <c r="Z872" s="235" t="s">
        <v>205</v>
      </c>
      <c r="AA872" s="235" t="s">
        <v>406</v>
      </c>
      <c r="AB872" s="442" t="s">
        <v>2442</v>
      </c>
      <c r="AC872" s="576"/>
      <c r="AD872" s="292">
        <f>AD873</f>
        <v>75</v>
      </c>
      <c r="AE872" s="292">
        <f t="shared" ref="AE872:AF872" si="229">AE873</f>
        <v>0</v>
      </c>
      <c r="AF872" s="292">
        <f t="shared" si="229"/>
        <v>0</v>
      </c>
      <c r="AG872" s="553"/>
      <c r="AH872" s="553"/>
      <c r="AI872" s="455"/>
    </row>
    <row r="873" spans="24:35" x14ac:dyDescent="0.25">
      <c r="X873" s="519" t="s">
        <v>1781</v>
      </c>
      <c r="Y873" s="246" t="s">
        <v>1037</v>
      </c>
      <c r="Z873" s="235" t="s">
        <v>205</v>
      </c>
      <c r="AA873" s="235" t="s">
        <v>406</v>
      </c>
      <c r="AB873" s="442" t="s">
        <v>2442</v>
      </c>
      <c r="AC873" s="576">
        <v>200</v>
      </c>
      <c r="AD873" s="292">
        <f>AD874</f>
        <v>75</v>
      </c>
      <c r="AE873" s="292">
        <f t="shared" ref="AE873:AF873" si="230">AE874</f>
        <v>0</v>
      </c>
      <c r="AF873" s="292">
        <f t="shared" si="230"/>
        <v>0</v>
      </c>
      <c r="AG873" s="553"/>
      <c r="AH873" s="553"/>
      <c r="AI873" s="455"/>
    </row>
    <row r="874" spans="24:35" ht="31.5" x14ac:dyDescent="0.25">
      <c r="X874" s="519" t="s">
        <v>1273</v>
      </c>
      <c r="Y874" s="246" t="s">
        <v>1037</v>
      </c>
      <c r="Z874" s="235" t="s">
        <v>205</v>
      </c>
      <c r="AA874" s="235" t="s">
        <v>406</v>
      </c>
      <c r="AB874" s="442" t="s">
        <v>2442</v>
      </c>
      <c r="AC874" s="576">
        <v>240</v>
      </c>
      <c r="AD874" s="292">
        <f>67.5+7.5</f>
        <v>75</v>
      </c>
      <c r="AE874" s="475">
        <v>0</v>
      </c>
      <c r="AF874" s="475">
        <v>0</v>
      </c>
      <c r="AG874" s="553"/>
      <c r="AH874" s="553"/>
      <c r="AI874" s="455"/>
    </row>
    <row r="875" spans="24:35" x14ac:dyDescent="0.25">
      <c r="X875" s="558" t="s">
        <v>403</v>
      </c>
      <c r="Y875" s="246" t="s">
        <v>1037</v>
      </c>
      <c r="Z875" s="247" t="s">
        <v>290</v>
      </c>
      <c r="AA875" s="248"/>
      <c r="AB875" s="442"/>
      <c r="AC875" s="576"/>
      <c r="AD875" s="733">
        <f t="shared" ref="AD875:AD882" si="231">AD876</f>
        <v>500</v>
      </c>
      <c r="AE875" s="733">
        <f t="shared" ref="AE875:AF877" si="232">AE876</f>
        <v>0</v>
      </c>
      <c r="AF875" s="733">
        <f t="shared" si="232"/>
        <v>0</v>
      </c>
      <c r="AG875" s="553"/>
      <c r="AH875" s="553"/>
      <c r="AI875" s="455"/>
    </row>
    <row r="876" spans="24:35" x14ac:dyDescent="0.25">
      <c r="X876" s="519" t="s">
        <v>1402</v>
      </c>
      <c r="Y876" s="246" t="s">
        <v>1037</v>
      </c>
      <c r="Z876" s="235" t="s">
        <v>290</v>
      </c>
      <c r="AA876" s="235" t="s">
        <v>566</v>
      </c>
      <c r="AB876" s="442"/>
      <c r="AC876" s="576"/>
      <c r="AD876" s="292">
        <f t="shared" si="231"/>
        <v>500</v>
      </c>
      <c r="AE876" s="292">
        <f t="shared" si="232"/>
        <v>0</v>
      </c>
      <c r="AF876" s="292">
        <f t="shared" si="232"/>
        <v>0</v>
      </c>
      <c r="AG876" s="553"/>
      <c r="AH876" s="553"/>
      <c r="AI876" s="455"/>
    </row>
    <row r="877" spans="24:35" x14ac:dyDescent="0.25">
      <c r="X877" s="520" t="s">
        <v>1998</v>
      </c>
      <c r="Y877" s="246" t="s">
        <v>1037</v>
      </c>
      <c r="Z877" s="235" t="s">
        <v>290</v>
      </c>
      <c r="AA877" s="235" t="s">
        <v>566</v>
      </c>
      <c r="AB877" s="442" t="s">
        <v>1774</v>
      </c>
      <c r="AC877" s="576"/>
      <c r="AD877" s="292">
        <f t="shared" si="231"/>
        <v>500</v>
      </c>
      <c r="AE877" s="292">
        <f t="shared" si="232"/>
        <v>0</v>
      </c>
      <c r="AF877" s="292">
        <f t="shared" si="232"/>
        <v>0</v>
      </c>
      <c r="AG877" s="553"/>
      <c r="AH877" s="553"/>
      <c r="AI877" s="455"/>
    </row>
    <row r="878" spans="24:35" ht="31.5" x14ac:dyDescent="0.25">
      <c r="X878" s="520" t="s">
        <v>2338</v>
      </c>
      <c r="Y878" s="246" t="s">
        <v>1037</v>
      </c>
      <c r="Z878" s="235" t="s">
        <v>290</v>
      </c>
      <c r="AA878" s="235" t="s">
        <v>566</v>
      </c>
      <c r="AB878" s="442" t="s">
        <v>2006</v>
      </c>
      <c r="AC878" s="238"/>
      <c r="AD878" s="292">
        <f t="shared" si="231"/>
        <v>500</v>
      </c>
      <c r="AE878" s="292">
        <f t="shared" ref="AE878:AF878" si="233">AE879</f>
        <v>0</v>
      </c>
      <c r="AF878" s="292">
        <f t="shared" si="233"/>
        <v>0</v>
      </c>
      <c r="AG878" s="553"/>
      <c r="AH878" s="553"/>
      <c r="AI878" s="455"/>
    </row>
    <row r="879" spans="24:35" ht="31.5" x14ac:dyDescent="0.25">
      <c r="X879" s="520" t="s">
        <v>2339</v>
      </c>
      <c r="Y879" s="246" t="s">
        <v>1037</v>
      </c>
      <c r="Z879" s="235" t="s">
        <v>290</v>
      </c>
      <c r="AA879" s="235" t="s">
        <v>566</v>
      </c>
      <c r="AB879" s="442" t="s">
        <v>2007</v>
      </c>
      <c r="AC879" s="238"/>
      <c r="AD879" s="292">
        <f t="shared" si="231"/>
        <v>500</v>
      </c>
      <c r="AE879" s="292">
        <f t="shared" ref="AE879:AF879" si="234">AE880</f>
        <v>0</v>
      </c>
      <c r="AF879" s="292">
        <f t="shared" si="234"/>
        <v>0</v>
      </c>
      <c r="AG879" s="553"/>
      <c r="AH879" s="553"/>
      <c r="AI879" s="455"/>
    </row>
    <row r="880" spans="24:35" x14ac:dyDescent="0.25">
      <c r="X880" s="559" t="s">
        <v>2008</v>
      </c>
      <c r="Y880" s="246" t="s">
        <v>1037</v>
      </c>
      <c r="Z880" s="235" t="s">
        <v>290</v>
      </c>
      <c r="AA880" s="235" t="s">
        <v>566</v>
      </c>
      <c r="AB880" s="442" t="s">
        <v>2009</v>
      </c>
      <c r="AC880" s="238"/>
      <c r="AD880" s="292">
        <f t="shared" si="231"/>
        <v>500</v>
      </c>
      <c r="AE880" s="292">
        <f t="shared" ref="AE880:AF880" si="235">AE881</f>
        <v>0</v>
      </c>
      <c r="AF880" s="292">
        <f t="shared" si="235"/>
        <v>0</v>
      </c>
      <c r="AG880" s="553"/>
      <c r="AH880" s="553"/>
      <c r="AI880" s="455"/>
    </row>
    <row r="881" spans="24:35" ht="31.5" x14ac:dyDescent="0.25">
      <c r="X881" s="519" t="s">
        <v>2010</v>
      </c>
      <c r="Y881" s="246" t="s">
        <v>1037</v>
      </c>
      <c r="Z881" s="235" t="s">
        <v>290</v>
      </c>
      <c r="AA881" s="235" t="s">
        <v>566</v>
      </c>
      <c r="AB881" s="442" t="s">
        <v>2011</v>
      </c>
      <c r="AC881" s="238"/>
      <c r="AD881" s="292">
        <f t="shared" si="231"/>
        <v>500</v>
      </c>
      <c r="AE881" s="292">
        <f t="shared" ref="AE881:AF881" si="236">AE882</f>
        <v>0</v>
      </c>
      <c r="AF881" s="292">
        <f t="shared" si="236"/>
        <v>0</v>
      </c>
      <c r="AG881" s="553"/>
      <c r="AH881" s="553"/>
      <c r="AI881" s="455"/>
    </row>
    <row r="882" spans="24:35" ht="31.5" x14ac:dyDescent="0.25">
      <c r="X882" s="519" t="s">
        <v>1342</v>
      </c>
      <c r="Y882" s="246" t="s">
        <v>1037</v>
      </c>
      <c r="Z882" s="235" t="s">
        <v>290</v>
      </c>
      <c r="AA882" s="235" t="s">
        <v>566</v>
      </c>
      <c r="AB882" s="442" t="s">
        <v>2011</v>
      </c>
      <c r="AC882" s="576">
        <v>600</v>
      </c>
      <c r="AD882" s="292">
        <f t="shared" si="231"/>
        <v>500</v>
      </c>
      <c r="AE882" s="292">
        <f t="shared" ref="AE882:AF882" si="237">AE883</f>
        <v>0</v>
      </c>
      <c r="AF882" s="292">
        <f t="shared" si="237"/>
        <v>0</v>
      </c>
      <c r="AG882" s="553"/>
      <c r="AH882" s="553"/>
      <c r="AI882" s="455"/>
    </row>
    <row r="883" spans="24:35" x14ac:dyDescent="0.25">
      <c r="X883" s="519" t="s">
        <v>1343</v>
      </c>
      <c r="Y883" s="246" t="s">
        <v>1037</v>
      </c>
      <c r="Z883" s="235" t="s">
        <v>290</v>
      </c>
      <c r="AA883" s="235" t="s">
        <v>566</v>
      </c>
      <c r="AB883" s="442" t="s">
        <v>2011</v>
      </c>
      <c r="AC883" s="576">
        <v>610</v>
      </c>
      <c r="AD883" s="292">
        <v>500</v>
      </c>
      <c r="AE883" s="475">
        <v>0</v>
      </c>
      <c r="AF883" s="475">
        <v>0</v>
      </c>
      <c r="AG883" s="553"/>
      <c r="AH883" s="553"/>
      <c r="AI883" s="455"/>
    </row>
    <row r="884" spans="24:35" x14ac:dyDescent="0.25">
      <c r="X884" s="558" t="s">
        <v>1745</v>
      </c>
      <c r="Y884" s="574" t="s">
        <v>1037</v>
      </c>
      <c r="Z884" s="247" t="s">
        <v>768</v>
      </c>
      <c r="AA884" s="248"/>
      <c r="AB884" s="271"/>
      <c r="AC884" s="575"/>
      <c r="AD884" s="733">
        <f>AD885+AD892</f>
        <v>18625.599999999999</v>
      </c>
      <c r="AE884" s="478">
        <f>AE885+AE892</f>
        <v>18625.599999999999</v>
      </c>
      <c r="AF884" s="478">
        <f>AF885+AF892</f>
        <v>18625.599999999999</v>
      </c>
      <c r="AG884" s="640"/>
      <c r="AH884" s="640"/>
      <c r="AI884" s="455"/>
    </row>
    <row r="885" spans="24:35" x14ac:dyDescent="0.25">
      <c r="X885" s="519" t="s">
        <v>1312</v>
      </c>
      <c r="Y885" s="246" t="s">
        <v>1037</v>
      </c>
      <c r="Z885" s="235">
        <v>10</v>
      </c>
      <c r="AA885" s="235" t="s">
        <v>566</v>
      </c>
      <c r="AB885" s="249"/>
      <c r="AC885" s="588"/>
      <c r="AD885" s="292">
        <f t="shared" ref="AD885:AF887" si="238">AD886</f>
        <v>807.6</v>
      </c>
      <c r="AE885" s="475">
        <f t="shared" si="238"/>
        <v>807.6</v>
      </c>
      <c r="AF885" s="475">
        <f t="shared" si="238"/>
        <v>807.6</v>
      </c>
      <c r="AG885" s="553"/>
      <c r="AH885" s="553"/>
      <c r="AI885" s="455"/>
    </row>
    <row r="886" spans="24:35" x14ac:dyDescent="0.25">
      <c r="X886" s="548" t="s">
        <v>2074</v>
      </c>
      <c r="Y886" s="246" t="s">
        <v>1037</v>
      </c>
      <c r="Z886" s="235">
        <v>10</v>
      </c>
      <c r="AA886" s="235" t="s">
        <v>566</v>
      </c>
      <c r="AB886" s="442" t="s">
        <v>1768</v>
      </c>
      <c r="AC886" s="588"/>
      <c r="AD886" s="292">
        <f t="shared" si="238"/>
        <v>807.6</v>
      </c>
      <c r="AE886" s="475">
        <f t="shared" si="238"/>
        <v>807.6</v>
      </c>
      <c r="AF886" s="475">
        <f t="shared" si="238"/>
        <v>807.6</v>
      </c>
      <c r="AG886" s="553"/>
      <c r="AH886" s="553"/>
      <c r="AI886" s="455"/>
    </row>
    <row r="887" spans="24:35" x14ac:dyDescent="0.25">
      <c r="X887" s="524" t="s">
        <v>2075</v>
      </c>
      <c r="Y887" s="246" t="s">
        <v>1037</v>
      </c>
      <c r="Z887" s="235">
        <v>10</v>
      </c>
      <c r="AA887" s="235" t="s">
        <v>566</v>
      </c>
      <c r="AB887" s="442" t="s">
        <v>1779</v>
      </c>
      <c r="AC887" s="588"/>
      <c r="AD887" s="292">
        <f t="shared" si="238"/>
        <v>807.6</v>
      </c>
      <c r="AE887" s="475">
        <f t="shared" si="238"/>
        <v>807.6</v>
      </c>
      <c r="AF887" s="475">
        <f t="shared" si="238"/>
        <v>807.6</v>
      </c>
      <c r="AG887" s="553"/>
      <c r="AH887" s="553"/>
      <c r="AI887" s="455"/>
    </row>
    <row r="888" spans="24:35" ht="31.5" x14ac:dyDescent="0.25">
      <c r="X888" s="548" t="s">
        <v>2081</v>
      </c>
      <c r="Y888" s="246" t="s">
        <v>1037</v>
      </c>
      <c r="Z888" s="235">
        <v>10</v>
      </c>
      <c r="AA888" s="235" t="s">
        <v>566</v>
      </c>
      <c r="AB888" s="442" t="s">
        <v>2082</v>
      </c>
      <c r="AC888" s="588"/>
      <c r="AD888" s="292">
        <f t="shared" ref="AD888:AF890" si="239">AD889</f>
        <v>807.6</v>
      </c>
      <c r="AE888" s="475">
        <f t="shared" si="239"/>
        <v>807.6</v>
      </c>
      <c r="AF888" s="475">
        <f t="shared" si="239"/>
        <v>807.6</v>
      </c>
      <c r="AG888" s="553"/>
      <c r="AH888" s="553"/>
      <c r="AI888" s="455"/>
    </row>
    <row r="889" spans="24:35" ht="31.5" x14ac:dyDescent="0.25">
      <c r="X889" s="529" t="s">
        <v>2083</v>
      </c>
      <c r="Y889" s="246" t="s">
        <v>1037</v>
      </c>
      <c r="Z889" s="235">
        <v>10</v>
      </c>
      <c r="AA889" s="235" t="s">
        <v>566</v>
      </c>
      <c r="AB889" s="442" t="s">
        <v>2084</v>
      </c>
      <c r="AC889" s="588"/>
      <c r="AD889" s="292">
        <f t="shared" si="239"/>
        <v>807.6</v>
      </c>
      <c r="AE889" s="475">
        <f t="shared" si="239"/>
        <v>807.6</v>
      </c>
      <c r="AF889" s="475">
        <f t="shared" si="239"/>
        <v>807.6</v>
      </c>
      <c r="AG889" s="553"/>
      <c r="AH889" s="553"/>
      <c r="AI889" s="455"/>
    </row>
    <row r="890" spans="24:35" x14ac:dyDescent="0.25">
      <c r="X890" s="519" t="s">
        <v>1754</v>
      </c>
      <c r="Y890" s="246" t="s">
        <v>1037</v>
      </c>
      <c r="Z890" s="235">
        <v>10</v>
      </c>
      <c r="AA890" s="235" t="s">
        <v>566</v>
      </c>
      <c r="AB890" s="442" t="s">
        <v>2084</v>
      </c>
      <c r="AC890" s="238">
        <v>300</v>
      </c>
      <c r="AD890" s="292">
        <f t="shared" si="239"/>
        <v>807.6</v>
      </c>
      <c r="AE890" s="475">
        <f t="shared" si="239"/>
        <v>807.6</v>
      </c>
      <c r="AF890" s="475">
        <f t="shared" si="239"/>
        <v>807.6</v>
      </c>
      <c r="AG890" s="553"/>
      <c r="AH890" s="553"/>
      <c r="AI890" s="455"/>
    </row>
    <row r="891" spans="24:35" x14ac:dyDescent="0.25">
      <c r="X891" s="519" t="s">
        <v>868</v>
      </c>
      <c r="Y891" s="246" t="s">
        <v>1037</v>
      </c>
      <c r="Z891" s="235">
        <v>10</v>
      </c>
      <c r="AA891" s="235" t="s">
        <v>566</v>
      </c>
      <c r="AB891" s="442" t="s">
        <v>2084</v>
      </c>
      <c r="AC891" s="238">
        <v>320</v>
      </c>
      <c r="AD891" s="292">
        <v>807.6</v>
      </c>
      <c r="AE891" s="475">
        <v>807.6</v>
      </c>
      <c r="AF891" s="475">
        <v>807.6</v>
      </c>
      <c r="AG891" s="553"/>
      <c r="AH891" s="553"/>
      <c r="AI891" s="455"/>
    </row>
    <row r="892" spans="24:35" x14ac:dyDescent="0.25">
      <c r="X892" s="519" t="s">
        <v>605</v>
      </c>
      <c r="Y892" s="246" t="s">
        <v>1037</v>
      </c>
      <c r="Z892" s="235">
        <v>10</v>
      </c>
      <c r="AA892" s="235" t="s">
        <v>1181</v>
      </c>
      <c r="AB892" s="442"/>
      <c r="AC892" s="238"/>
      <c r="AD892" s="292">
        <f>AD893</f>
        <v>17818</v>
      </c>
      <c r="AE892" s="475">
        <f>AE893</f>
        <v>17818</v>
      </c>
      <c r="AF892" s="475">
        <f>AF893</f>
        <v>17818</v>
      </c>
      <c r="AG892" s="553"/>
      <c r="AH892" s="553"/>
      <c r="AI892" s="455"/>
    </row>
    <row r="893" spans="24:35" x14ac:dyDescent="0.25">
      <c r="X893" s="520" t="s">
        <v>2021</v>
      </c>
      <c r="Y893" s="246" t="s">
        <v>1037</v>
      </c>
      <c r="Z893" s="235">
        <v>10</v>
      </c>
      <c r="AA893" s="235" t="s">
        <v>1181</v>
      </c>
      <c r="AB893" s="249" t="s">
        <v>1759</v>
      </c>
      <c r="AC893" s="238"/>
      <c r="AD893" s="292">
        <f t="shared" ref="AD893:AF895" si="240">AD894</f>
        <v>17818</v>
      </c>
      <c r="AE893" s="475">
        <f t="shared" si="240"/>
        <v>17818</v>
      </c>
      <c r="AF893" s="475">
        <f t="shared" si="240"/>
        <v>17818</v>
      </c>
      <c r="AG893" s="553"/>
      <c r="AH893" s="553"/>
      <c r="AI893" s="455"/>
    </row>
    <row r="894" spans="24:35" x14ac:dyDescent="0.25">
      <c r="X894" s="520" t="s">
        <v>2022</v>
      </c>
      <c r="Y894" s="246" t="s">
        <v>1037</v>
      </c>
      <c r="Z894" s="235">
        <v>10</v>
      </c>
      <c r="AA894" s="235" t="s">
        <v>1181</v>
      </c>
      <c r="AB894" s="249" t="s">
        <v>1777</v>
      </c>
      <c r="AC894" s="238"/>
      <c r="AD894" s="292">
        <f>AD895</f>
        <v>17818</v>
      </c>
      <c r="AE894" s="475">
        <f>AE895</f>
        <v>17818</v>
      </c>
      <c r="AF894" s="475">
        <f>AF895</f>
        <v>17818</v>
      </c>
      <c r="AG894" s="553"/>
      <c r="AH894" s="553"/>
      <c r="AI894" s="455"/>
    </row>
    <row r="895" spans="24:35" ht="31.5" x14ac:dyDescent="0.25">
      <c r="X895" s="520" t="s">
        <v>2023</v>
      </c>
      <c r="Y895" s="246" t="s">
        <v>1037</v>
      </c>
      <c r="Z895" s="235">
        <v>10</v>
      </c>
      <c r="AA895" s="235" t="s">
        <v>1181</v>
      </c>
      <c r="AB895" s="442" t="s">
        <v>1791</v>
      </c>
      <c r="AC895" s="238"/>
      <c r="AD895" s="292">
        <f t="shared" si="240"/>
        <v>17818</v>
      </c>
      <c r="AE895" s="475">
        <f t="shared" si="240"/>
        <v>17818</v>
      </c>
      <c r="AF895" s="475">
        <f t="shared" si="240"/>
        <v>17818</v>
      </c>
      <c r="AG895" s="553"/>
      <c r="AH895" s="553"/>
      <c r="AI895" s="455"/>
    </row>
    <row r="896" spans="24:35" ht="47.25" x14ac:dyDescent="0.25">
      <c r="X896" s="521" t="s">
        <v>2025</v>
      </c>
      <c r="Y896" s="246" t="s">
        <v>1037</v>
      </c>
      <c r="Z896" s="235">
        <v>10</v>
      </c>
      <c r="AA896" s="235" t="s">
        <v>1181</v>
      </c>
      <c r="AB896" s="442" t="s">
        <v>2165</v>
      </c>
      <c r="AC896" s="238"/>
      <c r="AD896" s="292">
        <f>AD899+AD897</f>
        <v>17818</v>
      </c>
      <c r="AE896" s="475">
        <f>AE899+AE897</f>
        <v>17818</v>
      </c>
      <c r="AF896" s="475">
        <f>AF899+AF897</f>
        <v>17818</v>
      </c>
      <c r="AG896" s="553"/>
      <c r="AH896" s="553"/>
      <c r="AI896" s="455"/>
    </row>
    <row r="897" spans="1:35" x14ac:dyDescent="0.25">
      <c r="X897" s="519" t="s">
        <v>1781</v>
      </c>
      <c r="Y897" s="246" t="s">
        <v>1037</v>
      </c>
      <c r="Z897" s="235">
        <v>10</v>
      </c>
      <c r="AA897" s="235" t="s">
        <v>1181</v>
      </c>
      <c r="AB897" s="442" t="s">
        <v>2165</v>
      </c>
      <c r="AC897" s="238">
        <v>200</v>
      </c>
      <c r="AD897" s="292">
        <f>AD898</f>
        <v>176</v>
      </c>
      <c r="AE897" s="475">
        <f>AE898</f>
        <v>176</v>
      </c>
      <c r="AF897" s="475">
        <f>AF898</f>
        <v>176</v>
      </c>
      <c r="AG897" s="553"/>
      <c r="AH897" s="553"/>
      <c r="AI897" s="455"/>
    </row>
    <row r="898" spans="1:35" ht="31.5" x14ac:dyDescent="0.25">
      <c r="X898" s="519" t="s">
        <v>1273</v>
      </c>
      <c r="Y898" s="246" t="s">
        <v>1037</v>
      </c>
      <c r="Z898" s="235">
        <v>10</v>
      </c>
      <c r="AA898" s="235" t="s">
        <v>1181</v>
      </c>
      <c r="AB898" s="442" t="s">
        <v>2165</v>
      </c>
      <c r="AC898" s="238">
        <v>240</v>
      </c>
      <c r="AD898" s="292">
        <v>176</v>
      </c>
      <c r="AE898" s="475">
        <v>176</v>
      </c>
      <c r="AF898" s="475">
        <v>176</v>
      </c>
      <c r="AG898" s="553"/>
      <c r="AH898" s="553"/>
      <c r="AI898" s="455"/>
    </row>
    <row r="899" spans="1:35" x14ac:dyDescent="0.25">
      <c r="X899" s="519" t="s">
        <v>1754</v>
      </c>
      <c r="Y899" s="246" t="s">
        <v>1037</v>
      </c>
      <c r="Z899" s="235">
        <v>10</v>
      </c>
      <c r="AA899" s="235" t="s">
        <v>1181</v>
      </c>
      <c r="AB899" s="442" t="s">
        <v>2165</v>
      </c>
      <c r="AC899" s="238">
        <v>300</v>
      </c>
      <c r="AD899" s="292">
        <f>AD900</f>
        <v>17642</v>
      </c>
      <c r="AE899" s="475">
        <f>AE900</f>
        <v>17642</v>
      </c>
      <c r="AF899" s="475">
        <f>AF900</f>
        <v>17642</v>
      </c>
      <c r="AG899" s="553"/>
      <c r="AH899" s="553"/>
      <c r="AI899" s="455"/>
    </row>
    <row r="900" spans="1:35" x14ac:dyDescent="0.25">
      <c r="X900" s="519" t="s">
        <v>1804</v>
      </c>
      <c r="Y900" s="246" t="s">
        <v>1037</v>
      </c>
      <c r="Z900" s="235">
        <v>10</v>
      </c>
      <c r="AA900" s="235" t="s">
        <v>1181</v>
      </c>
      <c r="AB900" s="442" t="s">
        <v>2165</v>
      </c>
      <c r="AC900" s="238">
        <v>310</v>
      </c>
      <c r="AD900" s="292">
        <v>17642</v>
      </c>
      <c r="AE900" s="475">
        <v>17642</v>
      </c>
      <c r="AF900" s="475">
        <v>17642</v>
      </c>
      <c r="AG900" s="553"/>
      <c r="AH900" s="553"/>
      <c r="AI900" s="455"/>
    </row>
    <row r="901" spans="1:35" ht="32.25" x14ac:dyDescent="0.3">
      <c r="A901" s="286" t="s">
        <v>1806</v>
      </c>
      <c r="B901" s="283" t="s">
        <v>1326</v>
      </c>
      <c r="C901" s="235" t="s">
        <v>566</v>
      </c>
      <c r="D901" s="281">
        <v>13</v>
      </c>
      <c r="E901" s="236" t="s">
        <v>1773</v>
      </c>
      <c r="X901" s="558" t="s">
        <v>1183</v>
      </c>
      <c r="Y901" s="574">
        <v>902</v>
      </c>
      <c r="Z901" s="265"/>
      <c r="AA901" s="265"/>
      <c r="AB901" s="277"/>
      <c r="AC901" s="585"/>
      <c r="AD901" s="733">
        <f>AD910+AD947+AD1094+AD1112+AD1081+AD1139+AD902+AD1103</f>
        <v>1952855.0000000002</v>
      </c>
      <c r="AE901" s="733">
        <f t="shared" ref="AE901:AF901" si="241">AE910+AE947+AE1094+AE1112+AE1081+AE1139+AE902+AE1103</f>
        <v>724901.3</v>
      </c>
      <c r="AF901" s="733">
        <f t="shared" si="241"/>
        <v>80937.3</v>
      </c>
      <c r="AG901" s="640"/>
      <c r="AH901" s="640"/>
      <c r="AI901" s="455"/>
    </row>
    <row r="902" spans="1:35" ht="18.75" x14ac:dyDescent="0.3">
      <c r="A902" s="352"/>
      <c r="B902" s="345"/>
      <c r="C902" s="346"/>
      <c r="D902" s="346"/>
      <c r="E902" s="347"/>
      <c r="X902" s="558" t="s">
        <v>482</v>
      </c>
      <c r="Y902" s="574">
        <v>902</v>
      </c>
      <c r="Z902" s="262" t="s">
        <v>566</v>
      </c>
      <c r="AA902" s="248"/>
      <c r="AB902" s="277"/>
      <c r="AC902" s="585"/>
      <c r="AD902" s="733">
        <f t="shared" ref="AD902:AD908" si="242">AD903</f>
        <v>18325</v>
      </c>
      <c r="AE902" s="733">
        <f t="shared" ref="AE902:AF902" si="243">AE903</f>
        <v>0</v>
      </c>
      <c r="AF902" s="733">
        <f t="shared" si="243"/>
        <v>0</v>
      </c>
      <c r="AG902" s="640"/>
      <c r="AH902" s="640"/>
      <c r="AI902" s="455"/>
    </row>
    <row r="903" spans="1:35" ht="18.75" x14ac:dyDescent="0.3">
      <c r="A903" s="352"/>
      <c r="B903" s="345"/>
      <c r="C903" s="346"/>
      <c r="D903" s="346"/>
      <c r="E903" s="347"/>
      <c r="X903" s="519" t="s">
        <v>287</v>
      </c>
      <c r="Y903" s="246">
        <v>902</v>
      </c>
      <c r="Z903" s="235" t="s">
        <v>566</v>
      </c>
      <c r="AA903" s="235">
        <v>13</v>
      </c>
      <c r="AB903" s="277"/>
      <c r="AC903" s="585"/>
      <c r="AD903" s="292">
        <f t="shared" si="242"/>
        <v>18325</v>
      </c>
      <c r="AE903" s="292">
        <f t="shared" ref="AE903:AF903" si="244">AE904</f>
        <v>0</v>
      </c>
      <c r="AF903" s="292">
        <f t="shared" si="244"/>
        <v>0</v>
      </c>
      <c r="AG903" s="640"/>
      <c r="AH903" s="640"/>
      <c r="AI903" s="455"/>
    </row>
    <row r="904" spans="1:35" x14ac:dyDescent="0.25">
      <c r="A904" s="352"/>
      <c r="B904" s="345"/>
      <c r="C904" s="346"/>
      <c r="D904" s="346"/>
      <c r="E904" s="347"/>
      <c r="X904" s="548" t="s">
        <v>1898</v>
      </c>
      <c r="Y904" s="246">
        <v>902</v>
      </c>
      <c r="Z904" s="235" t="s">
        <v>566</v>
      </c>
      <c r="AA904" s="235">
        <v>13</v>
      </c>
      <c r="AB904" s="442" t="s">
        <v>1771</v>
      </c>
      <c r="AC904" s="238"/>
      <c r="AD904" s="292">
        <f t="shared" si="242"/>
        <v>18325</v>
      </c>
      <c r="AE904" s="292">
        <f t="shared" ref="AE904:AF904" si="245">AE905</f>
        <v>0</v>
      </c>
      <c r="AF904" s="292">
        <f t="shared" si="245"/>
        <v>0</v>
      </c>
      <c r="AG904" s="640"/>
      <c r="AH904" s="640"/>
      <c r="AI904" s="455"/>
    </row>
    <row r="905" spans="1:35" x14ac:dyDescent="0.25">
      <c r="A905" s="352"/>
      <c r="B905" s="345"/>
      <c r="C905" s="346"/>
      <c r="D905" s="346"/>
      <c r="E905" s="347"/>
      <c r="X905" s="548" t="s">
        <v>1893</v>
      </c>
      <c r="Y905" s="246">
        <v>902</v>
      </c>
      <c r="Z905" s="235" t="s">
        <v>566</v>
      </c>
      <c r="AA905" s="235">
        <v>13</v>
      </c>
      <c r="AB905" s="442" t="s">
        <v>1772</v>
      </c>
      <c r="AC905" s="238"/>
      <c r="AD905" s="292">
        <f t="shared" si="242"/>
        <v>18325</v>
      </c>
      <c r="AE905" s="292">
        <f t="shared" ref="AE905:AF905" si="246">AE906</f>
        <v>0</v>
      </c>
      <c r="AF905" s="292">
        <f t="shared" si="246"/>
        <v>0</v>
      </c>
      <c r="AG905" s="640"/>
      <c r="AH905" s="640"/>
      <c r="AI905" s="455"/>
    </row>
    <row r="906" spans="1:35" ht="31.5" x14ac:dyDescent="0.25">
      <c r="A906" s="352"/>
      <c r="B906" s="345"/>
      <c r="C906" s="346"/>
      <c r="D906" s="346"/>
      <c r="E906" s="347"/>
      <c r="X906" s="529" t="s">
        <v>1894</v>
      </c>
      <c r="Y906" s="246">
        <v>902</v>
      </c>
      <c r="Z906" s="235" t="s">
        <v>566</v>
      </c>
      <c r="AA906" s="235">
        <v>13</v>
      </c>
      <c r="AB906" s="442" t="s">
        <v>1895</v>
      </c>
      <c r="AC906" s="238"/>
      <c r="AD906" s="292">
        <f t="shared" si="242"/>
        <v>18325</v>
      </c>
      <c r="AE906" s="292">
        <f t="shared" ref="AE906:AF906" si="247">AE907</f>
        <v>0</v>
      </c>
      <c r="AF906" s="292">
        <f t="shared" si="247"/>
        <v>0</v>
      </c>
      <c r="AG906" s="640"/>
      <c r="AH906" s="640"/>
      <c r="AI906" s="455"/>
    </row>
    <row r="907" spans="1:35" ht="31.5" x14ac:dyDescent="0.25">
      <c r="A907" s="352"/>
      <c r="B907" s="345"/>
      <c r="C907" s="346"/>
      <c r="D907" s="346"/>
      <c r="E907" s="347"/>
      <c r="X907" s="531" t="s">
        <v>1896</v>
      </c>
      <c r="Y907" s="246">
        <v>902</v>
      </c>
      <c r="Z907" s="235" t="s">
        <v>566</v>
      </c>
      <c r="AA907" s="235">
        <v>13</v>
      </c>
      <c r="AB907" s="442" t="s">
        <v>1897</v>
      </c>
      <c r="AC907" s="576"/>
      <c r="AD907" s="292">
        <f t="shared" si="242"/>
        <v>18325</v>
      </c>
      <c r="AE907" s="292">
        <f t="shared" ref="AE907:AF907" si="248">AE908</f>
        <v>0</v>
      </c>
      <c r="AF907" s="292">
        <f t="shared" si="248"/>
        <v>0</v>
      </c>
      <c r="AG907" s="640"/>
      <c r="AH907" s="640"/>
      <c r="AI907" s="455"/>
    </row>
    <row r="908" spans="1:35" x14ac:dyDescent="0.25">
      <c r="A908" s="352"/>
      <c r="B908" s="345"/>
      <c r="C908" s="346"/>
      <c r="D908" s="346"/>
      <c r="E908" s="347"/>
      <c r="X908" s="519" t="s">
        <v>1781</v>
      </c>
      <c r="Y908" s="246">
        <v>902</v>
      </c>
      <c r="Z908" s="235" t="s">
        <v>566</v>
      </c>
      <c r="AA908" s="235">
        <v>13</v>
      </c>
      <c r="AB908" s="442" t="s">
        <v>1897</v>
      </c>
      <c r="AC908" s="238">
        <v>200</v>
      </c>
      <c r="AD908" s="292">
        <f t="shared" si="242"/>
        <v>18325</v>
      </c>
      <c r="AE908" s="292">
        <f t="shared" ref="AE908:AF908" si="249">AE909</f>
        <v>0</v>
      </c>
      <c r="AF908" s="292">
        <f t="shared" si="249"/>
        <v>0</v>
      </c>
      <c r="AG908" s="640"/>
      <c r="AH908" s="640"/>
      <c r="AI908" s="455"/>
    </row>
    <row r="909" spans="1:35" ht="21.6" customHeight="1" x14ac:dyDescent="0.25">
      <c r="A909" s="352"/>
      <c r="B909" s="345"/>
      <c r="C909" s="346"/>
      <c r="D909" s="346"/>
      <c r="E909" s="347"/>
      <c r="X909" s="519" t="s">
        <v>1273</v>
      </c>
      <c r="Y909" s="246">
        <v>902</v>
      </c>
      <c r="Z909" s="235" t="s">
        <v>566</v>
      </c>
      <c r="AA909" s="235">
        <v>13</v>
      </c>
      <c r="AB909" s="442" t="s">
        <v>1897</v>
      </c>
      <c r="AC909" s="238">
        <v>240</v>
      </c>
      <c r="AD909" s="292">
        <f>16000+3730+6500-6500-275-1000-130</f>
        <v>18325</v>
      </c>
      <c r="AE909" s="475">
        <v>0</v>
      </c>
      <c r="AF909" s="475">
        <v>0</v>
      </c>
      <c r="AG909" s="640"/>
      <c r="AH909" s="640"/>
      <c r="AI909" s="455"/>
    </row>
    <row r="910" spans="1:35" ht="18.75" x14ac:dyDescent="0.3">
      <c r="X910" s="558" t="s">
        <v>993</v>
      </c>
      <c r="Y910" s="574" t="s">
        <v>1740</v>
      </c>
      <c r="Z910" s="247" t="s">
        <v>1181</v>
      </c>
      <c r="AA910" s="266"/>
      <c r="AB910" s="278"/>
      <c r="AC910" s="594"/>
      <c r="AD910" s="733">
        <f>AD911+AD918</f>
        <v>55346.400000000001</v>
      </c>
      <c r="AE910" s="478">
        <f>AE911+AE918</f>
        <v>7982.9</v>
      </c>
      <c r="AF910" s="478">
        <f>AF911+AF918</f>
        <v>10049.9</v>
      </c>
      <c r="AG910" s="640"/>
      <c r="AH910" s="640"/>
      <c r="AI910" s="455"/>
    </row>
    <row r="911" spans="1:35" ht="18.75" x14ac:dyDescent="0.3">
      <c r="X911" s="519" t="s">
        <v>289</v>
      </c>
      <c r="Y911" s="246" t="s">
        <v>1740</v>
      </c>
      <c r="Z911" s="255" t="s">
        <v>1181</v>
      </c>
      <c r="AA911" s="235" t="s">
        <v>175</v>
      </c>
      <c r="AB911" s="278"/>
      <c r="AC911" s="594"/>
      <c r="AD911" s="292">
        <f t="shared" ref="AD911:AF914" si="250">AD912</f>
        <v>1070</v>
      </c>
      <c r="AE911" s="475">
        <f t="shared" si="250"/>
        <v>655</v>
      </c>
      <c r="AF911" s="475">
        <f t="shared" si="250"/>
        <v>655</v>
      </c>
      <c r="AG911" s="553"/>
      <c r="AH911" s="553"/>
      <c r="AI911" s="455"/>
    </row>
    <row r="912" spans="1:35" ht="18.75" x14ac:dyDescent="0.3">
      <c r="X912" s="520" t="s">
        <v>1966</v>
      </c>
      <c r="Y912" s="246" t="s">
        <v>1740</v>
      </c>
      <c r="Z912" s="255" t="s">
        <v>1181</v>
      </c>
      <c r="AA912" s="235" t="s">
        <v>175</v>
      </c>
      <c r="AB912" s="442" t="s">
        <v>1816</v>
      </c>
      <c r="AC912" s="594"/>
      <c r="AD912" s="292">
        <f t="shared" si="250"/>
        <v>1070</v>
      </c>
      <c r="AE912" s="475">
        <f t="shared" si="250"/>
        <v>655</v>
      </c>
      <c r="AF912" s="475">
        <f t="shared" si="250"/>
        <v>655</v>
      </c>
      <c r="AG912" s="553"/>
      <c r="AH912" s="553"/>
      <c r="AI912" s="455"/>
    </row>
    <row r="913" spans="1:35" ht="18.75" x14ac:dyDescent="0.3">
      <c r="X913" s="520" t="s">
        <v>1967</v>
      </c>
      <c r="Y913" s="246" t="s">
        <v>1740</v>
      </c>
      <c r="Z913" s="255" t="s">
        <v>1181</v>
      </c>
      <c r="AA913" s="235" t="s">
        <v>175</v>
      </c>
      <c r="AB913" s="442" t="s">
        <v>1968</v>
      </c>
      <c r="AC913" s="594"/>
      <c r="AD913" s="292">
        <f t="shared" si="250"/>
        <v>1070</v>
      </c>
      <c r="AE913" s="475">
        <f t="shared" si="250"/>
        <v>655</v>
      </c>
      <c r="AF913" s="475">
        <f t="shared" si="250"/>
        <v>655</v>
      </c>
      <c r="AG913" s="553"/>
      <c r="AH913" s="553"/>
      <c r="AI913" s="455"/>
    </row>
    <row r="914" spans="1:35" ht="48" x14ac:dyDescent="0.3">
      <c r="X914" s="520" t="s">
        <v>1969</v>
      </c>
      <c r="Y914" s="246" t="s">
        <v>1740</v>
      </c>
      <c r="Z914" s="255" t="s">
        <v>1181</v>
      </c>
      <c r="AA914" s="235" t="s">
        <v>175</v>
      </c>
      <c r="AB914" s="442" t="s">
        <v>1970</v>
      </c>
      <c r="AC914" s="594"/>
      <c r="AD914" s="292">
        <f t="shared" si="250"/>
        <v>1070</v>
      </c>
      <c r="AE914" s="475">
        <f t="shared" si="250"/>
        <v>655</v>
      </c>
      <c r="AF914" s="475">
        <f t="shared" si="250"/>
        <v>655</v>
      </c>
      <c r="AG914" s="553"/>
      <c r="AH914" s="553"/>
      <c r="AI914" s="455"/>
    </row>
    <row r="915" spans="1:35" ht="47.25" x14ac:dyDescent="0.25">
      <c r="X915" s="520" t="s">
        <v>2279</v>
      </c>
      <c r="Y915" s="246" t="s">
        <v>1740</v>
      </c>
      <c r="Z915" s="255" t="s">
        <v>1181</v>
      </c>
      <c r="AA915" s="235" t="s">
        <v>175</v>
      </c>
      <c r="AB915" s="442" t="s">
        <v>1971</v>
      </c>
      <c r="AC915" s="238"/>
      <c r="AD915" s="292">
        <f t="shared" ref="AD915:AF916" si="251">AD916</f>
        <v>1070</v>
      </c>
      <c r="AE915" s="475">
        <f t="shared" si="251"/>
        <v>655</v>
      </c>
      <c r="AF915" s="475">
        <f t="shared" si="251"/>
        <v>655</v>
      </c>
      <c r="AG915" s="553"/>
      <c r="AH915" s="553"/>
      <c r="AI915" s="455"/>
    </row>
    <row r="916" spans="1:35" x14ac:dyDescent="0.25">
      <c r="X916" s="519" t="s">
        <v>1781</v>
      </c>
      <c r="Y916" s="246" t="s">
        <v>1740</v>
      </c>
      <c r="Z916" s="255" t="s">
        <v>1181</v>
      </c>
      <c r="AA916" s="235" t="s">
        <v>175</v>
      </c>
      <c r="AB916" s="442" t="s">
        <v>1971</v>
      </c>
      <c r="AC916" s="576">
        <v>200</v>
      </c>
      <c r="AD916" s="292">
        <f t="shared" si="251"/>
        <v>1070</v>
      </c>
      <c r="AE916" s="475">
        <f t="shared" si="251"/>
        <v>655</v>
      </c>
      <c r="AF916" s="475">
        <f t="shared" si="251"/>
        <v>655</v>
      </c>
      <c r="AG916" s="553"/>
      <c r="AH916" s="553"/>
      <c r="AI916" s="455"/>
    </row>
    <row r="917" spans="1:35" ht="31.5" x14ac:dyDescent="0.25">
      <c r="X917" s="519" t="s">
        <v>1273</v>
      </c>
      <c r="Y917" s="246" t="s">
        <v>1740</v>
      </c>
      <c r="Z917" s="255" t="s">
        <v>1181</v>
      </c>
      <c r="AA917" s="235" t="s">
        <v>175</v>
      </c>
      <c r="AB917" s="442" t="s">
        <v>1971</v>
      </c>
      <c r="AC917" s="238">
        <v>240</v>
      </c>
      <c r="AD917" s="292">
        <f>655+415</f>
        <v>1070</v>
      </c>
      <c r="AE917" s="475">
        <v>655</v>
      </c>
      <c r="AF917" s="475">
        <v>655</v>
      </c>
      <c r="AG917" s="553"/>
      <c r="AH917" s="553"/>
      <c r="AI917" s="455"/>
    </row>
    <row r="918" spans="1:35" ht="18.75" x14ac:dyDescent="0.3">
      <c r="X918" s="519" t="s">
        <v>1739</v>
      </c>
      <c r="Y918" s="246" t="s">
        <v>1740</v>
      </c>
      <c r="Z918" s="235" t="s">
        <v>1181</v>
      </c>
      <c r="AA918" s="235" t="s">
        <v>406</v>
      </c>
      <c r="AB918" s="277"/>
      <c r="AC918" s="585"/>
      <c r="AD918" s="292">
        <f>AD919+AD931</f>
        <v>54276.4</v>
      </c>
      <c r="AE918" s="292">
        <f>AE919+AE931</f>
        <v>7327.9</v>
      </c>
      <c r="AF918" s="292">
        <f>AF919+AF931</f>
        <v>9394.9</v>
      </c>
      <c r="AG918" s="553"/>
      <c r="AH918" s="553"/>
      <c r="AI918" s="455"/>
    </row>
    <row r="919" spans="1:35" ht="31.5" x14ac:dyDescent="0.25">
      <c r="A919" s="237"/>
      <c r="B919" s="237"/>
      <c r="C919" s="237"/>
      <c r="D919" s="237"/>
      <c r="E919" s="237"/>
      <c r="F919" s="237"/>
      <c r="G919" s="237"/>
      <c r="H919" s="237"/>
      <c r="I919" s="237"/>
      <c r="J919" s="237"/>
      <c r="K919" s="237"/>
      <c r="L919" s="237"/>
      <c r="M919" s="237"/>
      <c r="N919" s="237"/>
      <c r="O919" s="237"/>
      <c r="P919" s="237"/>
      <c r="R919" s="237"/>
      <c r="S919" s="237"/>
      <c r="W919" s="237"/>
      <c r="X919" s="548" t="s">
        <v>1949</v>
      </c>
      <c r="Y919" s="246" t="s">
        <v>1740</v>
      </c>
      <c r="Z919" s="235" t="s">
        <v>1181</v>
      </c>
      <c r="AA919" s="235" t="s">
        <v>406</v>
      </c>
      <c r="AB919" s="442" t="s">
        <v>1950</v>
      </c>
      <c r="AC919" s="238"/>
      <c r="AD919" s="292">
        <f t="shared" ref="AD919:AF920" si="252">AD920</f>
        <v>31629.5</v>
      </c>
      <c r="AE919" s="475">
        <f t="shared" si="252"/>
        <v>7327.9</v>
      </c>
      <c r="AF919" s="475">
        <f t="shared" si="252"/>
        <v>9394.9</v>
      </c>
      <c r="AG919" s="553"/>
      <c r="AH919" s="553"/>
      <c r="AI919" s="455"/>
    </row>
    <row r="920" spans="1:35" x14ac:dyDescent="0.25">
      <c r="A920" s="237"/>
      <c r="B920" s="237"/>
      <c r="C920" s="237"/>
      <c r="D920" s="237"/>
      <c r="E920" s="237"/>
      <c r="F920" s="237"/>
      <c r="G920" s="237"/>
      <c r="H920" s="237"/>
      <c r="I920" s="237"/>
      <c r="J920" s="237"/>
      <c r="K920" s="237"/>
      <c r="L920" s="237"/>
      <c r="M920" s="237"/>
      <c r="N920" s="237"/>
      <c r="O920" s="237"/>
      <c r="P920" s="237"/>
      <c r="R920" s="237"/>
      <c r="S920" s="237"/>
      <c r="W920" s="237"/>
      <c r="X920" s="548" t="s">
        <v>1955</v>
      </c>
      <c r="Y920" s="246" t="s">
        <v>1740</v>
      </c>
      <c r="Z920" s="235" t="s">
        <v>1181</v>
      </c>
      <c r="AA920" s="235" t="s">
        <v>406</v>
      </c>
      <c r="AB920" s="442" t="s">
        <v>1956</v>
      </c>
      <c r="AC920" s="238"/>
      <c r="AD920" s="292">
        <f t="shared" si="252"/>
        <v>31629.5</v>
      </c>
      <c r="AE920" s="475">
        <f t="shared" si="252"/>
        <v>7327.9</v>
      </c>
      <c r="AF920" s="475">
        <f t="shared" si="252"/>
        <v>9394.9</v>
      </c>
      <c r="AG920" s="553"/>
      <c r="AH920" s="553"/>
      <c r="AI920" s="455"/>
    </row>
    <row r="921" spans="1:35" ht="31.5" x14ac:dyDescent="0.25">
      <c r="A921" s="237"/>
      <c r="B921" s="237"/>
      <c r="C921" s="237"/>
      <c r="D921" s="237"/>
      <c r="E921" s="237"/>
      <c r="F921" s="237"/>
      <c r="G921" s="237"/>
      <c r="H921" s="237"/>
      <c r="I921" s="237"/>
      <c r="J921" s="237"/>
      <c r="K921" s="237"/>
      <c r="L921" s="237"/>
      <c r="M921" s="237"/>
      <c r="N921" s="237"/>
      <c r="O921" s="237"/>
      <c r="P921" s="237"/>
      <c r="R921" s="237"/>
      <c r="S921" s="237"/>
      <c r="W921" s="237"/>
      <c r="X921" s="529" t="s">
        <v>1954</v>
      </c>
      <c r="Y921" s="246" t="s">
        <v>1740</v>
      </c>
      <c r="Z921" s="254" t="s">
        <v>1181</v>
      </c>
      <c r="AA921" s="254" t="s">
        <v>406</v>
      </c>
      <c r="AB921" s="442" t="s">
        <v>2211</v>
      </c>
      <c r="AC921" s="576"/>
      <c r="AD921" s="292">
        <f>AD925+AD928+AD922</f>
        <v>31629.5</v>
      </c>
      <c r="AE921" s="475">
        <f>AE925+AE928+AE922</f>
        <v>7327.9</v>
      </c>
      <c r="AF921" s="475">
        <f>AF925+AF928+AF922</f>
        <v>9394.9</v>
      </c>
      <c r="AG921" s="553"/>
      <c r="AH921" s="553"/>
      <c r="AI921" s="455"/>
    </row>
    <row r="922" spans="1:35" ht="31.5" x14ac:dyDescent="0.25">
      <c r="A922" s="237"/>
      <c r="B922" s="237"/>
      <c r="C922" s="237"/>
      <c r="D922" s="237"/>
      <c r="E922" s="237"/>
      <c r="F922" s="237"/>
      <c r="G922" s="237"/>
      <c r="H922" s="237"/>
      <c r="I922" s="237"/>
      <c r="J922" s="237"/>
      <c r="K922" s="237"/>
      <c r="L922" s="237"/>
      <c r="M922" s="237"/>
      <c r="N922" s="237"/>
      <c r="O922" s="237"/>
      <c r="P922" s="237"/>
      <c r="R922" s="237"/>
      <c r="S922" s="237"/>
      <c r="W922" s="237"/>
      <c r="X922" s="552" t="s">
        <v>2268</v>
      </c>
      <c r="Y922" s="246" t="s">
        <v>1740</v>
      </c>
      <c r="Z922" s="235" t="s">
        <v>1181</v>
      </c>
      <c r="AA922" s="235" t="s">
        <v>406</v>
      </c>
      <c r="AB922" s="442" t="s">
        <v>2269</v>
      </c>
      <c r="AC922" s="576"/>
      <c r="AD922" s="292">
        <f t="shared" ref="AD922:AF923" si="253">AD923</f>
        <v>1996.5000000000005</v>
      </c>
      <c r="AE922" s="475">
        <f t="shared" si="253"/>
        <v>728.9</v>
      </c>
      <c r="AF922" s="475">
        <f t="shared" si="253"/>
        <v>728.9</v>
      </c>
      <c r="AG922" s="553"/>
      <c r="AH922" s="553"/>
      <c r="AI922" s="455"/>
    </row>
    <row r="923" spans="1:35" x14ac:dyDescent="0.25">
      <c r="A923" s="237"/>
      <c r="B923" s="237"/>
      <c r="C923" s="237"/>
      <c r="D923" s="237"/>
      <c r="E923" s="237"/>
      <c r="F923" s="237"/>
      <c r="G923" s="237"/>
      <c r="H923" s="237"/>
      <c r="I923" s="237"/>
      <c r="J923" s="237"/>
      <c r="K923" s="237"/>
      <c r="L923" s="237"/>
      <c r="M923" s="237"/>
      <c r="N923" s="237"/>
      <c r="O923" s="237"/>
      <c r="P923" s="237"/>
      <c r="R923" s="237"/>
      <c r="S923" s="237"/>
      <c r="W923" s="237"/>
      <c r="X923" s="519" t="s">
        <v>1781</v>
      </c>
      <c r="Y923" s="246" t="s">
        <v>1740</v>
      </c>
      <c r="Z923" s="235" t="s">
        <v>1181</v>
      </c>
      <c r="AA923" s="235" t="s">
        <v>406</v>
      </c>
      <c r="AB923" s="442" t="s">
        <v>2269</v>
      </c>
      <c r="AC923" s="238">
        <v>200</v>
      </c>
      <c r="AD923" s="292">
        <f t="shared" si="253"/>
        <v>1996.5000000000005</v>
      </c>
      <c r="AE923" s="475">
        <f t="shared" si="253"/>
        <v>728.9</v>
      </c>
      <c r="AF923" s="475">
        <f t="shared" si="253"/>
        <v>728.9</v>
      </c>
      <c r="AG923" s="553"/>
      <c r="AH923" s="553"/>
      <c r="AI923" s="455"/>
    </row>
    <row r="924" spans="1:35" ht="31.5" x14ac:dyDescent="0.25">
      <c r="A924" s="237"/>
      <c r="B924" s="237"/>
      <c r="C924" s="237"/>
      <c r="D924" s="237"/>
      <c r="E924" s="237"/>
      <c r="F924" s="237"/>
      <c r="G924" s="237"/>
      <c r="H924" s="237"/>
      <c r="I924" s="237"/>
      <c r="J924" s="237"/>
      <c r="K924" s="237"/>
      <c r="L924" s="237"/>
      <c r="M924" s="237"/>
      <c r="N924" s="237"/>
      <c r="O924" s="237"/>
      <c r="P924" s="237"/>
      <c r="R924" s="237"/>
      <c r="S924" s="237"/>
      <c r="W924" s="237"/>
      <c r="X924" s="519" t="s">
        <v>1273</v>
      </c>
      <c r="Y924" s="246" t="s">
        <v>1740</v>
      </c>
      <c r="Z924" s="254" t="s">
        <v>1181</v>
      </c>
      <c r="AA924" s="254" t="s">
        <v>406</v>
      </c>
      <c r="AB924" s="442" t="s">
        <v>2269</v>
      </c>
      <c r="AC924" s="238">
        <v>240</v>
      </c>
      <c r="AD924" s="292">
        <f>728.9+500+500+350+73.3-75.7-80</f>
        <v>1996.5000000000005</v>
      </c>
      <c r="AE924" s="475">
        <v>728.9</v>
      </c>
      <c r="AF924" s="475">
        <v>728.9</v>
      </c>
      <c r="AG924" s="553"/>
      <c r="AH924" s="553"/>
      <c r="AI924" s="455"/>
    </row>
    <row r="925" spans="1:35" x14ac:dyDescent="0.25">
      <c r="A925" s="237"/>
      <c r="B925" s="237"/>
      <c r="C925" s="237"/>
      <c r="D925" s="237"/>
      <c r="E925" s="237"/>
      <c r="F925" s="237"/>
      <c r="G925" s="237"/>
      <c r="H925" s="237"/>
      <c r="I925" s="237"/>
      <c r="J925" s="237"/>
      <c r="K925" s="237"/>
      <c r="L925" s="237"/>
      <c r="M925" s="237"/>
      <c r="N925" s="237"/>
      <c r="O925" s="237"/>
      <c r="P925" s="237"/>
      <c r="R925" s="237"/>
      <c r="S925" s="237"/>
      <c r="W925" s="237"/>
      <c r="X925" s="531" t="s">
        <v>2234</v>
      </c>
      <c r="Y925" s="246" t="s">
        <v>1740</v>
      </c>
      <c r="Z925" s="254" t="s">
        <v>1181</v>
      </c>
      <c r="AA925" s="254" t="s">
        <v>406</v>
      </c>
      <c r="AB925" s="442" t="s">
        <v>2235</v>
      </c>
      <c r="AC925" s="238"/>
      <c r="AD925" s="292">
        <f t="shared" ref="AD925:AF926" si="254">AD926</f>
        <v>4649</v>
      </c>
      <c r="AE925" s="475">
        <f t="shared" si="254"/>
        <v>1000</v>
      </c>
      <c r="AF925" s="475">
        <f t="shared" si="254"/>
        <v>1000</v>
      </c>
      <c r="AG925" s="553"/>
      <c r="AH925" s="553"/>
      <c r="AI925" s="455"/>
    </row>
    <row r="926" spans="1:35" x14ac:dyDescent="0.25">
      <c r="X926" s="519" t="s">
        <v>1781</v>
      </c>
      <c r="Y926" s="246" t="s">
        <v>1740</v>
      </c>
      <c r="Z926" s="254" t="s">
        <v>1181</v>
      </c>
      <c r="AA926" s="254" t="s">
        <v>406</v>
      </c>
      <c r="AB926" s="442" t="s">
        <v>2235</v>
      </c>
      <c r="AC926" s="238">
        <v>200</v>
      </c>
      <c r="AD926" s="292">
        <f t="shared" si="254"/>
        <v>4649</v>
      </c>
      <c r="AE926" s="475">
        <f t="shared" si="254"/>
        <v>1000</v>
      </c>
      <c r="AF926" s="475">
        <f t="shared" si="254"/>
        <v>1000</v>
      </c>
      <c r="AG926" s="553"/>
      <c r="AH926" s="553"/>
      <c r="AI926" s="455"/>
    </row>
    <row r="927" spans="1:35" ht="31.5" x14ac:dyDescent="0.25">
      <c r="X927" s="519" t="s">
        <v>1273</v>
      </c>
      <c r="Y927" s="246" t="s">
        <v>1740</v>
      </c>
      <c r="Z927" s="254" t="s">
        <v>1181</v>
      </c>
      <c r="AA927" s="254" t="s">
        <v>406</v>
      </c>
      <c r="AB927" s="442" t="s">
        <v>2235</v>
      </c>
      <c r="AC927" s="238">
        <v>240</v>
      </c>
      <c r="AD927" s="292">
        <f>1000+3000+433+40+176</f>
        <v>4649</v>
      </c>
      <c r="AE927" s="475">
        <v>1000</v>
      </c>
      <c r="AF927" s="475">
        <v>1000</v>
      </c>
      <c r="AG927" s="553"/>
      <c r="AH927" s="553"/>
      <c r="AI927" s="455"/>
    </row>
    <row r="928" spans="1:35" ht="31.5" x14ac:dyDescent="0.25">
      <c r="X928" s="529" t="s">
        <v>2147</v>
      </c>
      <c r="Y928" s="246" t="s">
        <v>1740</v>
      </c>
      <c r="Z928" s="254" t="s">
        <v>1181</v>
      </c>
      <c r="AA928" s="254" t="s">
        <v>406</v>
      </c>
      <c r="AB928" s="442" t="s">
        <v>2212</v>
      </c>
      <c r="AC928" s="238"/>
      <c r="AD928" s="292">
        <f t="shared" ref="AD928:AF929" si="255">AD929</f>
        <v>24984</v>
      </c>
      <c r="AE928" s="475">
        <f t="shared" si="255"/>
        <v>5599</v>
      </c>
      <c r="AF928" s="475">
        <f t="shared" si="255"/>
        <v>7666</v>
      </c>
      <c r="AG928" s="553"/>
      <c r="AH928" s="553"/>
      <c r="AI928" s="455"/>
    </row>
    <row r="929" spans="24:35" x14ac:dyDescent="0.25">
      <c r="X929" s="519" t="s">
        <v>1781</v>
      </c>
      <c r="Y929" s="246" t="s">
        <v>1740</v>
      </c>
      <c r="Z929" s="254" t="s">
        <v>1181</v>
      </c>
      <c r="AA929" s="254" t="s">
        <v>406</v>
      </c>
      <c r="AB929" s="442" t="s">
        <v>2212</v>
      </c>
      <c r="AC929" s="238">
        <v>200</v>
      </c>
      <c r="AD929" s="292">
        <f t="shared" si="255"/>
        <v>24984</v>
      </c>
      <c r="AE929" s="475">
        <f t="shared" si="255"/>
        <v>5599</v>
      </c>
      <c r="AF929" s="475">
        <f t="shared" si="255"/>
        <v>7666</v>
      </c>
      <c r="AG929" s="553"/>
      <c r="AH929" s="553"/>
      <c r="AI929" s="455"/>
    </row>
    <row r="930" spans="24:35" ht="31.5" x14ac:dyDescent="0.25">
      <c r="X930" s="519" t="s">
        <v>1273</v>
      </c>
      <c r="Y930" s="246" t="s">
        <v>1740</v>
      </c>
      <c r="Z930" s="254" t="s">
        <v>1181</v>
      </c>
      <c r="AA930" s="254" t="s">
        <v>406</v>
      </c>
      <c r="AB930" s="442" t="s">
        <v>2212</v>
      </c>
      <c r="AC930" s="238">
        <v>240</v>
      </c>
      <c r="AD930" s="292">
        <f>25534+1344-1800-94</f>
        <v>24984</v>
      </c>
      <c r="AE930" s="475">
        <f>5319+280</f>
        <v>5599</v>
      </c>
      <c r="AF930" s="475">
        <f>13592+716-6310-332</f>
        <v>7666</v>
      </c>
      <c r="AG930" s="553"/>
      <c r="AH930" s="553"/>
      <c r="AI930" s="455"/>
    </row>
    <row r="931" spans="24:35" x14ac:dyDescent="0.25">
      <c r="X931" s="548" t="s">
        <v>1972</v>
      </c>
      <c r="Y931" s="246" t="s">
        <v>1740</v>
      </c>
      <c r="Z931" s="254" t="s">
        <v>1181</v>
      </c>
      <c r="AA931" s="254" t="s">
        <v>406</v>
      </c>
      <c r="AB931" s="442" t="s">
        <v>1973</v>
      </c>
      <c r="AC931" s="238"/>
      <c r="AD931" s="292">
        <f t="shared" ref="AD931:AF945" si="256">AD932</f>
        <v>22646.9</v>
      </c>
      <c r="AE931" s="292">
        <f t="shared" si="256"/>
        <v>0</v>
      </c>
      <c r="AF931" s="292">
        <f t="shared" si="256"/>
        <v>0</v>
      </c>
      <c r="AG931" s="553"/>
      <c r="AH931" s="553"/>
      <c r="AI931" s="455"/>
    </row>
    <row r="932" spans="24:35" x14ac:dyDescent="0.25">
      <c r="X932" s="548" t="s">
        <v>2340</v>
      </c>
      <c r="Y932" s="246" t="s">
        <v>1740</v>
      </c>
      <c r="Z932" s="254" t="s">
        <v>1181</v>
      </c>
      <c r="AA932" s="254" t="s">
        <v>406</v>
      </c>
      <c r="AB932" s="442" t="s">
        <v>2341</v>
      </c>
      <c r="AC932" s="238"/>
      <c r="AD932" s="292">
        <f>AD943+AD933</f>
        <v>22646.9</v>
      </c>
      <c r="AE932" s="292">
        <f t="shared" ref="AE932:AF932" si="257">AE943+AE933</f>
        <v>0</v>
      </c>
      <c r="AF932" s="292">
        <f t="shared" si="257"/>
        <v>0</v>
      </c>
      <c r="AG932" s="553"/>
      <c r="AH932" s="553"/>
      <c r="AI932" s="455"/>
    </row>
    <row r="933" spans="24:35" ht="37.15" customHeight="1" x14ac:dyDescent="0.25">
      <c r="X933" s="548" t="s">
        <v>2407</v>
      </c>
      <c r="Y933" s="246" t="s">
        <v>1740</v>
      </c>
      <c r="Z933" s="254" t="s">
        <v>1181</v>
      </c>
      <c r="AA933" s="254" t="s">
        <v>406</v>
      </c>
      <c r="AB933" s="442" t="s">
        <v>2408</v>
      </c>
      <c r="AC933" s="238"/>
      <c r="AD933" s="292">
        <f>AD937+AD940+AD934</f>
        <v>7898.2</v>
      </c>
      <c r="AE933" s="292">
        <f t="shared" ref="AE933:AF933" si="258">AE937+AE940+AE934</f>
        <v>0</v>
      </c>
      <c r="AF933" s="292">
        <f t="shared" si="258"/>
        <v>0</v>
      </c>
      <c r="AG933" s="553"/>
      <c r="AH933" s="553"/>
      <c r="AI933" s="455"/>
    </row>
    <row r="934" spans="24:35" ht="23.45" customHeight="1" x14ac:dyDescent="0.25">
      <c r="X934" s="519" t="s">
        <v>2479</v>
      </c>
      <c r="Y934" s="246" t="s">
        <v>1740</v>
      </c>
      <c r="Z934" s="254" t="s">
        <v>1181</v>
      </c>
      <c r="AA934" s="254" t="s">
        <v>406</v>
      </c>
      <c r="AB934" s="442" t="s">
        <v>2480</v>
      </c>
      <c r="AC934" s="579"/>
      <c r="AD934" s="292">
        <f>AD935</f>
        <v>10</v>
      </c>
      <c r="AE934" s="292">
        <f t="shared" ref="AE934:AF934" si="259">AE935</f>
        <v>0</v>
      </c>
      <c r="AF934" s="292">
        <f t="shared" si="259"/>
        <v>0</v>
      </c>
      <c r="AG934" s="553"/>
      <c r="AH934" s="553"/>
      <c r="AI934" s="455"/>
    </row>
    <row r="935" spans="24:35" ht="25.15" customHeight="1" x14ac:dyDescent="0.25">
      <c r="X935" s="519" t="s">
        <v>1781</v>
      </c>
      <c r="Y935" s="246" t="s">
        <v>1740</v>
      </c>
      <c r="Z935" s="254" t="s">
        <v>1181</v>
      </c>
      <c r="AA935" s="254" t="s">
        <v>406</v>
      </c>
      <c r="AB935" s="442" t="s">
        <v>2480</v>
      </c>
      <c r="AC935" s="579" t="s">
        <v>821</v>
      </c>
      <c r="AD935" s="292">
        <f>AD936</f>
        <v>10</v>
      </c>
      <c r="AE935" s="292">
        <f t="shared" ref="AE935:AF935" si="260">AE936</f>
        <v>0</v>
      </c>
      <c r="AF935" s="292">
        <f t="shared" si="260"/>
        <v>0</v>
      </c>
      <c r="AG935" s="553"/>
      <c r="AH935" s="553"/>
      <c r="AI935" s="455"/>
    </row>
    <row r="936" spans="24:35" ht="37.15" customHeight="1" x14ac:dyDescent="0.25">
      <c r="X936" s="519" t="s">
        <v>1273</v>
      </c>
      <c r="Y936" s="246" t="s">
        <v>1740</v>
      </c>
      <c r="Z936" s="254" t="s">
        <v>1181</v>
      </c>
      <c r="AA936" s="254" t="s">
        <v>406</v>
      </c>
      <c r="AB936" s="442" t="s">
        <v>2480</v>
      </c>
      <c r="AC936" s="579" t="s">
        <v>1479</v>
      </c>
      <c r="AD936" s="292">
        <v>10</v>
      </c>
      <c r="AE936" s="292">
        <v>0</v>
      </c>
      <c r="AF936" s="292">
        <v>0</v>
      </c>
      <c r="AG936" s="553"/>
      <c r="AH936" s="553"/>
      <c r="AI936" s="455"/>
    </row>
    <row r="937" spans="24:35" x14ac:dyDescent="0.25">
      <c r="X937" s="519" t="s">
        <v>2433</v>
      </c>
      <c r="Y937" s="246" t="s">
        <v>1740</v>
      </c>
      <c r="Z937" s="254" t="s">
        <v>1181</v>
      </c>
      <c r="AA937" s="254" t="s">
        <v>406</v>
      </c>
      <c r="AB937" s="442" t="s">
        <v>2434</v>
      </c>
      <c r="AC937" s="579"/>
      <c r="AD937" s="292">
        <f>AD938</f>
        <v>7303.5</v>
      </c>
      <c r="AE937" s="292">
        <f t="shared" ref="AE937:AF938" si="261">AE938</f>
        <v>0</v>
      </c>
      <c r="AF937" s="292">
        <f t="shared" si="261"/>
        <v>0</v>
      </c>
      <c r="AG937" s="553"/>
      <c r="AH937" s="553"/>
      <c r="AI937" s="455"/>
    </row>
    <row r="938" spans="24:35" x14ac:dyDescent="0.25">
      <c r="X938" s="519" t="s">
        <v>1781</v>
      </c>
      <c r="Y938" s="246" t="s">
        <v>1740</v>
      </c>
      <c r="Z938" s="254" t="s">
        <v>1181</v>
      </c>
      <c r="AA938" s="254" t="s">
        <v>406</v>
      </c>
      <c r="AB938" s="442" t="s">
        <v>2434</v>
      </c>
      <c r="AC938" s="579" t="s">
        <v>821</v>
      </c>
      <c r="AD938" s="292">
        <f>AD939</f>
        <v>7303.5</v>
      </c>
      <c r="AE938" s="292">
        <f t="shared" si="261"/>
        <v>0</v>
      </c>
      <c r="AF938" s="292">
        <f t="shared" si="261"/>
        <v>0</v>
      </c>
      <c r="AG938" s="553"/>
      <c r="AH938" s="553"/>
      <c r="AI938" s="455"/>
    </row>
    <row r="939" spans="24:35" ht="31.5" x14ac:dyDescent="0.25">
      <c r="X939" s="519" t="s">
        <v>1273</v>
      </c>
      <c r="Y939" s="246" t="s">
        <v>1740</v>
      </c>
      <c r="Z939" s="254" t="s">
        <v>1181</v>
      </c>
      <c r="AA939" s="254" t="s">
        <v>406</v>
      </c>
      <c r="AB939" s="442" t="s">
        <v>2434</v>
      </c>
      <c r="AC939" s="579" t="s">
        <v>1479</v>
      </c>
      <c r="AD939" s="292">
        <f>2633.9+578.2+3354.9+736.5</f>
        <v>7303.5</v>
      </c>
      <c r="AE939" s="292">
        <v>0</v>
      </c>
      <c r="AF939" s="292">
        <v>0</v>
      </c>
      <c r="AG939" s="553"/>
      <c r="AH939" s="553"/>
      <c r="AI939" s="455"/>
    </row>
    <row r="940" spans="24:35" x14ac:dyDescent="0.25">
      <c r="X940" s="519" t="s">
        <v>2438</v>
      </c>
      <c r="Y940" s="246" t="s">
        <v>1740</v>
      </c>
      <c r="Z940" s="254" t="s">
        <v>1181</v>
      </c>
      <c r="AA940" s="254" t="s">
        <v>406</v>
      </c>
      <c r="AB940" s="442" t="s">
        <v>2437</v>
      </c>
      <c r="AC940" s="579"/>
      <c r="AD940" s="292">
        <f>AD941</f>
        <v>584.70000000000005</v>
      </c>
      <c r="AE940" s="292">
        <f t="shared" ref="AE940:AF941" si="262">AE941</f>
        <v>0</v>
      </c>
      <c r="AF940" s="292">
        <f t="shared" si="262"/>
        <v>0</v>
      </c>
      <c r="AG940" s="553"/>
      <c r="AH940" s="553"/>
      <c r="AI940" s="455"/>
    </row>
    <row r="941" spans="24:35" x14ac:dyDescent="0.25">
      <c r="X941" s="519" t="s">
        <v>1781</v>
      </c>
      <c r="Y941" s="246" t="s">
        <v>1740</v>
      </c>
      <c r="Z941" s="254" t="s">
        <v>1181</v>
      </c>
      <c r="AA941" s="254" t="s">
        <v>406</v>
      </c>
      <c r="AB941" s="442" t="s">
        <v>2437</v>
      </c>
      <c r="AC941" s="579" t="s">
        <v>821</v>
      </c>
      <c r="AD941" s="292">
        <f>AD942</f>
        <v>584.70000000000005</v>
      </c>
      <c r="AE941" s="292">
        <f t="shared" si="262"/>
        <v>0</v>
      </c>
      <c r="AF941" s="292">
        <f t="shared" si="262"/>
        <v>0</v>
      </c>
      <c r="AG941" s="553"/>
      <c r="AH941" s="553"/>
      <c r="AI941" s="455"/>
    </row>
    <row r="942" spans="24:35" ht="31.5" x14ac:dyDescent="0.25">
      <c r="X942" s="519" t="s">
        <v>1273</v>
      </c>
      <c r="Y942" s="246" t="s">
        <v>1740</v>
      </c>
      <c r="Z942" s="254" t="s">
        <v>1181</v>
      </c>
      <c r="AA942" s="254" t="s">
        <v>406</v>
      </c>
      <c r="AB942" s="442" t="s">
        <v>2437</v>
      </c>
      <c r="AC942" s="579" t="s">
        <v>1479</v>
      </c>
      <c r="AD942" s="292">
        <f>479.5+105.2</f>
        <v>584.70000000000005</v>
      </c>
      <c r="AE942" s="292">
        <v>0</v>
      </c>
      <c r="AF942" s="292">
        <v>0</v>
      </c>
      <c r="AG942" s="553"/>
      <c r="AH942" s="553"/>
      <c r="AI942" s="455"/>
    </row>
    <row r="943" spans="24:35" x14ac:dyDescent="0.25">
      <c r="X943" s="519" t="s">
        <v>2342</v>
      </c>
      <c r="Y943" s="246" t="s">
        <v>1740</v>
      </c>
      <c r="Z943" s="254" t="s">
        <v>1181</v>
      </c>
      <c r="AA943" s="254" t="s">
        <v>406</v>
      </c>
      <c r="AB943" s="442" t="s">
        <v>2345</v>
      </c>
      <c r="AC943" s="238"/>
      <c r="AD943" s="292">
        <f t="shared" si="256"/>
        <v>14748.7</v>
      </c>
      <c r="AE943" s="475">
        <f t="shared" si="256"/>
        <v>0</v>
      </c>
      <c r="AF943" s="475">
        <f t="shared" si="256"/>
        <v>0</v>
      </c>
      <c r="AG943" s="553"/>
      <c r="AH943" s="553"/>
      <c r="AI943" s="455"/>
    </row>
    <row r="944" spans="24:35" x14ac:dyDescent="0.25">
      <c r="X944" s="519" t="s">
        <v>2417</v>
      </c>
      <c r="Y944" s="246" t="s">
        <v>1740</v>
      </c>
      <c r="Z944" s="254" t="s">
        <v>1181</v>
      </c>
      <c r="AA944" s="254" t="s">
        <v>406</v>
      </c>
      <c r="AB944" s="747" t="s">
        <v>2418</v>
      </c>
      <c r="AC944" s="238"/>
      <c r="AD944" s="292">
        <f t="shared" si="256"/>
        <v>14748.7</v>
      </c>
      <c r="AE944" s="475">
        <f t="shared" si="256"/>
        <v>0</v>
      </c>
      <c r="AF944" s="475">
        <f t="shared" si="256"/>
        <v>0</v>
      </c>
      <c r="AG944" s="553"/>
      <c r="AH944" s="553"/>
      <c r="AI944" s="455"/>
    </row>
    <row r="945" spans="1:35" x14ac:dyDescent="0.25">
      <c r="X945" s="519" t="s">
        <v>1781</v>
      </c>
      <c r="Y945" s="246" t="s">
        <v>1740</v>
      </c>
      <c r="Z945" s="254" t="s">
        <v>1181</v>
      </c>
      <c r="AA945" s="254" t="s">
        <v>406</v>
      </c>
      <c r="AB945" s="747" t="s">
        <v>2418</v>
      </c>
      <c r="AC945" s="238">
        <v>200</v>
      </c>
      <c r="AD945" s="292">
        <f t="shared" si="256"/>
        <v>14748.7</v>
      </c>
      <c r="AE945" s="292">
        <f t="shared" si="256"/>
        <v>0</v>
      </c>
      <c r="AF945" s="292">
        <f t="shared" si="256"/>
        <v>0</v>
      </c>
      <c r="AG945" s="553"/>
      <c r="AH945" s="553"/>
      <c r="AI945" s="455"/>
    </row>
    <row r="946" spans="1:35" ht="31.5" x14ac:dyDescent="0.25">
      <c r="X946" s="519" t="s">
        <v>1273</v>
      </c>
      <c r="Y946" s="246" t="s">
        <v>1740</v>
      </c>
      <c r="Z946" s="254" t="s">
        <v>1181</v>
      </c>
      <c r="AA946" s="254" t="s">
        <v>406</v>
      </c>
      <c r="AB946" s="747" t="s">
        <v>2418</v>
      </c>
      <c r="AC946" s="238">
        <v>240</v>
      </c>
      <c r="AD946" s="292">
        <f>12093.9+2654.8</f>
        <v>14748.7</v>
      </c>
      <c r="AE946" s="475">
        <v>0</v>
      </c>
      <c r="AF946" s="475">
        <v>0</v>
      </c>
      <c r="AG946" s="553"/>
      <c r="AH946" s="553"/>
      <c r="AI946" s="455"/>
    </row>
    <row r="947" spans="1:35" x14ac:dyDescent="0.25">
      <c r="X947" s="558" t="s">
        <v>173</v>
      </c>
      <c r="Y947" s="574" t="s">
        <v>1740</v>
      </c>
      <c r="Z947" s="247" t="s">
        <v>175</v>
      </c>
      <c r="AA947" s="247"/>
      <c r="AB947" s="271"/>
      <c r="AC947" s="575"/>
      <c r="AD947" s="733">
        <f>AD948+AD967+AD1043+AD955</f>
        <v>129869.7</v>
      </c>
      <c r="AE947" s="478">
        <f>AE948+AE967+AE1043+AE955</f>
        <v>35345.100000000006</v>
      </c>
      <c r="AF947" s="478">
        <f>AF948+AF967+AF1043+AF955</f>
        <v>31862.400000000001</v>
      </c>
      <c r="AG947" s="640"/>
      <c r="AH947" s="640"/>
      <c r="AI947" s="455"/>
    </row>
    <row r="948" spans="1:35" x14ac:dyDescent="0.25">
      <c r="X948" s="519" t="s">
        <v>1591</v>
      </c>
      <c r="Y948" s="246" t="s">
        <v>1740</v>
      </c>
      <c r="Z948" s="235" t="s">
        <v>175</v>
      </c>
      <c r="AA948" s="235" t="s">
        <v>566</v>
      </c>
      <c r="AB948" s="249"/>
      <c r="AC948" s="576"/>
      <c r="AD948" s="292">
        <f t="shared" ref="AD948:AF953" si="263">AD949</f>
        <v>160</v>
      </c>
      <c r="AE948" s="475">
        <f t="shared" si="263"/>
        <v>100</v>
      </c>
      <c r="AF948" s="475">
        <f t="shared" si="263"/>
        <v>100</v>
      </c>
      <c r="AG948" s="553"/>
      <c r="AH948" s="553"/>
      <c r="AI948" s="455"/>
    </row>
    <row r="949" spans="1:35" x14ac:dyDescent="0.25">
      <c r="X949" s="548" t="s">
        <v>1972</v>
      </c>
      <c r="Y949" s="246" t="s">
        <v>1740</v>
      </c>
      <c r="Z949" s="235" t="s">
        <v>175</v>
      </c>
      <c r="AA949" s="235" t="s">
        <v>566</v>
      </c>
      <c r="AB949" s="442" t="s">
        <v>1973</v>
      </c>
      <c r="AC949" s="576"/>
      <c r="AD949" s="292">
        <f t="shared" si="263"/>
        <v>160</v>
      </c>
      <c r="AE949" s="475">
        <f t="shared" si="263"/>
        <v>100</v>
      </c>
      <c r="AF949" s="475">
        <f t="shared" si="263"/>
        <v>100</v>
      </c>
      <c r="AG949" s="553"/>
      <c r="AH949" s="553"/>
      <c r="AI949" s="455"/>
    </row>
    <row r="950" spans="1:35" ht="31.5" x14ac:dyDescent="0.25">
      <c r="X950" s="548" t="s">
        <v>2143</v>
      </c>
      <c r="Y950" s="246" t="s">
        <v>1740</v>
      </c>
      <c r="Z950" s="235" t="s">
        <v>175</v>
      </c>
      <c r="AA950" s="235" t="s">
        <v>566</v>
      </c>
      <c r="AB950" s="442" t="s">
        <v>2144</v>
      </c>
      <c r="AC950" s="576"/>
      <c r="AD950" s="292">
        <f t="shared" si="263"/>
        <v>160</v>
      </c>
      <c r="AE950" s="475">
        <f t="shared" si="263"/>
        <v>100</v>
      </c>
      <c r="AF950" s="475">
        <f t="shared" si="263"/>
        <v>100</v>
      </c>
      <c r="AG950" s="553"/>
      <c r="AH950" s="553"/>
      <c r="AI950" s="455"/>
    </row>
    <row r="951" spans="1:35" ht="31.5" x14ac:dyDescent="0.25">
      <c r="X951" s="529" t="s">
        <v>2145</v>
      </c>
      <c r="Y951" s="246" t="s">
        <v>1740</v>
      </c>
      <c r="Z951" s="235" t="s">
        <v>175</v>
      </c>
      <c r="AA951" s="235" t="s">
        <v>566</v>
      </c>
      <c r="AB951" s="442" t="s">
        <v>2146</v>
      </c>
      <c r="AC951" s="576"/>
      <c r="AD951" s="292">
        <f t="shared" ref="AD951:AF952" si="264">AD952</f>
        <v>160</v>
      </c>
      <c r="AE951" s="475">
        <f t="shared" si="264"/>
        <v>100</v>
      </c>
      <c r="AF951" s="475">
        <f t="shared" si="264"/>
        <v>100</v>
      </c>
      <c r="AG951" s="553"/>
      <c r="AH951" s="553"/>
      <c r="AI951" s="455"/>
    </row>
    <row r="952" spans="1:35" x14ac:dyDescent="0.25">
      <c r="X952" s="526" t="s">
        <v>2228</v>
      </c>
      <c r="Y952" s="246" t="s">
        <v>1740</v>
      </c>
      <c r="Z952" s="235" t="s">
        <v>175</v>
      </c>
      <c r="AA952" s="235" t="s">
        <v>566</v>
      </c>
      <c r="AB952" s="442" t="s">
        <v>2229</v>
      </c>
      <c r="AC952" s="576"/>
      <c r="AD952" s="292">
        <f t="shared" si="264"/>
        <v>160</v>
      </c>
      <c r="AE952" s="475">
        <f t="shared" si="264"/>
        <v>100</v>
      </c>
      <c r="AF952" s="475">
        <f t="shared" si="264"/>
        <v>100</v>
      </c>
      <c r="AG952" s="553"/>
      <c r="AH952" s="553"/>
      <c r="AI952" s="455"/>
    </row>
    <row r="953" spans="1:35" x14ac:dyDescent="0.25">
      <c r="X953" s="519" t="s">
        <v>1781</v>
      </c>
      <c r="Y953" s="246" t="s">
        <v>1740</v>
      </c>
      <c r="Z953" s="235" t="s">
        <v>175</v>
      </c>
      <c r="AA953" s="235" t="s">
        <v>566</v>
      </c>
      <c r="AB953" s="442" t="s">
        <v>2229</v>
      </c>
      <c r="AC953" s="579" t="s">
        <v>821</v>
      </c>
      <c r="AD953" s="292">
        <f t="shared" si="263"/>
        <v>160</v>
      </c>
      <c r="AE953" s="475">
        <f t="shared" si="263"/>
        <v>100</v>
      </c>
      <c r="AF953" s="475">
        <f t="shared" si="263"/>
        <v>100</v>
      </c>
      <c r="AG953" s="553"/>
      <c r="AH953" s="553"/>
      <c r="AI953" s="455"/>
    </row>
    <row r="954" spans="1:35" ht="31.5" x14ac:dyDescent="0.25">
      <c r="X954" s="519" t="s">
        <v>1273</v>
      </c>
      <c r="Y954" s="246" t="s">
        <v>1740</v>
      </c>
      <c r="Z954" s="235" t="s">
        <v>175</v>
      </c>
      <c r="AA954" s="235" t="s">
        <v>566</v>
      </c>
      <c r="AB954" s="442" t="s">
        <v>2229</v>
      </c>
      <c r="AC954" s="579" t="s">
        <v>1479</v>
      </c>
      <c r="AD954" s="292">
        <f>100+100-40</f>
        <v>160</v>
      </c>
      <c r="AE954" s="475">
        <v>100</v>
      </c>
      <c r="AF954" s="475">
        <v>100</v>
      </c>
      <c r="AG954" s="553"/>
      <c r="AH954" s="553"/>
      <c r="AI954" s="455"/>
    </row>
    <row r="955" spans="1:35" s="388" customFormat="1" x14ac:dyDescent="0.25">
      <c r="A955" s="385"/>
      <c r="B955" s="386"/>
      <c r="C955" s="387"/>
      <c r="D955" s="387"/>
      <c r="E955" s="387"/>
      <c r="F955" s="387"/>
      <c r="G955" s="387"/>
      <c r="I955" s="389"/>
      <c r="J955" s="389"/>
      <c r="K955" s="389"/>
      <c r="L955" s="389"/>
      <c r="M955" s="389"/>
      <c r="N955" s="389"/>
      <c r="O955" s="390"/>
      <c r="P955" s="391"/>
      <c r="R955" s="392"/>
      <c r="S955" s="393"/>
      <c r="W955" s="394"/>
      <c r="X955" s="542" t="s">
        <v>2155</v>
      </c>
      <c r="Y955" s="246" t="s">
        <v>1740</v>
      </c>
      <c r="Z955" s="544" t="s">
        <v>175</v>
      </c>
      <c r="AA955" s="544" t="s">
        <v>567</v>
      </c>
      <c r="AB955" s="545"/>
      <c r="AC955" s="590"/>
      <c r="AD955" s="735">
        <f>AD956</f>
        <v>11150</v>
      </c>
      <c r="AE955" s="602">
        <f>AE956</f>
        <v>9348.4000000000015</v>
      </c>
      <c r="AF955" s="602">
        <f>AF956</f>
        <v>0</v>
      </c>
      <c r="AG955" s="642"/>
      <c r="AH955" s="642"/>
      <c r="AI955" s="455"/>
    </row>
    <row r="956" spans="1:35" s="388" customFormat="1" ht="31.5" x14ac:dyDescent="0.25">
      <c r="A956" s="385"/>
      <c r="B956" s="386"/>
      <c r="C956" s="387"/>
      <c r="D956" s="387"/>
      <c r="E956" s="387"/>
      <c r="F956" s="387"/>
      <c r="G956" s="387"/>
      <c r="I956" s="389"/>
      <c r="J956" s="389"/>
      <c r="K956" s="389"/>
      <c r="L956" s="389"/>
      <c r="M956" s="389"/>
      <c r="N956" s="389"/>
      <c r="O956" s="390"/>
      <c r="P956" s="391"/>
      <c r="R956" s="392"/>
      <c r="S956" s="393"/>
      <c r="W956" s="394"/>
      <c r="X956" s="542" t="s">
        <v>1948</v>
      </c>
      <c r="Y956" s="246" t="s">
        <v>1740</v>
      </c>
      <c r="Z956" s="544" t="s">
        <v>175</v>
      </c>
      <c r="AA956" s="544" t="s">
        <v>567</v>
      </c>
      <c r="AB956" s="442" t="s">
        <v>1770</v>
      </c>
      <c r="AC956" s="590"/>
      <c r="AD956" s="735">
        <f t="shared" ref="AD956:AF965" si="265">AD957</f>
        <v>11150</v>
      </c>
      <c r="AE956" s="602">
        <f t="shared" si="265"/>
        <v>9348.4000000000015</v>
      </c>
      <c r="AF956" s="602">
        <f t="shared" si="265"/>
        <v>0</v>
      </c>
      <c r="AG956" s="642"/>
      <c r="AH956" s="642"/>
      <c r="AI956" s="455"/>
    </row>
    <row r="957" spans="1:35" s="388" customFormat="1" ht="22.9" customHeight="1" x14ac:dyDescent="0.25">
      <c r="A957" s="385"/>
      <c r="B957" s="386"/>
      <c r="C957" s="387"/>
      <c r="D957" s="387"/>
      <c r="E957" s="387"/>
      <c r="F957" s="387"/>
      <c r="G957" s="387"/>
      <c r="I957" s="389"/>
      <c r="J957" s="389"/>
      <c r="K957" s="389"/>
      <c r="L957" s="389"/>
      <c r="M957" s="389"/>
      <c r="N957" s="389"/>
      <c r="O957" s="390"/>
      <c r="P957" s="391"/>
      <c r="R957" s="392"/>
      <c r="S957" s="393"/>
      <c r="W957" s="394"/>
      <c r="X957" s="542" t="s">
        <v>2398</v>
      </c>
      <c r="Y957" s="246" t="s">
        <v>1740</v>
      </c>
      <c r="Z957" s="544" t="s">
        <v>175</v>
      </c>
      <c r="AA957" s="544" t="s">
        <v>567</v>
      </c>
      <c r="AB957" s="442" t="s">
        <v>2399</v>
      </c>
      <c r="AC957" s="590"/>
      <c r="AD957" s="735">
        <f t="shared" si="265"/>
        <v>11150</v>
      </c>
      <c r="AE957" s="602">
        <f t="shared" si="265"/>
        <v>9348.4000000000015</v>
      </c>
      <c r="AF957" s="602">
        <f t="shared" si="265"/>
        <v>0</v>
      </c>
      <c r="AG957" s="642"/>
      <c r="AH957" s="642"/>
      <c r="AI957" s="455"/>
    </row>
    <row r="958" spans="1:35" s="388" customFormat="1" ht="47.25" x14ac:dyDescent="0.25">
      <c r="A958" s="385"/>
      <c r="B958" s="386"/>
      <c r="C958" s="387"/>
      <c r="D958" s="387"/>
      <c r="E958" s="387"/>
      <c r="F958" s="387"/>
      <c r="G958" s="387"/>
      <c r="I958" s="389"/>
      <c r="J958" s="389"/>
      <c r="K958" s="389"/>
      <c r="L958" s="389"/>
      <c r="M958" s="389"/>
      <c r="N958" s="389"/>
      <c r="O958" s="390"/>
      <c r="P958" s="391"/>
      <c r="R958" s="392"/>
      <c r="S958" s="393"/>
      <c r="W958" s="394"/>
      <c r="X958" s="514" t="s">
        <v>2483</v>
      </c>
      <c r="Y958" s="246" t="s">
        <v>1740</v>
      </c>
      <c r="Z958" s="544" t="s">
        <v>175</v>
      </c>
      <c r="AA958" s="544" t="s">
        <v>567</v>
      </c>
      <c r="AB958" s="442" t="s">
        <v>2400</v>
      </c>
      <c r="AC958" s="590"/>
      <c r="AD958" s="735">
        <f>AD963+AD959</f>
        <v>11150</v>
      </c>
      <c r="AE958" s="735">
        <f t="shared" ref="AE958:AF958" si="266">AE963+AE959</f>
        <v>9348.4000000000015</v>
      </c>
      <c r="AF958" s="735">
        <f t="shared" si="266"/>
        <v>0</v>
      </c>
      <c r="AG958" s="642"/>
      <c r="AH958" s="642"/>
      <c r="AI958" s="455"/>
    </row>
    <row r="959" spans="1:35" s="388" customFormat="1" ht="31.5" x14ac:dyDescent="0.25">
      <c r="A959" s="385"/>
      <c r="B959" s="386"/>
      <c r="C959" s="387"/>
      <c r="D959" s="387"/>
      <c r="E959" s="387"/>
      <c r="F959" s="387"/>
      <c r="G959" s="387"/>
      <c r="I959" s="389"/>
      <c r="J959" s="389"/>
      <c r="K959" s="389"/>
      <c r="L959" s="389"/>
      <c r="M959" s="389"/>
      <c r="N959" s="389"/>
      <c r="O959" s="390"/>
      <c r="P959" s="391"/>
      <c r="R959" s="392"/>
      <c r="S959" s="393"/>
      <c r="W959" s="394"/>
      <c r="X959" s="834" t="s">
        <v>2486</v>
      </c>
      <c r="Y959" s="246" t="s">
        <v>1740</v>
      </c>
      <c r="Z959" s="544" t="s">
        <v>175</v>
      </c>
      <c r="AA959" s="544" t="s">
        <v>567</v>
      </c>
      <c r="AB959" s="442" t="s">
        <v>2487</v>
      </c>
      <c r="AC959" s="590"/>
      <c r="AD959" s="735">
        <f>AD960</f>
        <v>150</v>
      </c>
      <c r="AE959" s="735">
        <f t="shared" ref="AE959:AF959" si="267">AE960</f>
        <v>0</v>
      </c>
      <c r="AF959" s="735">
        <f t="shared" si="267"/>
        <v>0</v>
      </c>
      <c r="AG959" s="642"/>
      <c r="AH959" s="642"/>
      <c r="AI959" s="455"/>
    </row>
    <row r="960" spans="1:35" s="388" customFormat="1" ht="47.25" x14ac:dyDescent="0.25">
      <c r="A960" s="385"/>
      <c r="B960" s="386"/>
      <c r="C960" s="387"/>
      <c r="D960" s="387"/>
      <c r="E960" s="387"/>
      <c r="F960" s="387"/>
      <c r="G960" s="387"/>
      <c r="I960" s="389"/>
      <c r="J960" s="389"/>
      <c r="K960" s="389"/>
      <c r="L960" s="389"/>
      <c r="M960" s="389"/>
      <c r="N960" s="389"/>
      <c r="O960" s="390"/>
      <c r="P960" s="391"/>
      <c r="R960" s="392"/>
      <c r="S960" s="393"/>
      <c r="W960" s="394"/>
      <c r="X960" s="519" t="s">
        <v>2473</v>
      </c>
      <c r="Y960" s="246" t="s">
        <v>1740</v>
      </c>
      <c r="Z960" s="544" t="s">
        <v>175</v>
      </c>
      <c r="AA960" s="544" t="s">
        <v>567</v>
      </c>
      <c r="AB960" s="442" t="s">
        <v>2474</v>
      </c>
      <c r="AC960" s="590"/>
      <c r="AD960" s="735">
        <f t="shared" ref="AD960:AF961" si="268">AD961</f>
        <v>150</v>
      </c>
      <c r="AE960" s="602">
        <f t="shared" si="268"/>
        <v>0</v>
      </c>
      <c r="AF960" s="602">
        <f t="shared" si="268"/>
        <v>0</v>
      </c>
      <c r="AG960" s="642"/>
      <c r="AH960" s="642"/>
      <c r="AI960" s="455"/>
    </row>
    <row r="961" spans="1:35" s="388" customFormat="1" x14ac:dyDescent="0.25">
      <c r="A961" s="385"/>
      <c r="B961" s="386"/>
      <c r="C961" s="387"/>
      <c r="D961" s="387"/>
      <c r="E961" s="387"/>
      <c r="F961" s="387"/>
      <c r="G961" s="387"/>
      <c r="I961" s="389"/>
      <c r="J961" s="389"/>
      <c r="K961" s="389"/>
      <c r="L961" s="389"/>
      <c r="M961" s="389"/>
      <c r="N961" s="389"/>
      <c r="O961" s="390"/>
      <c r="P961" s="391"/>
      <c r="R961" s="392"/>
      <c r="S961" s="393"/>
      <c r="W961" s="394"/>
      <c r="X961" s="519" t="s">
        <v>923</v>
      </c>
      <c r="Y961" s="246" t="s">
        <v>1740</v>
      </c>
      <c r="Z961" s="544" t="s">
        <v>175</v>
      </c>
      <c r="AA961" s="544" t="s">
        <v>567</v>
      </c>
      <c r="AB961" s="442" t="s">
        <v>2474</v>
      </c>
      <c r="AC961" s="579" t="s">
        <v>821</v>
      </c>
      <c r="AD961" s="735">
        <f t="shared" si="268"/>
        <v>150</v>
      </c>
      <c r="AE961" s="602">
        <f t="shared" si="268"/>
        <v>0</v>
      </c>
      <c r="AF961" s="602">
        <f t="shared" si="268"/>
        <v>0</v>
      </c>
      <c r="AG961" s="642"/>
      <c r="AH961" s="642"/>
      <c r="AI961" s="455"/>
    </row>
    <row r="962" spans="1:35" s="388" customFormat="1" ht="31.5" x14ac:dyDescent="0.25">
      <c r="A962" s="385"/>
      <c r="B962" s="386"/>
      <c r="C962" s="387"/>
      <c r="D962" s="387"/>
      <c r="E962" s="387"/>
      <c r="F962" s="387"/>
      <c r="G962" s="387"/>
      <c r="I962" s="389"/>
      <c r="J962" s="389"/>
      <c r="K962" s="389"/>
      <c r="L962" s="389"/>
      <c r="M962" s="389"/>
      <c r="N962" s="389"/>
      <c r="O962" s="390"/>
      <c r="P962" s="391"/>
      <c r="R962" s="392"/>
      <c r="S962" s="393"/>
      <c r="W962" s="394"/>
      <c r="X962" s="519" t="s">
        <v>1782</v>
      </c>
      <c r="Y962" s="246" t="s">
        <v>1740</v>
      </c>
      <c r="Z962" s="544" t="s">
        <v>175</v>
      </c>
      <c r="AA962" s="544" t="s">
        <v>567</v>
      </c>
      <c r="AB962" s="442" t="s">
        <v>2474</v>
      </c>
      <c r="AC962" s="579" t="s">
        <v>1479</v>
      </c>
      <c r="AD962" s="735">
        <v>150</v>
      </c>
      <c r="AE962" s="602">
        <v>0</v>
      </c>
      <c r="AF962" s="602">
        <v>0</v>
      </c>
      <c r="AG962" s="642"/>
      <c r="AH962" s="642"/>
      <c r="AI962" s="455"/>
    </row>
    <row r="963" spans="1:35" s="388" customFormat="1" ht="36.6" customHeight="1" x14ac:dyDescent="0.25">
      <c r="A963" s="385"/>
      <c r="B963" s="386"/>
      <c r="C963" s="387"/>
      <c r="D963" s="387"/>
      <c r="E963" s="387"/>
      <c r="F963" s="387"/>
      <c r="G963" s="387"/>
      <c r="I963" s="389"/>
      <c r="J963" s="389"/>
      <c r="K963" s="389"/>
      <c r="L963" s="389"/>
      <c r="M963" s="389"/>
      <c r="N963" s="389"/>
      <c r="O963" s="390"/>
      <c r="P963" s="391"/>
      <c r="R963" s="392"/>
      <c r="S963" s="393"/>
      <c r="W963" s="394"/>
      <c r="X963" s="542" t="s">
        <v>2411</v>
      </c>
      <c r="Y963" s="246" t="s">
        <v>1740</v>
      </c>
      <c r="Z963" s="544" t="s">
        <v>175</v>
      </c>
      <c r="AA963" s="544" t="s">
        <v>567</v>
      </c>
      <c r="AB963" s="442" t="s">
        <v>2401</v>
      </c>
      <c r="AC963" s="590"/>
      <c r="AD963" s="735">
        <f t="shared" si="265"/>
        <v>11000</v>
      </c>
      <c r="AE963" s="602">
        <f t="shared" si="265"/>
        <v>9348.4000000000015</v>
      </c>
      <c r="AF963" s="602">
        <f t="shared" si="265"/>
        <v>0</v>
      </c>
      <c r="AG963" s="642"/>
      <c r="AH963" s="642"/>
      <c r="AI963" s="455"/>
    </row>
    <row r="964" spans="1:35" s="388" customFormat="1" ht="51" customHeight="1" x14ac:dyDescent="0.25">
      <c r="A964" s="385"/>
      <c r="B964" s="386"/>
      <c r="C964" s="387"/>
      <c r="D964" s="387"/>
      <c r="E964" s="387"/>
      <c r="F964" s="387"/>
      <c r="G964" s="387"/>
      <c r="I964" s="389"/>
      <c r="J964" s="389"/>
      <c r="K964" s="389"/>
      <c r="L964" s="389"/>
      <c r="M964" s="389"/>
      <c r="N964" s="389"/>
      <c r="O964" s="390"/>
      <c r="P964" s="391"/>
      <c r="R964" s="392"/>
      <c r="S964" s="393"/>
      <c r="W964" s="394"/>
      <c r="X964" s="730" t="s">
        <v>2412</v>
      </c>
      <c r="Y964" s="246" t="s">
        <v>1740</v>
      </c>
      <c r="Z964" s="544" t="s">
        <v>175</v>
      </c>
      <c r="AA964" s="544" t="s">
        <v>567</v>
      </c>
      <c r="AB964" s="442" t="s">
        <v>2402</v>
      </c>
      <c r="AC964" s="590"/>
      <c r="AD964" s="735">
        <f t="shared" si="265"/>
        <v>11000</v>
      </c>
      <c r="AE964" s="602">
        <f t="shared" si="265"/>
        <v>9348.4000000000015</v>
      </c>
      <c r="AF964" s="602">
        <f t="shared" si="265"/>
        <v>0</v>
      </c>
      <c r="AG964" s="642"/>
      <c r="AH964" s="642"/>
      <c r="AI964" s="455"/>
    </row>
    <row r="965" spans="1:35" s="388" customFormat="1" x14ac:dyDescent="0.25">
      <c r="A965" s="385"/>
      <c r="B965" s="386"/>
      <c r="C965" s="387"/>
      <c r="D965" s="387"/>
      <c r="E965" s="387"/>
      <c r="F965" s="387"/>
      <c r="G965" s="387"/>
      <c r="I965" s="389"/>
      <c r="J965" s="389"/>
      <c r="K965" s="389"/>
      <c r="L965" s="389"/>
      <c r="M965" s="389"/>
      <c r="N965" s="389"/>
      <c r="O965" s="390"/>
      <c r="P965" s="391"/>
      <c r="R965" s="392"/>
      <c r="S965" s="393"/>
      <c r="W965" s="394"/>
      <c r="X965" s="519" t="s">
        <v>923</v>
      </c>
      <c r="Y965" s="246" t="s">
        <v>1740</v>
      </c>
      <c r="Z965" s="544" t="s">
        <v>175</v>
      </c>
      <c r="AA965" s="544" t="s">
        <v>567</v>
      </c>
      <c r="AB965" s="442" t="s">
        <v>2402</v>
      </c>
      <c r="AC965" s="579" t="s">
        <v>821</v>
      </c>
      <c r="AD965" s="735">
        <f t="shared" si="265"/>
        <v>11000</v>
      </c>
      <c r="AE965" s="602">
        <f t="shared" si="265"/>
        <v>9348.4000000000015</v>
      </c>
      <c r="AF965" s="602">
        <f t="shared" si="265"/>
        <v>0</v>
      </c>
      <c r="AG965" s="642"/>
      <c r="AH965" s="642"/>
      <c r="AI965" s="455"/>
    </row>
    <row r="966" spans="1:35" s="388" customFormat="1" ht="31.5" x14ac:dyDescent="0.25">
      <c r="A966" s="385"/>
      <c r="B966" s="386"/>
      <c r="C966" s="387"/>
      <c r="D966" s="387"/>
      <c r="E966" s="387"/>
      <c r="F966" s="387"/>
      <c r="G966" s="387"/>
      <c r="I966" s="389"/>
      <c r="J966" s="389"/>
      <c r="K966" s="389"/>
      <c r="L966" s="389"/>
      <c r="M966" s="389"/>
      <c r="N966" s="389"/>
      <c r="O966" s="390"/>
      <c r="P966" s="391"/>
      <c r="R966" s="392"/>
      <c r="S966" s="393"/>
      <c r="W966" s="394"/>
      <c r="X966" s="519" t="s">
        <v>1782</v>
      </c>
      <c r="Y966" s="246" t="s">
        <v>1740</v>
      </c>
      <c r="Z966" s="544" t="s">
        <v>175</v>
      </c>
      <c r="AA966" s="544" t="s">
        <v>567</v>
      </c>
      <c r="AB966" s="442" t="s">
        <v>2402</v>
      </c>
      <c r="AC966" s="579" t="s">
        <v>1479</v>
      </c>
      <c r="AD966" s="735">
        <f>9020+1980</f>
        <v>11000</v>
      </c>
      <c r="AE966" s="602">
        <f>7666+1682.7-0.3</f>
        <v>9348.4000000000015</v>
      </c>
      <c r="AF966" s="602">
        <f>7667+1683-7667-1683</f>
        <v>0</v>
      </c>
      <c r="AG966" s="642"/>
      <c r="AH966" s="642"/>
      <c r="AI966" s="455"/>
    </row>
    <row r="967" spans="1:35" s="344" customFormat="1" x14ac:dyDescent="0.25">
      <c r="A967" s="381"/>
      <c r="B967" s="336"/>
      <c r="C967" s="338"/>
      <c r="D967" s="338"/>
      <c r="E967" s="339"/>
      <c r="F967" s="338"/>
      <c r="G967" s="343"/>
      <c r="H967" s="382"/>
      <c r="I967" s="383"/>
      <c r="J967" s="383"/>
      <c r="K967" s="383"/>
      <c r="L967" s="340"/>
      <c r="M967" s="383"/>
      <c r="N967" s="340"/>
      <c r="O967" s="384"/>
      <c r="P967" s="340"/>
      <c r="Q967" s="342"/>
      <c r="R967" s="362"/>
      <c r="S967" s="362"/>
      <c r="T967" s="362"/>
      <c r="U967" s="362"/>
      <c r="V967" s="362"/>
      <c r="W967" s="382"/>
      <c r="X967" s="519" t="s">
        <v>340</v>
      </c>
      <c r="Y967" s="246" t="s">
        <v>1740</v>
      </c>
      <c r="Z967" s="235" t="s">
        <v>175</v>
      </c>
      <c r="AA967" s="235" t="s">
        <v>193</v>
      </c>
      <c r="AB967" s="249"/>
      <c r="AC967" s="579"/>
      <c r="AD967" s="292">
        <f>AD1017+AD968</f>
        <v>104790</v>
      </c>
      <c r="AE967" s="475">
        <f>AE1017+AE968</f>
        <v>12115</v>
      </c>
      <c r="AF967" s="475">
        <f>AF1017+AF968</f>
        <v>17980.7</v>
      </c>
      <c r="AG967" s="553"/>
      <c r="AH967" s="553"/>
      <c r="AI967" s="455"/>
    </row>
    <row r="968" spans="1:35" s="344" customFormat="1" ht="31.5" x14ac:dyDescent="0.25">
      <c r="A968" s="381"/>
      <c r="B968" s="336"/>
      <c r="C968" s="338"/>
      <c r="D968" s="338"/>
      <c r="E968" s="339"/>
      <c r="F968" s="338"/>
      <c r="G968" s="343"/>
      <c r="H968" s="382"/>
      <c r="I968" s="383"/>
      <c r="J968" s="383"/>
      <c r="K968" s="383"/>
      <c r="L968" s="340"/>
      <c r="M968" s="383"/>
      <c r="N968" s="340"/>
      <c r="O968" s="384"/>
      <c r="P968" s="340"/>
      <c r="Q968" s="342"/>
      <c r="R968" s="362"/>
      <c r="S968" s="362"/>
      <c r="T968" s="362"/>
      <c r="U968" s="362"/>
      <c r="V968" s="362"/>
      <c r="W968" s="382"/>
      <c r="X968" s="517" t="s">
        <v>2102</v>
      </c>
      <c r="Y968" s="246" t="s">
        <v>1740</v>
      </c>
      <c r="Z968" s="235" t="s">
        <v>175</v>
      </c>
      <c r="AA968" s="235" t="s">
        <v>193</v>
      </c>
      <c r="AB968" s="442" t="s">
        <v>1805</v>
      </c>
      <c r="AC968" s="579"/>
      <c r="AD968" s="292">
        <f>AD969</f>
        <v>8536.5999999999985</v>
      </c>
      <c r="AE968" s="475">
        <f t="shared" ref="AE968:AF970" si="269">AE969</f>
        <v>0</v>
      </c>
      <c r="AF968" s="475">
        <f t="shared" si="269"/>
        <v>0</v>
      </c>
      <c r="AG968" s="553"/>
      <c r="AH968" s="553"/>
      <c r="AI968" s="455"/>
    </row>
    <row r="969" spans="1:35" s="344" customFormat="1" x14ac:dyDescent="0.25">
      <c r="A969" s="381"/>
      <c r="B969" s="336"/>
      <c r="C969" s="338"/>
      <c r="D969" s="338"/>
      <c r="E969" s="339"/>
      <c r="F969" s="338"/>
      <c r="G969" s="343"/>
      <c r="H969" s="382"/>
      <c r="I969" s="383"/>
      <c r="J969" s="383"/>
      <c r="K969" s="383"/>
      <c r="L969" s="340"/>
      <c r="M969" s="383"/>
      <c r="N969" s="340"/>
      <c r="O969" s="384"/>
      <c r="P969" s="340"/>
      <c r="Q969" s="342"/>
      <c r="R969" s="362"/>
      <c r="S969" s="362"/>
      <c r="T969" s="362"/>
      <c r="U969" s="362"/>
      <c r="V969" s="362"/>
      <c r="W969" s="382"/>
      <c r="X969" s="514" t="s">
        <v>2371</v>
      </c>
      <c r="Y969" s="246" t="s">
        <v>1740</v>
      </c>
      <c r="Z969" s="235" t="s">
        <v>175</v>
      </c>
      <c r="AA969" s="235" t="s">
        <v>193</v>
      </c>
      <c r="AB969" s="442" t="s">
        <v>2372</v>
      </c>
      <c r="AC969" s="579"/>
      <c r="AD969" s="292">
        <f>AD970</f>
        <v>8536.5999999999985</v>
      </c>
      <c r="AE969" s="475">
        <f t="shared" si="269"/>
        <v>0</v>
      </c>
      <c r="AF969" s="475">
        <f t="shared" si="269"/>
        <v>0</v>
      </c>
      <c r="AG969" s="553"/>
      <c r="AH969" s="553"/>
      <c r="AI969" s="455"/>
    </row>
    <row r="970" spans="1:35" s="344" customFormat="1" ht="31.5" x14ac:dyDescent="0.25">
      <c r="A970" s="381"/>
      <c r="B970" s="336"/>
      <c r="C970" s="338"/>
      <c r="D970" s="338"/>
      <c r="E970" s="339"/>
      <c r="F970" s="338"/>
      <c r="G970" s="343"/>
      <c r="H970" s="382"/>
      <c r="I970" s="383"/>
      <c r="J970" s="383"/>
      <c r="K970" s="383"/>
      <c r="L970" s="340"/>
      <c r="M970" s="383"/>
      <c r="N970" s="340"/>
      <c r="O970" s="384"/>
      <c r="P970" s="340"/>
      <c r="Q970" s="342"/>
      <c r="R970" s="362"/>
      <c r="S970" s="362"/>
      <c r="T970" s="362"/>
      <c r="U970" s="362"/>
      <c r="V970" s="362"/>
      <c r="W970" s="382"/>
      <c r="X970" s="514" t="s">
        <v>2373</v>
      </c>
      <c r="Y970" s="246" t="s">
        <v>1740</v>
      </c>
      <c r="Z970" s="235" t="s">
        <v>175</v>
      </c>
      <c r="AA970" s="235" t="s">
        <v>193</v>
      </c>
      <c r="AB970" s="442" t="s">
        <v>2374</v>
      </c>
      <c r="AC970" s="579"/>
      <c r="AD970" s="292">
        <f>AD971</f>
        <v>8536.5999999999985</v>
      </c>
      <c r="AE970" s="475">
        <f t="shared" si="269"/>
        <v>0</v>
      </c>
      <c r="AF970" s="475">
        <f t="shared" si="269"/>
        <v>0</v>
      </c>
      <c r="AG970" s="553"/>
      <c r="AH970" s="553"/>
      <c r="AI970" s="455"/>
    </row>
    <row r="971" spans="1:35" s="344" customFormat="1" ht="31.5" x14ac:dyDescent="0.25">
      <c r="A971" s="381"/>
      <c r="B971" s="336"/>
      <c r="C971" s="338"/>
      <c r="D971" s="338"/>
      <c r="E971" s="339"/>
      <c r="F971" s="338"/>
      <c r="G971" s="343"/>
      <c r="H971" s="382"/>
      <c r="I971" s="383"/>
      <c r="J971" s="383"/>
      <c r="K971" s="383"/>
      <c r="L971" s="340"/>
      <c r="M971" s="383"/>
      <c r="N971" s="340"/>
      <c r="O971" s="384"/>
      <c r="P971" s="340"/>
      <c r="Q971" s="342"/>
      <c r="R971" s="362"/>
      <c r="S971" s="362"/>
      <c r="T971" s="362"/>
      <c r="U971" s="362"/>
      <c r="V971" s="362"/>
      <c r="W971" s="382"/>
      <c r="X971" s="514" t="s">
        <v>2375</v>
      </c>
      <c r="Y971" s="246" t="s">
        <v>1740</v>
      </c>
      <c r="Z971" s="235" t="s">
        <v>175</v>
      </c>
      <c r="AA971" s="235" t="s">
        <v>193</v>
      </c>
      <c r="AB971" s="442" t="s">
        <v>2376</v>
      </c>
      <c r="AC971" s="579"/>
      <c r="AD971" s="292">
        <f>AD972+AD975+AD978+AD981+AD984+AD987+AD990+AD993+AD996+AD999+AD1002+AD1005+AD1008+AD1011+AD1014</f>
        <v>8536.5999999999985</v>
      </c>
      <c r="AE971" s="292">
        <f>AE975+AE1014</f>
        <v>0</v>
      </c>
      <c r="AF971" s="292">
        <f>AF975+AF1014</f>
        <v>0</v>
      </c>
      <c r="AG971" s="553"/>
      <c r="AH971" s="553"/>
      <c r="AI971" s="455"/>
    </row>
    <row r="972" spans="1:35" s="344" customFormat="1" ht="47.25" x14ac:dyDescent="0.25">
      <c r="A972" s="381"/>
      <c r="B972" s="336"/>
      <c r="C972" s="338"/>
      <c r="D972" s="338"/>
      <c r="E972" s="339"/>
      <c r="F972" s="338"/>
      <c r="G972" s="343"/>
      <c r="H972" s="382"/>
      <c r="I972" s="383"/>
      <c r="J972" s="383"/>
      <c r="K972" s="383"/>
      <c r="L972" s="340"/>
      <c r="M972" s="383"/>
      <c r="N972" s="340"/>
      <c r="O972" s="384"/>
      <c r="P972" s="340"/>
      <c r="Q972" s="342"/>
      <c r="R972" s="362"/>
      <c r="S972" s="362"/>
      <c r="T972" s="362"/>
      <c r="U972" s="362"/>
      <c r="V972" s="362"/>
      <c r="W972" s="382"/>
      <c r="X972" s="514" t="s">
        <v>2444</v>
      </c>
      <c r="Y972" s="246" t="s">
        <v>1740</v>
      </c>
      <c r="Z972" s="235" t="s">
        <v>175</v>
      </c>
      <c r="AA972" s="235" t="s">
        <v>193</v>
      </c>
      <c r="AB972" s="442" t="s">
        <v>2445</v>
      </c>
      <c r="AC972" s="579"/>
      <c r="AD972" s="292">
        <f t="shared" ref="AD972:AF973" si="270">AD973</f>
        <v>517.70000000000005</v>
      </c>
      <c r="AE972" s="475">
        <f t="shared" si="270"/>
        <v>0</v>
      </c>
      <c r="AF972" s="475">
        <f t="shared" si="270"/>
        <v>0</v>
      </c>
      <c r="AG972" s="553"/>
      <c r="AH972" s="553"/>
      <c r="AI972" s="455"/>
    </row>
    <row r="973" spans="1:35" s="344" customFormat="1" x14ac:dyDescent="0.25">
      <c r="A973" s="381"/>
      <c r="B973" s="336"/>
      <c r="C973" s="338"/>
      <c r="D973" s="338"/>
      <c r="E973" s="339"/>
      <c r="F973" s="338"/>
      <c r="G973" s="343"/>
      <c r="H973" s="382"/>
      <c r="I973" s="383"/>
      <c r="J973" s="383"/>
      <c r="K973" s="383"/>
      <c r="L973" s="340"/>
      <c r="M973" s="383"/>
      <c r="N973" s="340"/>
      <c r="O973" s="384"/>
      <c r="P973" s="340"/>
      <c r="Q973" s="342"/>
      <c r="R973" s="362"/>
      <c r="S973" s="362"/>
      <c r="T973" s="362"/>
      <c r="U973" s="362"/>
      <c r="V973" s="362"/>
      <c r="W973" s="382"/>
      <c r="X973" s="514" t="s">
        <v>1781</v>
      </c>
      <c r="Y973" s="246" t="s">
        <v>1740</v>
      </c>
      <c r="Z973" s="235" t="s">
        <v>175</v>
      </c>
      <c r="AA973" s="235" t="s">
        <v>193</v>
      </c>
      <c r="AB973" s="442" t="s">
        <v>2445</v>
      </c>
      <c r="AC973" s="238">
        <v>200</v>
      </c>
      <c r="AD973" s="292">
        <f t="shared" si="270"/>
        <v>517.70000000000005</v>
      </c>
      <c r="AE973" s="475">
        <f t="shared" si="270"/>
        <v>0</v>
      </c>
      <c r="AF973" s="475">
        <f t="shared" si="270"/>
        <v>0</v>
      </c>
      <c r="AG973" s="553"/>
      <c r="AH973" s="553"/>
      <c r="AI973" s="455"/>
    </row>
    <row r="974" spans="1:35" s="344" customFormat="1" ht="31.5" x14ac:dyDescent="0.25">
      <c r="A974" s="381"/>
      <c r="B974" s="336"/>
      <c r="C974" s="338"/>
      <c r="D974" s="338"/>
      <c r="E974" s="339"/>
      <c r="F974" s="338"/>
      <c r="G974" s="343"/>
      <c r="H974" s="382"/>
      <c r="I974" s="383"/>
      <c r="J974" s="383"/>
      <c r="K974" s="383"/>
      <c r="L974" s="340"/>
      <c r="M974" s="383"/>
      <c r="N974" s="340"/>
      <c r="O974" s="384"/>
      <c r="P974" s="340"/>
      <c r="Q974" s="342"/>
      <c r="R974" s="362"/>
      <c r="S974" s="362"/>
      <c r="T974" s="362"/>
      <c r="U974" s="362"/>
      <c r="V974" s="362"/>
      <c r="W974" s="382"/>
      <c r="X974" s="514" t="s">
        <v>1273</v>
      </c>
      <c r="Y974" s="246" t="s">
        <v>1740</v>
      </c>
      <c r="Z974" s="235" t="s">
        <v>175</v>
      </c>
      <c r="AA974" s="235" t="s">
        <v>193</v>
      </c>
      <c r="AB974" s="442" t="s">
        <v>2445</v>
      </c>
      <c r="AC974" s="238">
        <v>240</v>
      </c>
      <c r="AD974" s="292">
        <f>93.2+424.5</f>
        <v>517.70000000000005</v>
      </c>
      <c r="AE974" s="475">
        <v>0</v>
      </c>
      <c r="AF974" s="475">
        <v>0</v>
      </c>
      <c r="AG974" s="553"/>
      <c r="AH974" s="553"/>
      <c r="AI974" s="455"/>
    </row>
    <row r="975" spans="1:35" s="344" customFormat="1" ht="40.15" customHeight="1" x14ac:dyDescent="0.25">
      <c r="A975" s="381"/>
      <c r="B975" s="336"/>
      <c r="C975" s="338"/>
      <c r="D975" s="338"/>
      <c r="E975" s="339"/>
      <c r="F975" s="338"/>
      <c r="G975" s="343"/>
      <c r="H975" s="382"/>
      <c r="I975" s="383"/>
      <c r="J975" s="383"/>
      <c r="K975" s="383"/>
      <c r="L975" s="340"/>
      <c r="M975" s="383"/>
      <c r="N975" s="340"/>
      <c r="O975" s="384"/>
      <c r="P975" s="340"/>
      <c r="Q975" s="342"/>
      <c r="R975" s="362"/>
      <c r="S975" s="362"/>
      <c r="T975" s="362"/>
      <c r="U975" s="362"/>
      <c r="V975" s="362"/>
      <c r="W975" s="382"/>
      <c r="X975" s="519" t="s">
        <v>2377</v>
      </c>
      <c r="Y975" s="246" t="s">
        <v>1740</v>
      </c>
      <c r="Z975" s="235" t="s">
        <v>175</v>
      </c>
      <c r="AA975" s="235" t="s">
        <v>193</v>
      </c>
      <c r="AB975" s="442" t="s">
        <v>2378</v>
      </c>
      <c r="AC975" s="579"/>
      <c r="AD975" s="292">
        <f t="shared" ref="AD975:AF976" si="271">AD976</f>
        <v>185.4</v>
      </c>
      <c r="AE975" s="475">
        <f t="shared" si="271"/>
        <v>0</v>
      </c>
      <c r="AF975" s="475">
        <f t="shared" si="271"/>
        <v>0</v>
      </c>
      <c r="AG975" s="553"/>
      <c r="AH975" s="553"/>
      <c r="AI975" s="455"/>
    </row>
    <row r="976" spans="1:35" s="344" customFormat="1" ht="21.6" customHeight="1" x14ac:dyDescent="0.25">
      <c r="A976" s="381"/>
      <c r="B976" s="336"/>
      <c r="C976" s="338"/>
      <c r="D976" s="338"/>
      <c r="E976" s="339"/>
      <c r="F976" s="338"/>
      <c r="G976" s="343"/>
      <c r="H976" s="382"/>
      <c r="I976" s="383"/>
      <c r="J976" s="383"/>
      <c r="K976" s="383"/>
      <c r="L976" s="340"/>
      <c r="M976" s="383"/>
      <c r="N976" s="340"/>
      <c r="O976" s="384"/>
      <c r="P976" s="340"/>
      <c r="Q976" s="342"/>
      <c r="R976" s="362"/>
      <c r="S976" s="362"/>
      <c r="T976" s="362"/>
      <c r="U976" s="362"/>
      <c r="V976" s="362"/>
      <c r="W976" s="382"/>
      <c r="X976" s="514" t="s">
        <v>1781</v>
      </c>
      <c r="Y976" s="246" t="s">
        <v>1740</v>
      </c>
      <c r="Z976" s="235" t="s">
        <v>175</v>
      </c>
      <c r="AA976" s="235" t="s">
        <v>193</v>
      </c>
      <c r="AB976" s="442" t="s">
        <v>2378</v>
      </c>
      <c r="AC976" s="238">
        <v>200</v>
      </c>
      <c r="AD976" s="292">
        <f t="shared" si="271"/>
        <v>185.4</v>
      </c>
      <c r="AE976" s="475">
        <f t="shared" si="271"/>
        <v>0</v>
      </c>
      <c r="AF976" s="475">
        <f t="shared" si="271"/>
        <v>0</v>
      </c>
      <c r="AG976" s="553"/>
      <c r="AH976" s="553"/>
      <c r="AI976" s="455"/>
    </row>
    <row r="977" spans="1:35" s="344" customFormat="1" ht="31.5" x14ac:dyDescent="0.25">
      <c r="A977" s="381"/>
      <c r="B977" s="336"/>
      <c r="C977" s="338"/>
      <c r="D977" s="338"/>
      <c r="E977" s="339"/>
      <c r="F977" s="338"/>
      <c r="G977" s="343"/>
      <c r="H977" s="382"/>
      <c r="I977" s="383"/>
      <c r="J977" s="383"/>
      <c r="K977" s="383"/>
      <c r="L977" s="340"/>
      <c r="M977" s="383"/>
      <c r="N977" s="340"/>
      <c r="O977" s="384"/>
      <c r="P977" s="340"/>
      <c r="Q977" s="342"/>
      <c r="R977" s="362"/>
      <c r="S977" s="362"/>
      <c r="T977" s="362"/>
      <c r="U977" s="362"/>
      <c r="V977" s="362"/>
      <c r="W977" s="382"/>
      <c r="X977" s="514" t="s">
        <v>1273</v>
      </c>
      <c r="Y977" s="246" t="s">
        <v>1740</v>
      </c>
      <c r="Z977" s="235" t="s">
        <v>175</v>
      </c>
      <c r="AA977" s="235" t="s">
        <v>193</v>
      </c>
      <c r="AB977" s="442" t="s">
        <v>2378</v>
      </c>
      <c r="AC977" s="238">
        <v>240</v>
      </c>
      <c r="AD977" s="292">
        <f>33.4+152</f>
        <v>185.4</v>
      </c>
      <c r="AE977" s="475">
        <v>0</v>
      </c>
      <c r="AF977" s="475">
        <v>0</v>
      </c>
      <c r="AG977" s="553"/>
      <c r="AH977" s="553"/>
      <c r="AI977" s="455"/>
    </row>
    <row r="978" spans="1:35" s="344" customFormat="1" ht="47.25" x14ac:dyDescent="0.25">
      <c r="A978" s="381"/>
      <c r="B978" s="336"/>
      <c r="C978" s="338"/>
      <c r="D978" s="338"/>
      <c r="E978" s="339"/>
      <c r="F978" s="338"/>
      <c r="G978" s="343"/>
      <c r="H978" s="382"/>
      <c r="I978" s="383"/>
      <c r="J978" s="383"/>
      <c r="K978" s="383"/>
      <c r="L978" s="340"/>
      <c r="M978" s="383"/>
      <c r="N978" s="340"/>
      <c r="O978" s="384"/>
      <c r="P978" s="340"/>
      <c r="Q978" s="342"/>
      <c r="R978" s="362"/>
      <c r="S978" s="362"/>
      <c r="T978" s="362"/>
      <c r="U978" s="362"/>
      <c r="V978" s="362"/>
      <c r="W978" s="382"/>
      <c r="X978" s="519" t="s">
        <v>2446</v>
      </c>
      <c r="Y978" s="246" t="s">
        <v>1740</v>
      </c>
      <c r="Z978" s="235" t="s">
        <v>175</v>
      </c>
      <c r="AA978" s="235" t="s">
        <v>193</v>
      </c>
      <c r="AB978" s="442" t="s">
        <v>2447</v>
      </c>
      <c r="AC978" s="579"/>
      <c r="AD978" s="292">
        <f>AD979</f>
        <v>608.79999999999995</v>
      </c>
      <c r="AE978" s="475">
        <f t="shared" ref="AD978:AF979" si="272">AE979</f>
        <v>0</v>
      </c>
      <c r="AF978" s="475">
        <f t="shared" si="272"/>
        <v>0</v>
      </c>
      <c r="AG978" s="553"/>
      <c r="AH978" s="553"/>
      <c r="AI978" s="455"/>
    </row>
    <row r="979" spans="1:35" s="344" customFormat="1" x14ac:dyDescent="0.25">
      <c r="A979" s="381"/>
      <c r="B979" s="336"/>
      <c r="C979" s="338"/>
      <c r="D979" s="338"/>
      <c r="E979" s="339"/>
      <c r="F979" s="338"/>
      <c r="G979" s="343"/>
      <c r="H979" s="382"/>
      <c r="I979" s="383"/>
      <c r="J979" s="383"/>
      <c r="K979" s="383"/>
      <c r="L979" s="340"/>
      <c r="M979" s="383"/>
      <c r="N979" s="340"/>
      <c r="O979" s="384"/>
      <c r="P979" s="340"/>
      <c r="Q979" s="342"/>
      <c r="R979" s="362"/>
      <c r="S979" s="362"/>
      <c r="T979" s="362"/>
      <c r="U979" s="362"/>
      <c r="V979" s="362"/>
      <c r="W979" s="382"/>
      <c r="X979" s="514" t="s">
        <v>1781</v>
      </c>
      <c r="Y979" s="246" t="s">
        <v>1740</v>
      </c>
      <c r="Z979" s="235" t="s">
        <v>175</v>
      </c>
      <c r="AA979" s="235" t="s">
        <v>193</v>
      </c>
      <c r="AB979" s="442" t="s">
        <v>2447</v>
      </c>
      <c r="AC979" s="238">
        <v>200</v>
      </c>
      <c r="AD979" s="292">
        <f t="shared" si="272"/>
        <v>608.79999999999995</v>
      </c>
      <c r="AE979" s="475">
        <f t="shared" si="272"/>
        <v>0</v>
      </c>
      <c r="AF979" s="475">
        <f t="shared" si="272"/>
        <v>0</v>
      </c>
      <c r="AG979" s="553"/>
      <c r="AH979" s="553"/>
      <c r="AI979" s="455"/>
    </row>
    <row r="980" spans="1:35" s="344" customFormat="1" ht="31.5" x14ac:dyDescent="0.25">
      <c r="A980" s="381"/>
      <c r="B980" s="336"/>
      <c r="C980" s="338"/>
      <c r="D980" s="338"/>
      <c r="E980" s="339"/>
      <c r="F980" s="338"/>
      <c r="G980" s="343"/>
      <c r="H980" s="382"/>
      <c r="I980" s="383"/>
      <c r="J980" s="383"/>
      <c r="K980" s="383"/>
      <c r="L980" s="340"/>
      <c r="M980" s="383"/>
      <c r="N980" s="340"/>
      <c r="O980" s="384"/>
      <c r="P980" s="340"/>
      <c r="Q980" s="342"/>
      <c r="R980" s="362"/>
      <c r="S980" s="362"/>
      <c r="T980" s="362"/>
      <c r="U980" s="362"/>
      <c r="V980" s="362"/>
      <c r="W980" s="382"/>
      <c r="X980" s="514" t="s">
        <v>1273</v>
      </c>
      <c r="Y980" s="246" t="s">
        <v>1740</v>
      </c>
      <c r="Z980" s="235" t="s">
        <v>175</v>
      </c>
      <c r="AA980" s="235" t="s">
        <v>193</v>
      </c>
      <c r="AB980" s="442" t="s">
        <v>2447</v>
      </c>
      <c r="AC980" s="238">
        <v>240</v>
      </c>
      <c r="AD980" s="292">
        <f>109.6+499.2</f>
        <v>608.79999999999995</v>
      </c>
      <c r="AE980" s="475">
        <v>0</v>
      </c>
      <c r="AF980" s="475">
        <v>0</v>
      </c>
      <c r="AG980" s="553"/>
      <c r="AH980" s="553"/>
      <c r="AI980" s="455"/>
    </row>
    <row r="981" spans="1:35" s="344" customFormat="1" ht="47.25" x14ac:dyDescent="0.25">
      <c r="A981" s="381"/>
      <c r="B981" s="336"/>
      <c r="C981" s="338"/>
      <c r="D981" s="338"/>
      <c r="E981" s="339"/>
      <c r="F981" s="338"/>
      <c r="G981" s="343"/>
      <c r="H981" s="382"/>
      <c r="I981" s="383"/>
      <c r="J981" s="383"/>
      <c r="K981" s="383"/>
      <c r="L981" s="340"/>
      <c r="M981" s="383"/>
      <c r="N981" s="340"/>
      <c r="O981" s="384"/>
      <c r="P981" s="340"/>
      <c r="Q981" s="342"/>
      <c r="R981" s="362"/>
      <c r="S981" s="362"/>
      <c r="T981" s="362"/>
      <c r="U981" s="362"/>
      <c r="V981" s="362"/>
      <c r="W981" s="382"/>
      <c r="X981" s="519" t="s">
        <v>2448</v>
      </c>
      <c r="Y981" s="246" t="s">
        <v>1740</v>
      </c>
      <c r="Z981" s="235" t="s">
        <v>175</v>
      </c>
      <c r="AA981" s="235" t="s">
        <v>193</v>
      </c>
      <c r="AB981" s="442" t="s">
        <v>2449</v>
      </c>
      <c r="AC981" s="579"/>
      <c r="AD981" s="292">
        <f t="shared" ref="AD981:AF982" si="273">AD982</f>
        <v>681.7</v>
      </c>
      <c r="AE981" s="475">
        <f t="shared" si="273"/>
        <v>0</v>
      </c>
      <c r="AF981" s="475">
        <f t="shared" si="273"/>
        <v>0</v>
      </c>
      <c r="AG981" s="553"/>
      <c r="AH981" s="553"/>
      <c r="AI981" s="455"/>
    </row>
    <row r="982" spans="1:35" s="344" customFormat="1" x14ac:dyDescent="0.25">
      <c r="A982" s="381"/>
      <c r="B982" s="336"/>
      <c r="C982" s="338"/>
      <c r="D982" s="338"/>
      <c r="E982" s="339"/>
      <c r="F982" s="338"/>
      <c r="G982" s="343"/>
      <c r="H982" s="382"/>
      <c r="I982" s="383"/>
      <c r="J982" s="383"/>
      <c r="K982" s="383"/>
      <c r="L982" s="340"/>
      <c r="M982" s="383"/>
      <c r="N982" s="340"/>
      <c r="O982" s="384"/>
      <c r="P982" s="340"/>
      <c r="Q982" s="342"/>
      <c r="R982" s="362"/>
      <c r="S982" s="362"/>
      <c r="T982" s="362"/>
      <c r="U982" s="362"/>
      <c r="V982" s="362"/>
      <c r="W982" s="382"/>
      <c r="X982" s="514" t="s">
        <v>1781</v>
      </c>
      <c r="Y982" s="246" t="s">
        <v>1740</v>
      </c>
      <c r="Z982" s="235" t="s">
        <v>175</v>
      </c>
      <c r="AA982" s="235" t="s">
        <v>193</v>
      </c>
      <c r="AB982" s="442" t="s">
        <v>2449</v>
      </c>
      <c r="AC982" s="238">
        <v>200</v>
      </c>
      <c r="AD982" s="292">
        <f t="shared" si="273"/>
        <v>681.7</v>
      </c>
      <c r="AE982" s="475">
        <f t="shared" si="273"/>
        <v>0</v>
      </c>
      <c r="AF982" s="475">
        <f t="shared" si="273"/>
        <v>0</v>
      </c>
      <c r="AG982" s="553"/>
      <c r="AH982" s="553"/>
      <c r="AI982" s="455"/>
    </row>
    <row r="983" spans="1:35" s="344" customFormat="1" ht="31.5" x14ac:dyDescent="0.25">
      <c r="A983" s="381"/>
      <c r="B983" s="336"/>
      <c r="C983" s="338"/>
      <c r="D983" s="338"/>
      <c r="E983" s="339"/>
      <c r="F983" s="338"/>
      <c r="G983" s="343"/>
      <c r="H983" s="382"/>
      <c r="I983" s="383"/>
      <c r="J983" s="383"/>
      <c r="K983" s="383"/>
      <c r="L983" s="340"/>
      <c r="M983" s="383"/>
      <c r="N983" s="340"/>
      <c r="O983" s="384"/>
      <c r="P983" s="340"/>
      <c r="Q983" s="342"/>
      <c r="R983" s="362"/>
      <c r="S983" s="362"/>
      <c r="T983" s="362"/>
      <c r="U983" s="362"/>
      <c r="V983" s="362"/>
      <c r="W983" s="382"/>
      <c r="X983" s="514" t="s">
        <v>1273</v>
      </c>
      <c r="Y983" s="246" t="s">
        <v>1740</v>
      </c>
      <c r="Z983" s="235" t="s">
        <v>175</v>
      </c>
      <c r="AA983" s="235" t="s">
        <v>193</v>
      </c>
      <c r="AB983" s="442" t="s">
        <v>2449</v>
      </c>
      <c r="AC983" s="238">
        <v>240</v>
      </c>
      <c r="AD983" s="292">
        <f>122.7+559</f>
        <v>681.7</v>
      </c>
      <c r="AE983" s="475">
        <v>0</v>
      </c>
      <c r="AF983" s="475">
        <v>0</v>
      </c>
      <c r="AG983" s="553"/>
      <c r="AH983" s="553"/>
      <c r="AI983" s="455"/>
    </row>
    <row r="984" spans="1:35" s="344" customFormat="1" ht="47.25" x14ac:dyDescent="0.25">
      <c r="A984" s="381"/>
      <c r="B984" s="336"/>
      <c r="C984" s="338"/>
      <c r="D984" s="338"/>
      <c r="E984" s="339"/>
      <c r="F984" s="338"/>
      <c r="G984" s="343"/>
      <c r="H984" s="382"/>
      <c r="I984" s="383"/>
      <c r="J984" s="383"/>
      <c r="K984" s="383"/>
      <c r="L984" s="340"/>
      <c r="M984" s="383"/>
      <c r="N984" s="340"/>
      <c r="O984" s="384"/>
      <c r="P984" s="340"/>
      <c r="Q984" s="342"/>
      <c r="R984" s="362"/>
      <c r="S984" s="362"/>
      <c r="T984" s="362"/>
      <c r="U984" s="362"/>
      <c r="V984" s="362"/>
      <c r="W984" s="382"/>
      <c r="X984" s="514" t="s">
        <v>2450</v>
      </c>
      <c r="Y984" s="246" t="s">
        <v>1740</v>
      </c>
      <c r="Z984" s="235" t="s">
        <v>175</v>
      </c>
      <c r="AA984" s="235" t="s">
        <v>193</v>
      </c>
      <c r="AB984" s="442" t="s">
        <v>2451</v>
      </c>
      <c r="AC984" s="579"/>
      <c r="AD984" s="292">
        <f t="shared" ref="AD984:AF985" si="274">AD985</f>
        <v>1122.7</v>
      </c>
      <c r="AE984" s="292">
        <f t="shared" si="274"/>
        <v>0</v>
      </c>
      <c r="AF984" s="292">
        <f t="shared" si="274"/>
        <v>0</v>
      </c>
      <c r="AG984" s="553"/>
      <c r="AH984" s="553"/>
      <c r="AI984" s="455"/>
    </row>
    <row r="985" spans="1:35" s="344" customFormat="1" x14ac:dyDescent="0.25">
      <c r="A985" s="381"/>
      <c r="B985" s="336"/>
      <c r="C985" s="338"/>
      <c r="D985" s="338"/>
      <c r="E985" s="339"/>
      <c r="F985" s="338"/>
      <c r="G985" s="343"/>
      <c r="H985" s="382"/>
      <c r="I985" s="383"/>
      <c r="J985" s="383"/>
      <c r="K985" s="383"/>
      <c r="L985" s="340"/>
      <c r="M985" s="383"/>
      <c r="N985" s="340"/>
      <c r="O985" s="384"/>
      <c r="P985" s="340"/>
      <c r="Q985" s="342"/>
      <c r="R985" s="362"/>
      <c r="S985" s="362"/>
      <c r="T985" s="362"/>
      <c r="U985" s="362"/>
      <c r="V985" s="362"/>
      <c r="W985" s="382"/>
      <c r="X985" s="514" t="s">
        <v>1781</v>
      </c>
      <c r="Y985" s="246" t="s">
        <v>1740</v>
      </c>
      <c r="Z985" s="235" t="s">
        <v>175</v>
      </c>
      <c r="AA985" s="235" t="s">
        <v>193</v>
      </c>
      <c r="AB985" s="442" t="s">
        <v>2451</v>
      </c>
      <c r="AC985" s="238">
        <v>200</v>
      </c>
      <c r="AD985" s="292">
        <f t="shared" si="274"/>
        <v>1122.7</v>
      </c>
      <c r="AE985" s="292">
        <f t="shared" si="274"/>
        <v>0</v>
      </c>
      <c r="AF985" s="292">
        <f t="shared" si="274"/>
        <v>0</v>
      </c>
      <c r="AG985" s="553"/>
      <c r="AH985" s="553"/>
      <c r="AI985" s="455"/>
    </row>
    <row r="986" spans="1:35" s="344" customFormat="1" ht="31.5" x14ac:dyDescent="0.25">
      <c r="A986" s="381"/>
      <c r="B986" s="336"/>
      <c r="C986" s="338"/>
      <c r="D986" s="338"/>
      <c r="E986" s="339"/>
      <c r="F986" s="338"/>
      <c r="G986" s="343"/>
      <c r="H986" s="382"/>
      <c r="I986" s="383"/>
      <c r="J986" s="383"/>
      <c r="K986" s="383"/>
      <c r="L986" s="340"/>
      <c r="M986" s="383"/>
      <c r="N986" s="340"/>
      <c r="O986" s="384"/>
      <c r="P986" s="340"/>
      <c r="Q986" s="342"/>
      <c r="R986" s="362"/>
      <c r="S986" s="362"/>
      <c r="T986" s="362"/>
      <c r="U986" s="362"/>
      <c r="V986" s="362"/>
      <c r="W986" s="382"/>
      <c r="X986" s="514" t="s">
        <v>1273</v>
      </c>
      <c r="Y986" s="246" t="s">
        <v>1740</v>
      </c>
      <c r="Z986" s="235" t="s">
        <v>175</v>
      </c>
      <c r="AA986" s="235" t="s">
        <v>193</v>
      </c>
      <c r="AB986" s="442" t="s">
        <v>2451</v>
      </c>
      <c r="AC986" s="238">
        <v>240</v>
      </c>
      <c r="AD986" s="292">
        <f>202.1+920.6</f>
        <v>1122.7</v>
      </c>
      <c r="AE986" s="475">
        <v>0</v>
      </c>
      <c r="AF986" s="475">
        <v>0</v>
      </c>
      <c r="AG986" s="553"/>
      <c r="AH986" s="553"/>
      <c r="AI986" s="455"/>
    </row>
    <row r="987" spans="1:35" s="344" customFormat="1" ht="47.25" x14ac:dyDescent="0.25">
      <c r="A987" s="381"/>
      <c r="B987" s="336"/>
      <c r="C987" s="338"/>
      <c r="D987" s="338"/>
      <c r="E987" s="339"/>
      <c r="F987" s="338"/>
      <c r="G987" s="343"/>
      <c r="H987" s="382"/>
      <c r="I987" s="383"/>
      <c r="J987" s="383"/>
      <c r="K987" s="383"/>
      <c r="L987" s="340"/>
      <c r="M987" s="383"/>
      <c r="N987" s="340"/>
      <c r="O987" s="384"/>
      <c r="P987" s="340"/>
      <c r="Q987" s="342"/>
      <c r="R987" s="362"/>
      <c r="S987" s="362"/>
      <c r="T987" s="362"/>
      <c r="U987" s="362"/>
      <c r="V987" s="362"/>
      <c r="W987" s="382"/>
      <c r="X987" s="514" t="s">
        <v>2471</v>
      </c>
      <c r="Y987" s="246" t="s">
        <v>1740</v>
      </c>
      <c r="Z987" s="235" t="s">
        <v>175</v>
      </c>
      <c r="AA987" s="235" t="s">
        <v>193</v>
      </c>
      <c r="AB987" s="442" t="s">
        <v>2452</v>
      </c>
      <c r="AC987" s="579"/>
      <c r="AD987" s="292">
        <f t="shared" ref="AD987:AF988" si="275">AD988</f>
        <v>523.9</v>
      </c>
      <c r="AE987" s="292">
        <f t="shared" si="275"/>
        <v>0</v>
      </c>
      <c r="AF987" s="292">
        <f t="shared" si="275"/>
        <v>0</v>
      </c>
      <c r="AG987" s="553"/>
      <c r="AH987" s="553"/>
      <c r="AI987" s="455"/>
    </row>
    <row r="988" spans="1:35" s="344" customFormat="1" x14ac:dyDescent="0.25">
      <c r="A988" s="381"/>
      <c r="B988" s="336"/>
      <c r="C988" s="338"/>
      <c r="D988" s="338"/>
      <c r="E988" s="339"/>
      <c r="F988" s="338"/>
      <c r="G988" s="343"/>
      <c r="H988" s="382"/>
      <c r="I988" s="383"/>
      <c r="J988" s="383"/>
      <c r="K988" s="383"/>
      <c r="L988" s="340"/>
      <c r="M988" s="383"/>
      <c r="N988" s="340"/>
      <c r="O988" s="384"/>
      <c r="P988" s="340"/>
      <c r="Q988" s="342"/>
      <c r="R988" s="362"/>
      <c r="S988" s="362"/>
      <c r="T988" s="362"/>
      <c r="U988" s="362"/>
      <c r="V988" s="362"/>
      <c r="W988" s="382"/>
      <c r="X988" s="514" t="s">
        <v>1781</v>
      </c>
      <c r="Y988" s="246" t="s">
        <v>1740</v>
      </c>
      <c r="Z988" s="235" t="s">
        <v>175</v>
      </c>
      <c r="AA988" s="235" t="s">
        <v>193</v>
      </c>
      <c r="AB988" s="442" t="s">
        <v>2452</v>
      </c>
      <c r="AC988" s="238">
        <v>200</v>
      </c>
      <c r="AD988" s="292">
        <f t="shared" si="275"/>
        <v>523.9</v>
      </c>
      <c r="AE988" s="292">
        <f t="shared" si="275"/>
        <v>0</v>
      </c>
      <c r="AF988" s="292">
        <f t="shared" si="275"/>
        <v>0</v>
      </c>
      <c r="AG988" s="553"/>
      <c r="AH988" s="553"/>
      <c r="AI988" s="455"/>
    </row>
    <row r="989" spans="1:35" s="344" customFormat="1" ht="31.5" x14ac:dyDescent="0.25">
      <c r="A989" s="381"/>
      <c r="B989" s="336"/>
      <c r="C989" s="338"/>
      <c r="D989" s="338"/>
      <c r="E989" s="339"/>
      <c r="F989" s="338"/>
      <c r="G989" s="343"/>
      <c r="H989" s="382"/>
      <c r="I989" s="383"/>
      <c r="J989" s="383"/>
      <c r="K989" s="383"/>
      <c r="L989" s="340"/>
      <c r="M989" s="383"/>
      <c r="N989" s="340"/>
      <c r="O989" s="384"/>
      <c r="P989" s="340"/>
      <c r="Q989" s="342"/>
      <c r="R989" s="362"/>
      <c r="S989" s="362"/>
      <c r="T989" s="362"/>
      <c r="U989" s="362"/>
      <c r="V989" s="362"/>
      <c r="W989" s="382"/>
      <c r="X989" s="514" t="s">
        <v>1273</v>
      </c>
      <c r="Y989" s="246" t="s">
        <v>1740</v>
      </c>
      <c r="Z989" s="235" t="s">
        <v>175</v>
      </c>
      <c r="AA989" s="235" t="s">
        <v>193</v>
      </c>
      <c r="AB989" s="442" t="s">
        <v>2452</v>
      </c>
      <c r="AC989" s="238">
        <v>240</v>
      </c>
      <c r="AD989" s="292">
        <f>94.3+429.6</f>
        <v>523.9</v>
      </c>
      <c r="AE989" s="475">
        <v>0</v>
      </c>
      <c r="AF989" s="475">
        <v>0</v>
      </c>
      <c r="AG989" s="553"/>
      <c r="AH989" s="553"/>
      <c r="AI989" s="455"/>
    </row>
    <row r="990" spans="1:35" s="344" customFormat="1" ht="31.5" x14ac:dyDescent="0.25">
      <c r="A990" s="381"/>
      <c r="B990" s="336"/>
      <c r="C990" s="338"/>
      <c r="D990" s="338"/>
      <c r="E990" s="339"/>
      <c r="F990" s="338"/>
      <c r="G990" s="343"/>
      <c r="H990" s="382"/>
      <c r="I990" s="383"/>
      <c r="J990" s="383"/>
      <c r="K990" s="383"/>
      <c r="L990" s="340"/>
      <c r="M990" s="383"/>
      <c r="N990" s="340"/>
      <c r="O990" s="384"/>
      <c r="P990" s="340"/>
      <c r="Q990" s="342"/>
      <c r="R990" s="362"/>
      <c r="S990" s="362"/>
      <c r="T990" s="362"/>
      <c r="U990" s="362"/>
      <c r="V990" s="362"/>
      <c r="W990" s="382"/>
      <c r="X990" s="514" t="s">
        <v>2453</v>
      </c>
      <c r="Y990" s="246" t="s">
        <v>1740</v>
      </c>
      <c r="Z990" s="235" t="s">
        <v>175</v>
      </c>
      <c r="AA990" s="235" t="s">
        <v>193</v>
      </c>
      <c r="AB990" s="442" t="s">
        <v>2454</v>
      </c>
      <c r="AC990" s="579"/>
      <c r="AD990" s="292">
        <f>AD991</f>
        <v>331.20000000000005</v>
      </c>
      <c r="AE990" s="292">
        <f>AE991</f>
        <v>0</v>
      </c>
      <c r="AF990" s="292">
        <f>AF991</f>
        <v>0</v>
      </c>
      <c r="AG990" s="553"/>
      <c r="AH990" s="553"/>
      <c r="AI990" s="455"/>
    </row>
    <row r="991" spans="1:35" s="344" customFormat="1" x14ac:dyDescent="0.25">
      <c r="A991" s="381"/>
      <c r="B991" s="336"/>
      <c r="C991" s="338"/>
      <c r="D991" s="338"/>
      <c r="E991" s="339"/>
      <c r="F991" s="338"/>
      <c r="G991" s="343"/>
      <c r="H991" s="382"/>
      <c r="I991" s="383"/>
      <c r="J991" s="383"/>
      <c r="K991" s="383"/>
      <c r="L991" s="340"/>
      <c r="M991" s="383"/>
      <c r="N991" s="340"/>
      <c r="O991" s="384"/>
      <c r="P991" s="340"/>
      <c r="Q991" s="342"/>
      <c r="R991" s="362"/>
      <c r="S991" s="362"/>
      <c r="T991" s="362"/>
      <c r="U991" s="362"/>
      <c r="V991" s="362"/>
      <c r="W991" s="382"/>
      <c r="X991" s="514" t="s">
        <v>1781</v>
      </c>
      <c r="Y991" s="246" t="s">
        <v>1740</v>
      </c>
      <c r="Z991" s="235" t="s">
        <v>175</v>
      </c>
      <c r="AA991" s="235" t="s">
        <v>193</v>
      </c>
      <c r="AB991" s="442" t="s">
        <v>2454</v>
      </c>
      <c r="AC991" s="238">
        <v>200</v>
      </c>
      <c r="AD991" s="292">
        <f>AD992</f>
        <v>331.20000000000005</v>
      </c>
      <c r="AE991" s="475">
        <v>0</v>
      </c>
      <c r="AF991" s="475">
        <v>0</v>
      </c>
      <c r="AG991" s="553"/>
      <c r="AH991" s="553"/>
      <c r="AI991" s="455"/>
    </row>
    <row r="992" spans="1:35" s="344" customFormat="1" ht="31.5" x14ac:dyDescent="0.25">
      <c r="A992" s="381"/>
      <c r="B992" s="336"/>
      <c r="C992" s="338"/>
      <c r="D992" s="338"/>
      <c r="E992" s="339"/>
      <c r="F992" s="338"/>
      <c r="G992" s="343"/>
      <c r="H992" s="382"/>
      <c r="I992" s="383"/>
      <c r="J992" s="383"/>
      <c r="K992" s="383"/>
      <c r="L992" s="340"/>
      <c r="M992" s="383"/>
      <c r="N992" s="340"/>
      <c r="O992" s="384"/>
      <c r="P992" s="340"/>
      <c r="Q992" s="342"/>
      <c r="R992" s="362"/>
      <c r="S992" s="362"/>
      <c r="T992" s="362"/>
      <c r="U992" s="362"/>
      <c r="V992" s="362"/>
      <c r="W992" s="382"/>
      <c r="X992" s="514" t="s">
        <v>1273</v>
      </c>
      <c r="Y992" s="246" t="s">
        <v>1740</v>
      </c>
      <c r="Z992" s="235" t="s">
        <v>175</v>
      </c>
      <c r="AA992" s="235" t="s">
        <v>193</v>
      </c>
      <c r="AB992" s="442" t="s">
        <v>2454</v>
      </c>
      <c r="AC992" s="238">
        <v>240</v>
      </c>
      <c r="AD992" s="292">
        <f>59.6+271.6</f>
        <v>331.20000000000005</v>
      </c>
      <c r="AE992" s="475">
        <v>0</v>
      </c>
      <c r="AF992" s="475">
        <v>0</v>
      </c>
      <c r="AG992" s="553"/>
      <c r="AH992" s="553"/>
      <c r="AI992" s="455"/>
    </row>
    <row r="993" spans="1:35" s="344" customFormat="1" ht="47.25" x14ac:dyDescent="0.25">
      <c r="A993" s="381"/>
      <c r="B993" s="336"/>
      <c r="C993" s="338"/>
      <c r="D993" s="338"/>
      <c r="E993" s="339"/>
      <c r="F993" s="338"/>
      <c r="G993" s="343"/>
      <c r="H993" s="382"/>
      <c r="I993" s="383"/>
      <c r="J993" s="383"/>
      <c r="K993" s="383"/>
      <c r="L993" s="340"/>
      <c r="M993" s="383"/>
      <c r="N993" s="340"/>
      <c r="O993" s="384"/>
      <c r="P993" s="340"/>
      <c r="Q993" s="342"/>
      <c r="R993" s="362"/>
      <c r="S993" s="362"/>
      <c r="T993" s="362"/>
      <c r="U993" s="362"/>
      <c r="V993" s="362"/>
      <c r="W993" s="382"/>
      <c r="X993" s="514" t="s">
        <v>2455</v>
      </c>
      <c r="Y993" s="246" t="s">
        <v>1740</v>
      </c>
      <c r="Z993" s="235" t="s">
        <v>175</v>
      </c>
      <c r="AA993" s="235" t="s">
        <v>193</v>
      </c>
      <c r="AB993" s="442" t="s">
        <v>2456</v>
      </c>
      <c r="AC993" s="579"/>
      <c r="AD993" s="292">
        <f t="shared" ref="AD993:AF994" si="276">AD994</f>
        <v>330.7</v>
      </c>
      <c r="AE993" s="292">
        <f t="shared" si="276"/>
        <v>0</v>
      </c>
      <c r="AF993" s="292">
        <f t="shared" si="276"/>
        <v>0</v>
      </c>
      <c r="AG993" s="553"/>
      <c r="AH993" s="553"/>
      <c r="AI993" s="455"/>
    </row>
    <row r="994" spans="1:35" s="344" customFormat="1" x14ac:dyDescent="0.25">
      <c r="A994" s="381"/>
      <c r="B994" s="336"/>
      <c r="C994" s="338"/>
      <c r="D994" s="338"/>
      <c r="E994" s="339"/>
      <c r="F994" s="338"/>
      <c r="G994" s="343"/>
      <c r="H994" s="382"/>
      <c r="I994" s="383"/>
      <c r="J994" s="383"/>
      <c r="K994" s="383"/>
      <c r="L994" s="340"/>
      <c r="M994" s="383"/>
      <c r="N994" s="340"/>
      <c r="O994" s="384"/>
      <c r="P994" s="340"/>
      <c r="Q994" s="342"/>
      <c r="R994" s="362"/>
      <c r="S994" s="362"/>
      <c r="T994" s="362"/>
      <c r="U994" s="362"/>
      <c r="V994" s="362"/>
      <c r="W994" s="382"/>
      <c r="X994" s="514" t="s">
        <v>1781</v>
      </c>
      <c r="Y994" s="246" t="s">
        <v>1740</v>
      </c>
      <c r="Z994" s="235" t="s">
        <v>175</v>
      </c>
      <c r="AA994" s="235" t="s">
        <v>193</v>
      </c>
      <c r="AB994" s="442" t="s">
        <v>2456</v>
      </c>
      <c r="AC994" s="238">
        <v>200</v>
      </c>
      <c r="AD994" s="292">
        <f t="shared" si="276"/>
        <v>330.7</v>
      </c>
      <c r="AE994" s="292">
        <f t="shared" si="276"/>
        <v>0</v>
      </c>
      <c r="AF994" s="292">
        <f t="shared" si="276"/>
        <v>0</v>
      </c>
      <c r="AG994" s="553"/>
      <c r="AH994" s="553"/>
      <c r="AI994" s="455"/>
    </row>
    <row r="995" spans="1:35" s="344" customFormat="1" ht="31.5" x14ac:dyDescent="0.25">
      <c r="A995" s="381"/>
      <c r="B995" s="336"/>
      <c r="C995" s="338"/>
      <c r="D995" s="338"/>
      <c r="E995" s="339"/>
      <c r="F995" s="338"/>
      <c r="G995" s="343"/>
      <c r="H995" s="382"/>
      <c r="I995" s="383"/>
      <c r="J995" s="383"/>
      <c r="K995" s="383"/>
      <c r="L995" s="340"/>
      <c r="M995" s="383"/>
      <c r="N995" s="340"/>
      <c r="O995" s="384"/>
      <c r="P995" s="340"/>
      <c r="Q995" s="342"/>
      <c r="R995" s="362"/>
      <c r="S995" s="362"/>
      <c r="T995" s="362"/>
      <c r="U995" s="362"/>
      <c r="V995" s="362"/>
      <c r="W995" s="382"/>
      <c r="X995" s="514" t="s">
        <v>1273</v>
      </c>
      <c r="Y995" s="246" t="s">
        <v>1740</v>
      </c>
      <c r="Z995" s="235" t="s">
        <v>175</v>
      </c>
      <c r="AA995" s="235" t="s">
        <v>193</v>
      </c>
      <c r="AB995" s="442" t="s">
        <v>2456</v>
      </c>
      <c r="AC995" s="238">
        <v>240</v>
      </c>
      <c r="AD995" s="292">
        <f>59.5+271.2</f>
        <v>330.7</v>
      </c>
      <c r="AE995" s="475">
        <v>0</v>
      </c>
      <c r="AF995" s="475">
        <v>0</v>
      </c>
      <c r="AG995" s="553"/>
      <c r="AH995" s="553"/>
      <c r="AI995" s="455"/>
    </row>
    <row r="996" spans="1:35" s="344" customFormat="1" ht="47.25" x14ac:dyDescent="0.25">
      <c r="A996" s="381"/>
      <c r="B996" s="336"/>
      <c r="C996" s="338"/>
      <c r="D996" s="338"/>
      <c r="E996" s="339"/>
      <c r="F996" s="338"/>
      <c r="G996" s="343"/>
      <c r="H996" s="382"/>
      <c r="I996" s="383"/>
      <c r="J996" s="383"/>
      <c r="K996" s="383"/>
      <c r="L996" s="340"/>
      <c r="M996" s="383"/>
      <c r="N996" s="340"/>
      <c r="O996" s="384"/>
      <c r="P996" s="340"/>
      <c r="Q996" s="342"/>
      <c r="R996" s="362"/>
      <c r="S996" s="362"/>
      <c r="T996" s="362"/>
      <c r="U996" s="362"/>
      <c r="V996" s="362"/>
      <c r="W996" s="382"/>
      <c r="X996" s="823" t="s">
        <v>2457</v>
      </c>
      <c r="Y996" s="246" t="s">
        <v>1740</v>
      </c>
      <c r="Z996" s="235" t="s">
        <v>175</v>
      </c>
      <c r="AA996" s="235" t="s">
        <v>193</v>
      </c>
      <c r="AB996" s="442" t="s">
        <v>2458</v>
      </c>
      <c r="AC996" s="238"/>
      <c r="AD996" s="292">
        <f t="shared" ref="AD996:AF997" si="277">AD997</f>
        <v>42.7</v>
      </c>
      <c r="AE996" s="292">
        <f t="shared" si="277"/>
        <v>0</v>
      </c>
      <c r="AF996" s="292">
        <f t="shared" si="277"/>
        <v>0</v>
      </c>
      <c r="AG996" s="553"/>
      <c r="AH996" s="553"/>
      <c r="AI996" s="455"/>
    </row>
    <row r="997" spans="1:35" s="344" customFormat="1" x14ac:dyDescent="0.25">
      <c r="A997" s="381"/>
      <c r="B997" s="336"/>
      <c r="C997" s="338"/>
      <c r="D997" s="338"/>
      <c r="E997" s="339"/>
      <c r="F997" s="338"/>
      <c r="G997" s="343"/>
      <c r="H997" s="382"/>
      <c r="I997" s="383"/>
      <c r="J997" s="383"/>
      <c r="K997" s="383"/>
      <c r="L997" s="340"/>
      <c r="M997" s="383"/>
      <c r="N997" s="340"/>
      <c r="O997" s="384"/>
      <c r="P997" s="340"/>
      <c r="Q997" s="342"/>
      <c r="R997" s="362"/>
      <c r="S997" s="362"/>
      <c r="T997" s="362"/>
      <c r="U997" s="362"/>
      <c r="V997" s="362"/>
      <c r="W997" s="382"/>
      <c r="X997" s="514" t="s">
        <v>1781</v>
      </c>
      <c r="Y997" s="246" t="s">
        <v>1740</v>
      </c>
      <c r="Z997" s="235" t="s">
        <v>175</v>
      </c>
      <c r="AA997" s="235" t="s">
        <v>193</v>
      </c>
      <c r="AB997" s="442" t="s">
        <v>2458</v>
      </c>
      <c r="AC997" s="238">
        <v>200</v>
      </c>
      <c r="AD997" s="292">
        <f t="shared" si="277"/>
        <v>42.7</v>
      </c>
      <c r="AE997" s="292">
        <f t="shared" si="277"/>
        <v>0</v>
      </c>
      <c r="AF997" s="292">
        <f t="shared" si="277"/>
        <v>0</v>
      </c>
      <c r="AG997" s="553"/>
      <c r="AH997" s="553"/>
      <c r="AI997" s="455"/>
    </row>
    <row r="998" spans="1:35" s="344" customFormat="1" ht="31.5" x14ac:dyDescent="0.25">
      <c r="A998" s="381"/>
      <c r="B998" s="336"/>
      <c r="C998" s="338"/>
      <c r="D998" s="338"/>
      <c r="E998" s="339"/>
      <c r="F998" s="338"/>
      <c r="G998" s="343"/>
      <c r="H998" s="382"/>
      <c r="I998" s="383"/>
      <c r="J998" s="383"/>
      <c r="K998" s="383"/>
      <c r="L998" s="340"/>
      <c r="M998" s="383"/>
      <c r="N998" s="340"/>
      <c r="O998" s="384"/>
      <c r="P998" s="340"/>
      <c r="Q998" s="342"/>
      <c r="R998" s="362"/>
      <c r="S998" s="362"/>
      <c r="T998" s="362"/>
      <c r="U998" s="362"/>
      <c r="V998" s="362"/>
      <c r="W998" s="382"/>
      <c r="X998" s="514" t="s">
        <v>1273</v>
      </c>
      <c r="Y998" s="246" t="s">
        <v>1740</v>
      </c>
      <c r="Z998" s="235" t="s">
        <v>175</v>
      </c>
      <c r="AA998" s="235" t="s">
        <v>193</v>
      </c>
      <c r="AB998" s="442" t="s">
        <v>2458</v>
      </c>
      <c r="AC998" s="238">
        <v>240</v>
      </c>
      <c r="AD998" s="292">
        <f>7.7+35</f>
        <v>42.7</v>
      </c>
      <c r="AE998" s="475">
        <v>0</v>
      </c>
      <c r="AF998" s="475">
        <v>0</v>
      </c>
      <c r="AG998" s="553"/>
      <c r="AH998" s="553"/>
      <c r="AI998" s="455"/>
    </row>
    <row r="999" spans="1:35" s="344" customFormat="1" ht="47.25" x14ac:dyDescent="0.25">
      <c r="A999" s="381"/>
      <c r="B999" s="336"/>
      <c r="C999" s="338"/>
      <c r="D999" s="338"/>
      <c r="E999" s="339"/>
      <c r="F999" s="338"/>
      <c r="G999" s="343"/>
      <c r="H999" s="382"/>
      <c r="I999" s="383"/>
      <c r="J999" s="383"/>
      <c r="K999" s="383"/>
      <c r="L999" s="340"/>
      <c r="M999" s="383"/>
      <c r="N999" s="340"/>
      <c r="O999" s="384"/>
      <c r="P999" s="340"/>
      <c r="Q999" s="342"/>
      <c r="R999" s="362"/>
      <c r="S999" s="362"/>
      <c r="T999" s="362"/>
      <c r="U999" s="362"/>
      <c r="V999" s="362"/>
      <c r="W999" s="382"/>
      <c r="X999" s="823" t="s">
        <v>2459</v>
      </c>
      <c r="Y999" s="246" t="s">
        <v>1740</v>
      </c>
      <c r="Z999" s="235" t="s">
        <v>175</v>
      </c>
      <c r="AA999" s="235" t="s">
        <v>193</v>
      </c>
      <c r="AB999" s="442" t="s">
        <v>2460</v>
      </c>
      <c r="AC999" s="238"/>
      <c r="AD999" s="292">
        <f>AD1000</f>
        <v>277.7</v>
      </c>
      <c r="AE999" s="292">
        <f>AE1000</f>
        <v>0</v>
      </c>
      <c r="AF999" s="292">
        <f>AF1000</f>
        <v>0</v>
      </c>
      <c r="AG999" s="553"/>
      <c r="AH999" s="553"/>
      <c r="AI999" s="455"/>
    </row>
    <row r="1000" spans="1:35" s="344" customFormat="1" x14ac:dyDescent="0.25">
      <c r="A1000" s="381"/>
      <c r="B1000" s="336"/>
      <c r="C1000" s="338"/>
      <c r="D1000" s="338"/>
      <c r="E1000" s="339"/>
      <c r="F1000" s="338"/>
      <c r="G1000" s="343"/>
      <c r="H1000" s="382"/>
      <c r="I1000" s="383"/>
      <c r="J1000" s="383"/>
      <c r="K1000" s="383"/>
      <c r="L1000" s="340"/>
      <c r="M1000" s="383"/>
      <c r="N1000" s="340"/>
      <c r="O1000" s="384"/>
      <c r="P1000" s="340"/>
      <c r="Q1000" s="342"/>
      <c r="R1000" s="362"/>
      <c r="S1000" s="362"/>
      <c r="T1000" s="362"/>
      <c r="U1000" s="362"/>
      <c r="V1000" s="362"/>
      <c r="W1000" s="382"/>
      <c r="X1000" s="514" t="s">
        <v>1781</v>
      </c>
      <c r="Y1000" s="246" t="s">
        <v>1740</v>
      </c>
      <c r="Z1000" s="235" t="s">
        <v>175</v>
      </c>
      <c r="AA1000" s="235" t="s">
        <v>193</v>
      </c>
      <c r="AB1000" s="442" t="s">
        <v>2460</v>
      </c>
      <c r="AC1000" s="238">
        <v>200</v>
      </c>
      <c r="AD1000" s="292">
        <f>AD1001</f>
        <v>277.7</v>
      </c>
      <c r="AE1000" s="475">
        <v>0</v>
      </c>
      <c r="AF1000" s="475">
        <v>0</v>
      </c>
      <c r="AG1000" s="553"/>
      <c r="AH1000" s="553"/>
      <c r="AI1000" s="455"/>
    </row>
    <row r="1001" spans="1:35" s="344" customFormat="1" ht="31.5" x14ac:dyDescent="0.25">
      <c r="A1001" s="381"/>
      <c r="B1001" s="336"/>
      <c r="C1001" s="338"/>
      <c r="D1001" s="338"/>
      <c r="E1001" s="339"/>
      <c r="F1001" s="338"/>
      <c r="G1001" s="343"/>
      <c r="H1001" s="382"/>
      <c r="I1001" s="383"/>
      <c r="J1001" s="383"/>
      <c r="K1001" s="383"/>
      <c r="L1001" s="340"/>
      <c r="M1001" s="383"/>
      <c r="N1001" s="340"/>
      <c r="O1001" s="384"/>
      <c r="P1001" s="340"/>
      <c r="Q1001" s="342"/>
      <c r="R1001" s="362"/>
      <c r="S1001" s="362"/>
      <c r="T1001" s="362"/>
      <c r="U1001" s="362"/>
      <c r="V1001" s="362"/>
      <c r="W1001" s="382"/>
      <c r="X1001" s="514" t="s">
        <v>1273</v>
      </c>
      <c r="Y1001" s="246" t="s">
        <v>1740</v>
      </c>
      <c r="Z1001" s="235" t="s">
        <v>175</v>
      </c>
      <c r="AA1001" s="235" t="s">
        <v>193</v>
      </c>
      <c r="AB1001" s="442" t="s">
        <v>2460</v>
      </c>
      <c r="AC1001" s="238">
        <v>240</v>
      </c>
      <c r="AD1001" s="292">
        <f>50+227.7</f>
        <v>277.7</v>
      </c>
      <c r="AE1001" s="475">
        <v>0</v>
      </c>
      <c r="AF1001" s="475">
        <v>0</v>
      </c>
      <c r="AG1001" s="553"/>
      <c r="AH1001" s="553"/>
      <c r="AI1001" s="455"/>
    </row>
    <row r="1002" spans="1:35" s="344" customFormat="1" ht="47.25" x14ac:dyDescent="0.25">
      <c r="A1002" s="381"/>
      <c r="B1002" s="336"/>
      <c r="C1002" s="338"/>
      <c r="D1002" s="338"/>
      <c r="E1002" s="339"/>
      <c r="F1002" s="338"/>
      <c r="G1002" s="343"/>
      <c r="H1002" s="382"/>
      <c r="I1002" s="383"/>
      <c r="J1002" s="383"/>
      <c r="K1002" s="383"/>
      <c r="L1002" s="340"/>
      <c r="M1002" s="383"/>
      <c r="N1002" s="340"/>
      <c r="O1002" s="384"/>
      <c r="P1002" s="340"/>
      <c r="Q1002" s="342"/>
      <c r="R1002" s="362"/>
      <c r="S1002" s="362"/>
      <c r="T1002" s="362"/>
      <c r="U1002" s="362"/>
      <c r="V1002" s="362"/>
      <c r="W1002" s="382"/>
      <c r="X1002" s="715" t="s">
        <v>2461</v>
      </c>
      <c r="Y1002" s="246" t="s">
        <v>1740</v>
      </c>
      <c r="Z1002" s="235" t="s">
        <v>175</v>
      </c>
      <c r="AA1002" s="235" t="s">
        <v>193</v>
      </c>
      <c r="AB1002" s="442" t="s">
        <v>2462</v>
      </c>
      <c r="AC1002" s="238"/>
      <c r="AD1002" s="292">
        <f>AD1003</f>
        <v>350.70000000000005</v>
      </c>
      <c r="AE1002" s="292">
        <f>AE1003</f>
        <v>0</v>
      </c>
      <c r="AF1002" s="292">
        <f>AF1003</f>
        <v>0</v>
      </c>
      <c r="AG1002" s="553"/>
      <c r="AH1002" s="553"/>
      <c r="AI1002" s="455"/>
    </row>
    <row r="1003" spans="1:35" s="344" customFormat="1" x14ac:dyDescent="0.25">
      <c r="A1003" s="381"/>
      <c r="B1003" s="336"/>
      <c r="C1003" s="338"/>
      <c r="D1003" s="338"/>
      <c r="E1003" s="339"/>
      <c r="F1003" s="338"/>
      <c r="G1003" s="343"/>
      <c r="H1003" s="382"/>
      <c r="I1003" s="383"/>
      <c r="J1003" s="383"/>
      <c r="K1003" s="383"/>
      <c r="L1003" s="340"/>
      <c r="M1003" s="383"/>
      <c r="N1003" s="340"/>
      <c r="O1003" s="384"/>
      <c r="P1003" s="340"/>
      <c r="Q1003" s="342"/>
      <c r="R1003" s="362"/>
      <c r="S1003" s="362"/>
      <c r="T1003" s="362"/>
      <c r="U1003" s="362"/>
      <c r="V1003" s="362"/>
      <c r="W1003" s="382"/>
      <c r="X1003" s="514" t="s">
        <v>1781</v>
      </c>
      <c r="Y1003" s="246" t="s">
        <v>1740</v>
      </c>
      <c r="Z1003" s="235" t="s">
        <v>175</v>
      </c>
      <c r="AA1003" s="235" t="s">
        <v>193</v>
      </c>
      <c r="AB1003" s="442" t="s">
        <v>2462</v>
      </c>
      <c r="AC1003" s="238">
        <v>200</v>
      </c>
      <c r="AD1003" s="292">
        <f>AD1004</f>
        <v>350.70000000000005</v>
      </c>
      <c r="AE1003" s="475">
        <v>0</v>
      </c>
      <c r="AF1003" s="475">
        <v>0</v>
      </c>
      <c r="AG1003" s="553"/>
      <c r="AH1003" s="553"/>
      <c r="AI1003" s="455"/>
    </row>
    <row r="1004" spans="1:35" s="344" customFormat="1" ht="31.5" x14ac:dyDescent="0.25">
      <c r="A1004" s="381"/>
      <c r="B1004" s="336"/>
      <c r="C1004" s="338"/>
      <c r="D1004" s="338"/>
      <c r="E1004" s="339"/>
      <c r="F1004" s="338"/>
      <c r="G1004" s="343"/>
      <c r="H1004" s="382"/>
      <c r="I1004" s="383"/>
      <c r="J1004" s="383"/>
      <c r="K1004" s="383"/>
      <c r="L1004" s="340"/>
      <c r="M1004" s="383"/>
      <c r="N1004" s="340"/>
      <c r="O1004" s="384"/>
      <c r="P1004" s="340"/>
      <c r="Q1004" s="342"/>
      <c r="R1004" s="362"/>
      <c r="S1004" s="362"/>
      <c r="T1004" s="362"/>
      <c r="U1004" s="362"/>
      <c r="V1004" s="362"/>
      <c r="W1004" s="382"/>
      <c r="X1004" s="514" t="s">
        <v>1273</v>
      </c>
      <c r="Y1004" s="246" t="s">
        <v>1740</v>
      </c>
      <c r="Z1004" s="235" t="s">
        <v>175</v>
      </c>
      <c r="AA1004" s="235" t="s">
        <v>193</v>
      </c>
      <c r="AB1004" s="442" t="s">
        <v>2462</v>
      </c>
      <c r="AC1004" s="238">
        <v>240</v>
      </c>
      <c r="AD1004" s="292">
        <f>63.1+287.6</f>
        <v>350.70000000000005</v>
      </c>
      <c r="AE1004" s="475">
        <v>0</v>
      </c>
      <c r="AF1004" s="475">
        <v>0</v>
      </c>
      <c r="AG1004" s="553"/>
      <c r="AH1004" s="553"/>
      <c r="AI1004" s="455"/>
    </row>
    <row r="1005" spans="1:35" s="344" customFormat="1" ht="47.25" x14ac:dyDescent="0.25">
      <c r="A1005" s="381"/>
      <c r="B1005" s="336"/>
      <c r="C1005" s="338"/>
      <c r="D1005" s="338"/>
      <c r="E1005" s="339"/>
      <c r="F1005" s="338"/>
      <c r="G1005" s="343"/>
      <c r="H1005" s="382"/>
      <c r="I1005" s="383"/>
      <c r="J1005" s="383"/>
      <c r="K1005" s="383"/>
      <c r="L1005" s="340"/>
      <c r="M1005" s="383"/>
      <c r="N1005" s="340"/>
      <c r="O1005" s="384"/>
      <c r="P1005" s="340"/>
      <c r="Q1005" s="342"/>
      <c r="R1005" s="362"/>
      <c r="S1005" s="362"/>
      <c r="T1005" s="362"/>
      <c r="U1005" s="362"/>
      <c r="V1005" s="362"/>
      <c r="W1005" s="382"/>
      <c r="X1005" s="823" t="s">
        <v>2463</v>
      </c>
      <c r="Y1005" s="246" t="s">
        <v>1740</v>
      </c>
      <c r="Z1005" s="235" t="s">
        <v>175</v>
      </c>
      <c r="AA1005" s="235" t="s">
        <v>193</v>
      </c>
      <c r="AB1005" s="442" t="s">
        <v>2464</v>
      </c>
      <c r="AC1005" s="238"/>
      <c r="AD1005" s="292">
        <f t="shared" ref="AD1005:AF1006" si="278">AD1006</f>
        <v>219</v>
      </c>
      <c r="AE1005" s="292">
        <f t="shared" si="278"/>
        <v>0</v>
      </c>
      <c r="AF1005" s="292">
        <f t="shared" si="278"/>
        <v>0</v>
      </c>
      <c r="AG1005" s="553"/>
      <c r="AH1005" s="553"/>
      <c r="AI1005" s="455"/>
    </row>
    <row r="1006" spans="1:35" s="344" customFormat="1" x14ac:dyDescent="0.25">
      <c r="A1006" s="381"/>
      <c r="B1006" s="336"/>
      <c r="C1006" s="338"/>
      <c r="D1006" s="338"/>
      <c r="E1006" s="339"/>
      <c r="F1006" s="338"/>
      <c r="G1006" s="343"/>
      <c r="H1006" s="382"/>
      <c r="I1006" s="383"/>
      <c r="J1006" s="383"/>
      <c r="K1006" s="383"/>
      <c r="L1006" s="340"/>
      <c r="M1006" s="383"/>
      <c r="N1006" s="340"/>
      <c r="O1006" s="384"/>
      <c r="P1006" s="340"/>
      <c r="Q1006" s="342"/>
      <c r="R1006" s="362"/>
      <c r="S1006" s="362"/>
      <c r="T1006" s="362"/>
      <c r="U1006" s="362"/>
      <c r="V1006" s="362"/>
      <c r="W1006" s="382"/>
      <c r="X1006" s="514" t="s">
        <v>1781</v>
      </c>
      <c r="Y1006" s="246" t="s">
        <v>1740</v>
      </c>
      <c r="Z1006" s="235" t="s">
        <v>175</v>
      </c>
      <c r="AA1006" s="235" t="s">
        <v>193</v>
      </c>
      <c r="AB1006" s="442" t="s">
        <v>2464</v>
      </c>
      <c r="AC1006" s="238">
        <v>200</v>
      </c>
      <c r="AD1006" s="292">
        <f t="shared" si="278"/>
        <v>219</v>
      </c>
      <c r="AE1006" s="292">
        <f t="shared" si="278"/>
        <v>0</v>
      </c>
      <c r="AF1006" s="292">
        <f t="shared" si="278"/>
        <v>0</v>
      </c>
      <c r="AG1006" s="553"/>
      <c r="AH1006" s="553"/>
      <c r="AI1006" s="455"/>
    </row>
    <row r="1007" spans="1:35" s="344" customFormat="1" ht="31.5" x14ac:dyDescent="0.25">
      <c r="A1007" s="381"/>
      <c r="B1007" s="336"/>
      <c r="C1007" s="338"/>
      <c r="D1007" s="338"/>
      <c r="E1007" s="339"/>
      <c r="F1007" s="338"/>
      <c r="G1007" s="343"/>
      <c r="H1007" s="382"/>
      <c r="I1007" s="383"/>
      <c r="J1007" s="383"/>
      <c r="K1007" s="383"/>
      <c r="L1007" s="340"/>
      <c r="M1007" s="383"/>
      <c r="N1007" s="340"/>
      <c r="O1007" s="384"/>
      <c r="P1007" s="340"/>
      <c r="Q1007" s="342"/>
      <c r="R1007" s="362"/>
      <c r="S1007" s="362"/>
      <c r="T1007" s="362"/>
      <c r="U1007" s="362"/>
      <c r="V1007" s="362"/>
      <c r="W1007" s="382"/>
      <c r="X1007" s="514" t="s">
        <v>1273</v>
      </c>
      <c r="Y1007" s="246" t="s">
        <v>1740</v>
      </c>
      <c r="Z1007" s="235" t="s">
        <v>175</v>
      </c>
      <c r="AA1007" s="235" t="s">
        <v>193</v>
      </c>
      <c r="AB1007" s="442" t="s">
        <v>2464</v>
      </c>
      <c r="AC1007" s="238">
        <v>240</v>
      </c>
      <c r="AD1007" s="292">
        <f>39.4+179.6</f>
        <v>219</v>
      </c>
      <c r="AE1007" s="475">
        <v>0</v>
      </c>
      <c r="AF1007" s="475">
        <v>0</v>
      </c>
      <c r="AG1007" s="553"/>
      <c r="AH1007" s="553"/>
      <c r="AI1007" s="455"/>
    </row>
    <row r="1008" spans="1:35" s="344" customFormat="1" ht="63" x14ac:dyDescent="0.25">
      <c r="A1008" s="381"/>
      <c r="B1008" s="336"/>
      <c r="C1008" s="338"/>
      <c r="D1008" s="338"/>
      <c r="E1008" s="339"/>
      <c r="F1008" s="338"/>
      <c r="G1008" s="343"/>
      <c r="H1008" s="382"/>
      <c r="I1008" s="383"/>
      <c r="J1008" s="383"/>
      <c r="K1008" s="383"/>
      <c r="L1008" s="340"/>
      <c r="M1008" s="383"/>
      <c r="N1008" s="340"/>
      <c r="O1008" s="384"/>
      <c r="P1008" s="340"/>
      <c r="Q1008" s="342"/>
      <c r="R1008" s="362"/>
      <c r="S1008" s="362"/>
      <c r="T1008" s="362"/>
      <c r="U1008" s="362"/>
      <c r="V1008" s="362"/>
      <c r="W1008" s="382"/>
      <c r="X1008" s="715" t="s">
        <v>2465</v>
      </c>
      <c r="Y1008" s="246" t="s">
        <v>1740</v>
      </c>
      <c r="Z1008" s="235" t="s">
        <v>175</v>
      </c>
      <c r="AA1008" s="235" t="s">
        <v>193</v>
      </c>
      <c r="AB1008" s="442" t="s">
        <v>2466</v>
      </c>
      <c r="AC1008" s="238"/>
      <c r="AD1008" s="292">
        <f>AD1009</f>
        <v>702.7</v>
      </c>
      <c r="AE1008" s="292">
        <f>AE1009</f>
        <v>0</v>
      </c>
      <c r="AF1008" s="292">
        <f>AF1009</f>
        <v>0</v>
      </c>
      <c r="AG1008" s="553"/>
      <c r="AH1008" s="553"/>
      <c r="AI1008" s="455"/>
    </row>
    <row r="1009" spans="1:35" s="344" customFormat="1" x14ac:dyDescent="0.25">
      <c r="A1009" s="381"/>
      <c r="B1009" s="336"/>
      <c r="C1009" s="338"/>
      <c r="D1009" s="338"/>
      <c r="E1009" s="339"/>
      <c r="F1009" s="338"/>
      <c r="G1009" s="343"/>
      <c r="H1009" s="382"/>
      <c r="I1009" s="383"/>
      <c r="J1009" s="383"/>
      <c r="K1009" s="383"/>
      <c r="L1009" s="340"/>
      <c r="M1009" s="383"/>
      <c r="N1009" s="340"/>
      <c r="O1009" s="384"/>
      <c r="P1009" s="340"/>
      <c r="Q1009" s="342"/>
      <c r="R1009" s="362"/>
      <c r="S1009" s="362"/>
      <c r="T1009" s="362"/>
      <c r="U1009" s="362"/>
      <c r="V1009" s="362"/>
      <c r="W1009" s="382"/>
      <c r="X1009" s="514" t="s">
        <v>1781</v>
      </c>
      <c r="Y1009" s="246" t="s">
        <v>1740</v>
      </c>
      <c r="Z1009" s="235" t="s">
        <v>175</v>
      </c>
      <c r="AA1009" s="235" t="s">
        <v>193</v>
      </c>
      <c r="AB1009" s="442" t="s">
        <v>2466</v>
      </c>
      <c r="AC1009" s="238">
        <v>200</v>
      </c>
      <c r="AD1009" s="292">
        <f>AD1010</f>
        <v>702.7</v>
      </c>
      <c r="AE1009" s="475">
        <v>0</v>
      </c>
      <c r="AF1009" s="475">
        <v>0</v>
      </c>
      <c r="AG1009" s="553"/>
      <c r="AH1009" s="553"/>
      <c r="AI1009" s="455"/>
    </row>
    <row r="1010" spans="1:35" s="344" customFormat="1" ht="31.5" x14ac:dyDescent="0.25">
      <c r="A1010" s="381"/>
      <c r="B1010" s="336"/>
      <c r="C1010" s="338"/>
      <c r="D1010" s="338"/>
      <c r="E1010" s="339"/>
      <c r="F1010" s="338"/>
      <c r="G1010" s="343"/>
      <c r="H1010" s="382"/>
      <c r="I1010" s="383"/>
      <c r="J1010" s="383"/>
      <c r="K1010" s="383"/>
      <c r="L1010" s="340"/>
      <c r="M1010" s="383"/>
      <c r="N1010" s="340"/>
      <c r="O1010" s="384"/>
      <c r="P1010" s="340"/>
      <c r="Q1010" s="342"/>
      <c r="R1010" s="362"/>
      <c r="S1010" s="362"/>
      <c r="T1010" s="362"/>
      <c r="U1010" s="362"/>
      <c r="V1010" s="362"/>
      <c r="W1010" s="382"/>
      <c r="X1010" s="514" t="s">
        <v>1273</v>
      </c>
      <c r="Y1010" s="246" t="s">
        <v>1740</v>
      </c>
      <c r="Z1010" s="235" t="s">
        <v>175</v>
      </c>
      <c r="AA1010" s="235" t="s">
        <v>193</v>
      </c>
      <c r="AB1010" s="442" t="s">
        <v>2466</v>
      </c>
      <c r="AC1010" s="238">
        <v>240</v>
      </c>
      <c r="AD1010" s="292">
        <f>126.5+576.2</f>
        <v>702.7</v>
      </c>
      <c r="AE1010" s="475">
        <v>0</v>
      </c>
      <c r="AF1010" s="475">
        <v>0</v>
      </c>
      <c r="AG1010" s="553"/>
      <c r="AH1010" s="553"/>
      <c r="AI1010" s="455"/>
    </row>
    <row r="1011" spans="1:35" s="344" customFormat="1" ht="31.5" x14ac:dyDescent="0.25">
      <c r="A1011" s="381"/>
      <c r="B1011" s="336"/>
      <c r="C1011" s="338"/>
      <c r="D1011" s="338"/>
      <c r="E1011" s="339"/>
      <c r="F1011" s="338"/>
      <c r="G1011" s="343"/>
      <c r="H1011" s="382"/>
      <c r="I1011" s="383"/>
      <c r="J1011" s="383"/>
      <c r="K1011" s="383"/>
      <c r="L1011" s="340"/>
      <c r="M1011" s="383"/>
      <c r="N1011" s="340"/>
      <c r="O1011" s="384"/>
      <c r="P1011" s="340"/>
      <c r="Q1011" s="342"/>
      <c r="R1011" s="362"/>
      <c r="S1011" s="362"/>
      <c r="T1011" s="362"/>
      <c r="U1011" s="362"/>
      <c r="V1011" s="362"/>
      <c r="W1011" s="382"/>
      <c r="X1011" s="715" t="s">
        <v>2467</v>
      </c>
      <c r="Y1011" s="246" t="s">
        <v>1740</v>
      </c>
      <c r="Z1011" s="235" t="s">
        <v>175</v>
      </c>
      <c r="AA1011" s="235" t="s">
        <v>193</v>
      </c>
      <c r="AB1011" s="442" t="s">
        <v>2468</v>
      </c>
      <c r="AC1011" s="238"/>
      <c r="AD1011" s="292">
        <f t="shared" ref="AD1011:AF1012" si="279">AD1012</f>
        <v>202.7</v>
      </c>
      <c r="AE1011" s="292">
        <f t="shared" si="279"/>
        <v>0</v>
      </c>
      <c r="AF1011" s="292">
        <f t="shared" si="279"/>
        <v>0</v>
      </c>
      <c r="AG1011" s="553"/>
      <c r="AH1011" s="553"/>
      <c r="AI1011" s="455"/>
    </row>
    <row r="1012" spans="1:35" s="344" customFormat="1" x14ac:dyDescent="0.25">
      <c r="A1012" s="381"/>
      <c r="B1012" s="336"/>
      <c r="C1012" s="338"/>
      <c r="D1012" s="338"/>
      <c r="E1012" s="339"/>
      <c r="F1012" s="338"/>
      <c r="G1012" s="343"/>
      <c r="H1012" s="382"/>
      <c r="I1012" s="383"/>
      <c r="J1012" s="383"/>
      <c r="K1012" s="383"/>
      <c r="L1012" s="340"/>
      <c r="M1012" s="383"/>
      <c r="N1012" s="340"/>
      <c r="O1012" s="384"/>
      <c r="P1012" s="340"/>
      <c r="Q1012" s="342"/>
      <c r="R1012" s="362"/>
      <c r="S1012" s="362"/>
      <c r="T1012" s="362"/>
      <c r="U1012" s="362"/>
      <c r="V1012" s="362"/>
      <c r="W1012" s="382"/>
      <c r="X1012" s="514" t="s">
        <v>1781</v>
      </c>
      <c r="Y1012" s="246" t="s">
        <v>1740</v>
      </c>
      <c r="Z1012" s="235" t="s">
        <v>175</v>
      </c>
      <c r="AA1012" s="235" t="s">
        <v>193</v>
      </c>
      <c r="AB1012" s="442" t="s">
        <v>2468</v>
      </c>
      <c r="AC1012" s="238">
        <v>200</v>
      </c>
      <c r="AD1012" s="292">
        <f t="shared" si="279"/>
        <v>202.7</v>
      </c>
      <c r="AE1012" s="292">
        <f t="shared" si="279"/>
        <v>0</v>
      </c>
      <c r="AF1012" s="292">
        <f t="shared" si="279"/>
        <v>0</v>
      </c>
      <c r="AG1012" s="553"/>
      <c r="AH1012" s="553"/>
      <c r="AI1012" s="455"/>
    </row>
    <row r="1013" spans="1:35" s="344" customFormat="1" ht="31.5" x14ac:dyDescent="0.25">
      <c r="A1013" s="381"/>
      <c r="B1013" s="336"/>
      <c r="C1013" s="338"/>
      <c r="D1013" s="338"/>
      <c r="E1013" s="339"/>
      <c r="F1013" s="338"/>
      <c r="G1013" s="343"/>
      <c r="H1013" s="382"/>
      <c r="I1013" s="383"/>
      <c r="J1013" s="383"/>
      <c r="K1013" s="383"/>
      <c r="L1013" s="340"/>
      <c r="M1013" s="383"/>
      <c r="N1013" s="340"/>
      <c r="O1013" s="384"/>
      <c r="P1013" s="340"/>
      <c r="Q1013" s="342"/>
      <c r="R1013" s="362"/>
      <c r="S1013" s="362"/>
      <c r="T1013" s="362"/>
      <c r="U1013" s="362"/>
      <c r="V1013" s="362"/>
      <c r="W1013" s="382"/>
      <c r="X1013" s="514" t="s">
        <v>1273</v>
      </c>
      <c r="Y1013" s="246" t="s">
        <v>1740</v>
      </c>
      <c r="Z1013" s="235" t="s">
        <v>175</v>
      </c>
      <c r="AA1013" s="235" t="s">
        <v>193</v>
      </c>
      <c r="AB1013" s="442" t="s">
        <v>2468</v>
      </c>
      <c r="AC1013" s="238">
        <v>240</v>
      </c>
      <c r="AD1013" s="292">
        <f>36.5+166.2</f>
        <v>202.7</v>
      </c>
      <c r="AE1013" s="475">
        <v>0</v>
      </c>
      <c r="AF1013" s="475">
        <v>0</v>
      </c>
      <c r="AG1013" s="553"/>
      <c r="AH1013" s="553"/>
      <c r="AI1013" s="455"/>
    </row>
    <row r="1014" spans="1:35" s="344" customFormat="1" ht="51.6" customHeight="1" x14ac:dyDescent="0.25">
      <c r="A1014" s="381"/>
      <c r="B1014" s="336"/>
      <c r="C1014" s="338"/>
      <c r="D1014" s="338"/>
      <c r="E1014" s="339"/>
      <c r="F1014" s="338"/>
      <c r="G1014" s="343"/>
      <c r="H1014" s="382"/>
      <c r="I1014" s="383"/>
      <c r="J1014" s="383"/>
      <c r="K1014" s="383"/>
      <c r="L1014" s="340"/>
      <c r="M1014" s="383"/>
      <c r="N1014" s="340"/>
      <c r="O1014" s="384"/>
      <c r="P1014" s="340"/>
      <c r="Q1014" s="342"/>
      <c r="R1014" s="362"/>
      <c r="S1014" s="362"/>
      <c r="T1014" s="362"/>
      <c r="U1014" s="362"/>
      <c r="V1014" s="362"/>
      <c r="W1014" s="382"/>
      <c r="X1014" s="715" t="s">
        <v>2379</v>
      </c>
      <c r="Y1014" s="246" t="s">
        <v>1740</v>
      </c>
      <c r="Z1014" s="235" t="s">
        <v>175</v>
      </c>
      <c r="AA1014" s="235" t="s">
        <v>193</v>
      </c>
      <c r="AB1014" s="442" t="s">
        <v>2380</v>
      </c>
      <c r="AC1014" s="238"/>
      <c r="AD1014" s="292">
        <f t="shared" ref="AD1014:AF1015" si="280">AD1015</f>
        <v>2439</v>
      </c>
      <c r="AE1014" s="292">
        <f t="shared" si="280"/>
        <v>0</v>
      </c>
      <c r="AF1014" s="292">
        <f t="shared" si="280"/>
        <v>0</v>
      </c>
      <c r="AG1014" s="553"/>
      <c r="AH1014" s="553"/>
      <c r="AI1014" s="455"/>
    </row>
    <row r="1015" spans="1:35" s="344" customFormat="1" x14ac:dyDescent="0.25">
      <c r="A1015" s="381"/>
      <c r="B1015" s="336"/>
      <c r="C1015" s="338"/>
      <c r="D1015" s="338"/>
      <c r="E1015" s="339"/>
      <c r="F1015" s="338"/>
      <c r="G1015" s="343"/>
      <c r="H1015" s="382"/>
      <c r="I1015" s="383"/>
      <c r="J1015" s="383"/>
      <c r="K1015" s="383"/>
      <c r="L1015" s="340"/>
      <c r="M1015" s="383"/>
      <c r="N1015" s="340"/>
      <c r="O1015" s="384"/>
      <c r="P1015" s="340"/>
      <c r="Q1015" s="342"/>
      <c r="R1015" s="362"/>
      <c r="S1015" s="362"/>
      <c r="T1015" s="362"/>
      <c r="U1015" s="362"/>
      <c r="V1015" s="362"/>
      <c r="W1015" s="382"/>
      <c r="X1015" s="514" t="s">
        <v>1781</v>
      </c>
      <c r="Y1015" s="246" t="s">
        <v>1740</v>
      </c>
      <c r="Z1015" s="235" t="s">
        <v>175</v>
      </c>
      <c r="AA1015" s="235" t="s">
        <v>193</v>
      </c>
      <c r="AB1015" s="442" t="s">
        <v>2380</v>
      </c>
      <c r="AC1015" s="238">
        <v>200</v>
      </c>
      <c r="AD1015" s="292">
        <f t="shared" si="280"/>
        <v>2439</v>
      </c>
      <c r="AE1015" s="292">
        <f t="shared" si="280"/>
        <v>0</v>
      </c>
      <c r="AF1015" s="292">
        <f t="shared" si="280"/>
        <v>0</v>
      </c>
      <c r="AG1015" s="553"/>
      <c r="AH1015" s="553"/>
      <c r="AI1015" s="455"/>
    </row>
    <row r="1016" spans="1:35" s="344" customFormat="1" ht="31.5" x14ac:dyDescent="0.25">
      <c r="A1016" s="381"/>
      <c r="B1016" s="336"/>
      <c r="C1016" s="338"/>
      <c r="D1016" s="338"/>
      <c r="E1016" s="339"/>
      <c r="F1016" s="338"/>
      <c r="G1016" s="343"/>
      <c r="H1016" s="382"/>
      <c r="I1016" s="383"/>
      <c r="J1016" s="383"/>
      <c r="K1016" s="383"/>
      <c r="L1016" s="340"/>
      <c r="M1016" s="383"/>
      <c r="N1016" s="340"/>
      <c r="O1016" s="384"/>
      <c r="P1016" s="340"/>
      <c r="Q1016" s="342"/>
      <c r="R1016" s="362"/>
      <c r="S1016" s="362"/>
      <c r="T1016" s="362"/>
      <c r="U1016" s="362"/>
      <c r="V1016" s="362"/>
      <c r="W1016" s="382"/>
      <c r="X1016" s="514" t="s">
        <v>1273</v>
      </c>
      <c r="Y1016" s="246" t="s">
        <v>1740</v>
      </c>
      <c r="Z1016" s="235" t="s">
        <v>175</v>
      </c>
      <c r="AA1016" s="235" t="s">
        <v>193</v>
      </c>
      <c r="AB1016" s="442" t="s">
        <v>2380</v>
      </c>
      <c r="AC1016" s="238">
        <v>240</v>
      </c>
      <c r="AD1016" s="292">
        <f>439+2000</f>
        <v>2439</v>
      </c>
      <c r="AE1016" s="475">
        <v>0</v>
      </c>
      <c r="AF1016" s="475">
        <v>0</v>
      </c>
      <c r="AG1016" s="553"/>
      <c r="AH1016" s="553"/>
      <c r="AI1016" s="455"/>
    </row>
    <row r="1017" spans="1:35" x14ac:dyDescent="0.25">
      <c r="A1017" s="237"/>
      <c r="B1017" s="237"/>
      <c r="C1017" s="237"/>
      <c r="D1017" s="237"/>
      <c r="E1017" s="237"/>
      <c r="F1017" s="237"/>
      <c r="G1017" s="237"/>
      <c r="H1017" s="237"/>
      <c r="I1017" s="237"/>
      <c r="J1017" s="237"/>
      <c r="K1017" s="237"/>
      <c r="L1017" s="237"/>
      <c r="M1017" s="237"/>
      <c r="N1017" s="237"/>
      <c r="O1017" s="237"/>
      <c r="P1017" s="237"/>
      <c r="R1017" s="237"/>
      <c r="S1017" s="237"/>
      <c r="W1017" s="237"/>
      <c r="X1017" s="548" t="s">
        <v>1972</v>
      </c>
      <c r="Y1017" s="246" t="s">
        <v>1740</v>
      </c>
      <c r="Z1017" s="235" t="s">
        <v>175</v>
      </c>
      <c r="AA1017" s="235" t="s">
        <v>193</v>
      </c>
      <c r="AB1017" s="442" t="s">
        <v>1973</v>
      </c>
      <c r="AC1017" s="579"/>
      <c r="AD1017" s="292">
        <f>AD1036+AD1018</f>
        <v>96253.4</v>
      </c>
      <c r="AE1017" s="475">
        <f>AE1036+AE1018</f>
        <v>12115</v>
      </c>
      <c r="AF1017" s="475">
        <f>AF1036+AF1018</f>
        <v>17980.7</v>
      </c>
      <c r="AG1017" s="553"/>
      <c r="AH1017" s="553"/>
      <c r="AI1017" s="455"/>
    </row>
    <row r="1018" spans="1:35" x14ac:dyDescent="0.25">
      <c r="A1018" s="237"/>
      <c r="B1018" s="237"/>
      <c r="C1018" s="237"/>
      <c r="D1018" s="237"/>
      <c r="E1018" s="237"/>
      <c r="F1018" s="237"/>
      <c r="G1018" s="237"/>
      <c r="H1018" s="237"/>
      <c r="I1018" s="237"/>
      <c r="J1018" s="237"/>
      <c r="K1018" s="237"/>
      <c r="L1018" s="237"/>
      <c r="M1018" s="237"/>
      <c r="N1018" s="237"/>
      <c r="O1018" s="237"/>
      <c r="P1018" s="237"/>
      <c r="R1018" s="237"/>
      <c r="S1018" s="237"/>
      <c r="W1018" s="237"/>
      <c r="X1018" s="548" t="s">
        <v>2340</v>
      </c>
      <c r="Y1018" s="246" t="s">
        <v>1740</v>
      </c>
      <c r="Z1018" s="235" t="s">
        <v>175</v>
      </c>
      <c r="AA1018" s="235" t="s">
        <v>193</v>
      </c>
      <c r="AB1018" s="442" t="s">
        <v>2341</v>
      </c>
      <c r="AC1018" s="579"/>
      <c r="AD1018" s="292">
        <f>AD1029+AD1019</f>
        <v>72402.7</v>
      </c>
      <c r="AE1018" s="475">
        <f>AE1029+AE1019</f>
        <v>0</v>
      </c>
      <c r="AF1018" s="475">
        <f>AF1029+AF1019</f>
        <v>2500</v>
      </c>
      <c r="AG1018" s="553"/>
      <c r="AH1018" s="553"/>
      <c r="AI1018" s="455"/>
    </row>
    <row r="1019" spans="1:35" ht="29.45" customHeight="1" x14ac:dyDescent="0.25">
      <c r="A1019" s="237"/>
      <c r="B1019" s="237"/>
      <c r="C1019" s="237"/>
      <c r="D1019" s="237"/>
      <c r="E1019" s="237"/>
      <c r="F1019" s="237"/>
      <c r="G1019" s="237"/>
      <c r="H1019" s="237"/>
      <c r="I1019" s="237"/>
      <c r="J1019" s="237"/>
      <c r="K1019" s="237"/>
      <c r="L1019" s="237"/>
      <c r="M1019" s="237"/>
      <c r="N1019" s="237"/>
      <c r="O1019" s="237"/>
      <c r="P1019" s="237"/>
      <c r="R1019" s="237"/>
      <c r="S1019" s="237"/>
      <c r="W1019" s="237"/>
      <c r="X1019" s="548" t="s">
        <v>2407</v>
      </c>
      <c r="Y1019" s="246" t="s">
        <v>1740</v>
      </c>
      <c r="Z1019" s="235" t="s">
        <v>175</v>
      </c>
      <c r="AA1019" s="235" t="s">
        <v>193</v>
      </c>
      <c r="AB1019" s="442" t="s">
        <v>2408</v>
      </c>
      <c r="AC1019" s="579"/>
      <c r="AD1019" s="292">
        <f>AD1020+AD1023+AD1026</f>
        <v>11460.4</v>
      </c>
      <c r="AE1019" s="292">
        <f>AE1020+AE1023+AE1026</f>
        <v>0</v>
      </c>
      <c r="AF1019" s="292">
        <f>AF1020+AF1023+AF1026</f>
        <v>0</v>
      </c>
      <c r="AG1019" s="553"/>
      <c r="AH1019" s="553"/>
      <c r="AI1019" s="455"/>
    </row>
    <row r="1020" spans="1:35" x14ac:dyDescent="0.25">
      <c r="A1020" s="237"/>
      <c r="B1020" s="237"/>
      <c r="C1020" s="237"/>
      <c r="D1020" s="237"/>
      <c r="E1020" s="237"/>
      <c r="F1020" s="237"/>
      <c r="G1020" s="237"/>
      <c r="H1020" s="237"/>
      <c r="I1020" s="237"/>
      <c r="J1020" s="237"/>
      <c r="K1020" s="237"/>
      <c r="L1020" s="237"/>
      <c r="M1020" s="237"/>
      <c r="N1020" s="237"/>
      <c r="O1020" s="237"/>
      <c r="P1020" s="237"/>
      <c r="R1020" s="237"/>
      <c r="S1020" s="237"/>
      <c r="W1020" s="237"/>
      <c r="X1020" s="548" t="s">
        <v>2420</v>
      </c>
      <c r="Y1020" s="246" t="s">
        <v>1740</v>
      </c>
      <c r="Z1020" s="235" t="s">
        <v>175</v>
      </c>
      <c r="AA1020" s="235" t="s">
        <v>193</v>
      </c>
      <c r="AB1020" s="442" t="s">
        <v>2419</v>
      </c>
      <c r="AC1020" s="579"/>
      <c r="AD1020" s="292">
        <f t="shared" ref="AD1020:AF1021" si="281">AD1021</f>
        <v>5009.2</v>
      </c>
      <c r="AE1020" s="475">
        <f t="shared" si="281"/>
        <v>0</v>
      </c>
      <c r="AF1020" s="475">
        <f t="shared" si="281"/>
        <v>0</v>
      </c>
      <c r="AG1020" s="553"/>
      <c r="AH1020" s="553"/>
      <c r="AI1020" s="455"/>
    </row>
    <row r="1021" spans="1:35" x14ac:dyDescent="0.25">
      <c r="A1021" s="237"/>
      <c r="B1021" s="237"/>
      <c r="C1021" s="237"/>
      <c r="D1021" s="237"/>
      <c r="E1021" s="237"/>
      <c r="F1021" s="237"/>
      <c r="G1021" s="237"/>
      <c r="H1021" s="237"/>
      <c r="I1021" s="237"/>
      <c r="J1021" s="237"/>
      <c r="K1021" s="237"/>
      <c r="L1021" s="237"/>
      <c r="M1021" s="237"/>
      <c r="N1021" s="237"/>
      <c r="O1021" s="237"/>
      <c r="P1021" s="237"/>
      <c r="R1021" s="237"/>
      <c r="S1021" s="237"/>
      <c r="W1021" s="237"/>
      <c r="X1021" s="519" t="s">
        <v>1781</v>
      </c>
      <c r="Y1021" s="246" t="s">
        <v>1740</v>
      </c>
      <c r="Z1021" s="235" t="s">
        <v>175</v>
      </c>
      <c r="AA1021" s="235" t="s">
        <v>193</v>
      </c>
      <c r="AB1021" s="442" t="s">
        <v>2419</v>
      </c>
      <c r="AC1021" s="579" t="s">
        <v>821</v>
      </c>
      <c r="AD1021" s="292">
        <f t="shared" si="281"/>
        <v>5009.2</v>
      </c>
      <c r="AE1021" s="475">
        <f t="shared" si="281"/>
        <v>0</v>
      </c>
      <c r="AF1021" s="475">
        <f t="shared" si="281"/>
        <v>0</v>
      </c>
      <c r="AG1021" s="553"/>
      <c r="AH1021" s="553"/>
      <c r="AI1021" s="455"/>
    </row>
    <row r="1022" spans="1:35" ht="31.5" x14ac:dyDescent="0.25">
      <c r="A1022" s="237"/>
      <c r="B1022" s="237"/>
      <c r="C1022" s="237"/>
      <c r="D1022" s="237"/>
      <c r="E1022" s="237"/>
      <c r="F1022" s="237"/>
      <c r="G1022" s="237"/>
      <c r="H1022" s="237"/>
      <c r="I1022" s="237"/>
      <c r="J1022" s="237"/>
      <c r="K1022" s="237"/>
      <c r="L1022" s="237"/>
      <c r="M1022" s="237"/>
      <c r="N1022" s="237"/>
      <c r="O1022" s="237"/>
      <c r="P1022" s="237"/>
      <c r="R1022" s="237"/>
      <c r="S1022" s="237"/>
      <c r="W1022" s="237"/>
      <c r="X1022" s="519" t="s">
        <v>1273</v>
      </c>
      <c r="Y1022" s="246" t="s">
        <v>1740</v>
      </c>
      <c r="Z1022" s="235" t="s">
        <v>175</v>
      </c>
      <c r="AA1022" s="235" t="s">
        <v>193</v>
      </c>
      <c r="AB1022" s="442" t="s">
        <v>2419</v>
      </c>
      <c r="AC1022" s="579" t="s">
        <v>1479</v>
      </c>
      <c r="AD1022" s="292">
        <f>2071.7+1500+356+971.5+110</f>
        <v>5009.2</v>
      </c>
      <c r="AE1022" s="475">
        <v>0</v>
      </c>
      <c r="AF1022" s="475">
        <v>0</v>
      </c>
      <c r="AG1022" s="553"/>
      <c r="AH1022" s="553"/>
      <c r="AI1022" s="455"/>
    </row>
    <row r="1023" spans="1:35" ht="31.5" x14ac:dyDescent="0.25">
      <c r="A1023" s="237"/>
      <c r="B1023" s="237"/>
      <c r="C1023" s="237"/>
      <c r="D1023" s="237"/>
      <c r="E1023" s="237"/>
      <c r="F1023" s="237"/>
      <c r="G1023" s="237"/>
      <c r="H1023" s="237"/>
      <c r="I1023" s="237"/>
      <c r="J1023" s="237"/>
      <c r="K1023" s="237"/>
      <c r="L1023" s="237"/>
      <c r="M1023" s="237"/>
      <c r="N1023" s="237"/>
      <c r="O1023" s="237"/>
      <c r="P1023" s="237"/>
      <c r="R1023" s="237"/>
      <c r="S1023" s="237"/>
      <c r="W1023" s="237"/>
      <c r="X1023" s="548" t="s">
        <v>2424</v>
      </c>
      <c r="Y1023" s="246" t="s">
        <v>1740</v>
      </c>
      <c r="Z1023" s="235" t="s">
        <v>175</v>
      </c>
      <c r="AA1023" s="235" t="s">
        <v>193</v>
      </c>
      <c r="AB1023" s="442" t="s">
        <v>2425</v>
      </c>
      <c r="AC1023" s="579"/>
      <c r="AD1023" s="292">
        <f>AD1024</f>
        <v>6365.7999999999993</v>
      </c>
      <c r="AE1023" s="475">
        <f t="shared" ref="AE1023:AF1024" si="282">AE1024</f>
        <v>0</v>
      </c>
      <c r="AF1023" s="475">
        <f t="shared" si="282"/>
        <v>0</v>
      </c>
      <c r="AG1023" s="553"/>
      <c r="AH1023" s="553"/>
      <c r="AI1023" s="455"/>
    </row>
    <row r="1024" spans="1:35" x14ac:dyDescent="0.25">
      <c r="A1024" s="237"/>
      <c r="B1024" s="237"/>
      <c r="C1024" s="237"/>
      <c r="D1024" s="237"/>
      <c r="E1024" s="237"/>
      <c r="F1024" s="237"/>
      <c r="G1024" s="237"/>
      <c r="H1024" s="237"/>
      <c r="I1024" s="237"/>
      <c r="J1024" s="237"/>
      <c r="K1024" s="237"/>
      <c r="L1024" s="237"/>
      <c r="M1024" s="237"/>
      <c r="N1024" s="237"/>
      <c r="O1024" s="237"/>
      <c r="P1024" s="237"/>
      <c r="R1024" s="237"/>
      <c r="S1024" s="237"/>
      <c r="W1024" s="237"/>
      <c r="X1024" s="519" t="s">
        <v>1781</v>
      </c>
      <c r="Y1024" s="246" t="s">
        <v>1740</v>
      </c>
      <c r="Z1024" s="235" t="s">
        <v>175</v>
      </c>
      <c r="AA1024" s="235" t="s">
        <v>193</v>
      </c>
      <c r="AB1024" s="442" t="s">
        <v>2425</v>
      </c>
      <c r="AC1024" s="579" t="s">
        <v>821</v>
      </c>
      <c r="AD1024" s="292">
        <f>AD1025</f>
        <v>6365.7999999999993</v>
      </c>
      <c r="AE1024" s="475">
        <f t="shared" si="282"/>
        <v>0</v>
      </c>
      <c r="AF1024" s="475">
        <f t="shared" si="282"/>
        <v>0</v>
      </c>
      <c r="AG1024" s="553"/>
      <c r="AH1024" s="553"/>
      <c r="AI1024" s="455"/>
    </row>
    <row r="1025" spans="1:35" ht="31.5" x14ac:dyDescent="0.25">
      <c r="A1025" s="237"/>
      <c r="B1025" s="237"/>
      <c r="C1025" s="237"/>
      <c r="D1025" s="237"/>
      <c r="E1025" s="237"/>
      <c r="F1025" s="237"/>
      <c r="G1025" s="237"/>
      <c r="H1025" s="237"/>
      <c r="I1025" s="237"/>
      <c r="J1025" s="237"/>
      <c r="K1025" s="237"/>
      <c r="L1025" s="237"/>
      <c r="M1025" s="237"/>
      <c r="N1025" s="237"/>
      <c r="O1025" s="237"/>
      <c r="P1025" s="237"/>
      <c r="R1025" s="237"/>
      <c r="S1025" s="237"/>
      <c r="W1025" s="237"/>
      <c r="X1025" s="519" t="s">
        <v>1273</v>
      </c>
      <c r="Y1025" s="246" t="s">
        <v>1740</v>
      </c>
      <c r="Z1025" s="235" t="s">
        <v>175</v>
      </c>
      <c r="AA1025" s="235" t="s">
        <v>193</v>
      </c>
      <c r="AB1025" s="442" t="s">
        <v>2425</v>
      </c>
      <c r="AC1025" s="579" t="s">
        <v>1479</v>
      </c>
      <c r="AD1025" s="292">
        <f>14500-4158.6-2654.8-1320.8</f>
        <v>6365.7999999999993</v>
      </c>
      <c r="AE1025" s="475">
        <v>0</v>
      </c>
      <c r="AF1025" s="475">
        <v>0</v>
      </c>
      <c r="AG1025" s="553"/>
      <c r="AH1025" s="553"/>
      <c r="AI1025" s="455"/>
    </row>
    <row r="1026" spans="1:35" ht="31.5" x14ac:dyDescent="0.25">
      <c r="A1026" s="237"/>
      <c r="B1026" s="237"/>
      <c r="C1026" s="237"/>
      <c r="D1026" s="237"/>
      <c r="E1026" s="237"/>
      <c r="F1026" s="237"/>
      <c r="G1026" s="237"/>
      <c r="H1026" s="237"/>
      <c r="I1026" s="237"/>
      <c r="J1026" s="237"/>
      <c r="K1026" s="237"/>
      <c r="L1026" s="237"/>
      <c r="M1026" s="237"/>
      <c r="N1026" s="237"/>
      <c r="O1026" s="237"/>
      <c r="P1026" s="237"/>
      <c r="R1026" s="237"/>
      <c r="S1026" s="237"/>
      <c r="W1026" s="237"/>
      <c r="X1026" s="519" t="s">
        <v>2441</v>
      </c>
      <c r="Y1026" s="246" t="s">
        <v>1740</v>
      </c>
      <c r="Z1026" s="235" t="s">
        <v>175</v>
      </c>
      <c r="AA1026" s="235" t="s">
        <v>193</v>
      </c>
      <c r="AB1026" s="442" t="s">
        <v>2440</v>
      </c>
      <c r="AC1026" s="579"/>
      <c r="AD1026" s="292">
        <f>AD1027</f>
        <v>85.4</v>
      </c>
      <c r="AE1026" s="292">
        <f t="shared" ref="AE1026:AF1026" si="283">AE1027</f>
        <v>0</v>
      </c>
      <c r="AF1026" s="292">
        <f t="shared" si="283"/>
        <v>0</v>
      </c>
      <c r="AG1026" s="553"/>
      <c r="AH1026" s="553"/>
      <c r="AI1026" s="455"/>
    </row>
    <row r="1027" spans="1:35" x14ac:dyDescent="0.25">
      <c r="A1027" s="237"/>
      <c r="B1027" s="237"/>
      <c r="C1027" s="237"/>
      <c r="D1027" s="237"/>
      <c r="E1027" s="237"/>
      <c r="F1027" s="237"/>
      <c r="G1027" s="237"/>
      <c r="H1027" s="237"/>
      <c r="I1027" s="237"/>
      <c r="J1027" s="237"/>
      <c r="K1027" s="237"/>
      <c r="L1027" s="237"/>
      <c r="M1027" s="237"/>
      <c r="N1027" s="237"/>
      <c r="O1027" s="237"/>
      <c r="P1027" s="237"/>
      <c r="R1027" s="237"/>
      <c r="S1027" s="237"/>
      <c r="W1027" s="237"/>
      <c r="X1027" s="519" t="s">
        <v>1781</v>
      </c>
      <c r="Y1027" s="246" t="s">
        <v>1740</v>
      </c>
      <c r="Z1027" s="235" t="s">
        <v>175</v>
      </c>
      <c r="AA1027" s="235" t="s">
        <v>193</v>
      </c>
      <c r="AB1027" s="442" t="s">
        <v>2440</v>
      </c>
      <c r="AC1027" s="579" t="s">
        <v>821</v>
      </c>
      <c r="AD1027" s="292">
        <f>AD1028</f>
        <v>85.4</v>
      </c>
      <c r="AE1027" s="292">
        <f t="shared" ref="AE1027:AF1027" si="284">AE1028</f>
        <v>0</v>
      </c>
      <c r="AF1027" s="292">
        <f t="shared" si="284"/>
        <v>0</v>
      </c>
      <c r="AG1027" s="553"/>
      <c r="AH1027" s="553"/>
      <c r="AI1027" s="455"/>
    </row>
    <row r="1028" spans="1:35" ht="31.5" x14ac:dyDescent="0.25">
      <c r="A1028" s="237"/>
      <c r="B1028" s="237"/>
      <c r="C1028" s="237"/>
      <c r="D1028" s="237"/>
      <c r="E1028" s="237"/>
      <c r="F1028" s="237"/>
      <c r="G1028" s="237"/>
      <c r="H1028" s="237"/>
      <c r="I1028" s="237"/>
      <c r="J1028" s="237"/>
      <c r="K1028" s="237"/>
      <c r="L1028" s="237"/>
      <c r="M1028" s="237"/>
      <c r="N1028" s="237"/>
      <c r="O1028" s="237"/>
      <c r="P1028" s="237"/>
      <c r="R1028" s="237"/>
      <c r="S1028" s="237"/>
      <c r="W1028" s="237"/>
      <c r="X1028" s="519" t="s">
        <v>1273</v>
      </c>
      <c r="Y1028" s="246" t="s">
        <v>1740</v>
      </c>
      <c r="Z1028" s="235" t="s">
        <v>175</v>
      </c>
      <c r="AA1028" s="235" t="s">
        <v>193</v>
      </c>
      <c r="AB1028" s="442" t="s">
        <v>2440</v>
      </c>
      <c r="AC1028" s="579" t="s">
        <v>1479</v>
      </c>
      <c r="AD1028" s="292">
        <f>70+15.4</f>
        <v>85.4</v>
      </c>
      <c r="AE1028" s="292">
        <v>0</v>
      </c>
      <c r="AF1028" s="292">
        <v>0</v>
      </c>
      <c r="AG1028" s="553"/>
      <c r="AH1028" s="553"/>
      <c r="AI1028" s="455"/>
    </row>
    <row r="1029" spans="1:35" x14ac:dyDescent="0.25">
      <c r="A1029" s="237"/>
      <c r="B1029" s="237"/>
      <c r="C1029" s="237"/>
      <c r="D1029" s="237"/>
      <c r="E1029" s="237"/>
      <c r="F1029" s="237"/>
      <c r="G1029" s="237"/>
      <c r="H1029" s="237"/>
      <c r="I1029" s="237"/>
      <c r="J1029" s="237"/>
      <c r="K1029" s="237"/>
      <c r="L1029" s="237"/>
      <c r="M1029" s="237"/>
      <c r="N1029" s="237"/>
      <c r="O1029" s="237"/>
      <c r="P1029" s="237"/>
      <c r="R1029" s="237"/>
      <c r="S1029" s="237"/>
      <c r="W1029" s="237"/>
      <c r="X1029" s="529" t="s">
        <v>2342</v>
      </c>
      <c r="Y1029" s="246" t="s">
        <v>1740</v>
      </c>
      <c r="Z1029" s="235" t="s">
        <v>175</v>
      </c>
      <c r="AA1029" s="235" t="s">
        <v>193</v>
      </c>
      <c r="AB1029" s="442" t="s">
        <v>2345</v>
      </c>
      <c r="AC1029" s="579"/>
      <c r="AD1029" s="292">
        <f>AD1030+AD1033</f>
        <v>60942.3</v>
      </c>
      <c r="AE1029" s="475">
        <f>AE1030+AE1033</f>
        <v>0</v>
      </c>
      <c r="AF1029" s="475">
        <f>AF1030+AF1033</f>
        <v>2500</v>
      </c>
      <c r="AG1029" s="553"/>
      <c r="AH1029" s="553"/>
      <c r="AI1029" s="455"/>
    </row>
    <row r="1030" spans="1:35" ht="31.5" x14ac:dyDescent="0.25">
      <c r="A1030" s="237"/>
      <c r="B1030" s="237"/>
      <c r="C1030" s="237"/>
      <c r="D1030" s="237"/>
      <c r="E1030" s="237"/>
      <c r="F1030" s="237"/>
      <c r="G1030" s="237"/>
      <c r="H1030" s="237"/>
      <c r="I1030" s="237"/>
      <c r="J1030" s="237"/>
      <c r="K1030" s="237"/>
      <c r="L1030" s="237"/>
      <c r="M1030" s="237"/>
      <c r="N1030" s="237"/>
      <c r="O1030" s="237"/>
      <c r="P1030" s="237"/>
      <c r="R1030" s="237"/>
      <c r="S1030" s="237"/>
      <c r="W1030" s="237"/>
      <c r="X1030" s="519" t="s">
        <v>2343</v>
      </c>
      <c r="Y1030" s="246" t="s">
        <v>1740</v>
      </c>
      <c r="Z1030" s="235" t="s">
        <v>175</v>
      </c>
      <c r="AA1030" s="235" t="s">
        <v>193</v>
      </c>
      <c r="AB1030" s="442" t="s">
        <v>2344</v>
      </c>
      <c r="AC1030" s="238"/>
      <c r="AD1030" s="292">
        <f t="shared" ref="AD1030:AF1031" si="285">AD1031</f>
        <v>5500</v>
      </c>
      <c r="AE1030" s="475">
        <f t="shared" si="285"/>
        <v>0</v>
      </c>
      <c r="AF1030" s="475">
        <f t="shared" si="285"/>
        <v>0</v>
      </c>
      <c r="AG1030" s="553"/>
      <c r="AH1030" s="553"/>
      <c r="AI1030" s="455"/>
    </row>
    <row r="1031" spans="1:35" x14ac:dyDescent="0.25">
      <c r="A1031" s="237"/>
      <c r="B1031" s="237"/>
      <c r="C1031" s="237"/>
      <c r="D1031" s="237"/>
      <c r="E1031" s="237"/>
      <c r="F1031" s="237"/>
      <c r="G1031" s="237"/>
      <c r="H1031" s="237"/>
      <c r="I1031" s="237"/>
      <c r="J1031" s="237"/>
      <c r="K1031" s="237"/>
      <c r="L1031" s="237"/>
      <c r="M1031" s="237"/>
      <c r="N1031" s="237"/>
      <c r="O1031" s="237"/>
      <c r="P1031" s="237"/>
      <c r="R1031" s="237"/>
      <c r="S1031" s="237"/>
      <c r="W1031" s="237"/>
      <c r="X1031" s="519" t="s">
        <v>1781</v>
      </c>
      <c r="Y1031" s="246" t="s">
        <v>1740</v>
      </c>
      <c r="Z1031" s="235" t="s">
        <v>175</v>
      </c>
      <c r="AA1031" s="235" t="s">
        <v>193</v>
      </c>
      <c r="AB1031" s="442" t="s">
        <v>2344</v>
      </c>
      <c r="AC1031" s="579" t="s">
        <v>821</v>
      </c>
      <c r="AD1031" s="292">
        <f t="shared" si="285"/>
        <v>5500</v>
      </c>
      <c r="AE1031" s="475">
        <f t="shared" si="285"/>
        <v>0</v>
      </c>
      <c r="AF1031" s="475">
        <f t="shared" si="285"/>
        <v>0</v>
      </c>
      <c r="AG1031" s="553"/>
      <c r="AH1031" s="553"/>
      <c r="AI1031" s="455"/>
    </row>
    <row r="1032" spans="1:35" ht="31.5" x14ac:dyDescent="0.25">
      <c r="A1032" s="237"/>
      <c r="B1032" s="237"/>
      <c r="C1032" s="237"/>
      <c r="D1032" s="237"/>
      <c r="E1032" s="237"/>
      <c r="F1032" s="237"/>
      <c r="G1032" s="237"/>
      <c r="H1032" s="237"/>
      <c r="I1032" s="237"/>
      <c r="J1032" s="237"/>
      <c r="K1032" s="237"/>
      <c r="L1032" s="237"/>
      <c r="M1032" s="237"/>
      <c r="N1032" s="237"/>
      <c r="O1032" s="237"/>
      <c r="P1032" s="237"/>
      <c r="R1032" s="237"/>
      <c r="S1032" s="237"/>
      <c r="W1032" s="237"/>
      <c r="X1032" s="519" t="s">
        <v>1273</v>
      </c>
      <c r="Y1032" s="246" t="s">
        <v>1740</v>
      </c>
      <c r="Z1032" s="235" t="s">
        <v>175</v>
      </c>
      <c r="AA1032" s="235" t="s">
        <v>193</v>
      </c>
      <c r="AB1032" s="442" t="s">
        <v>2344</v>
      </c>
      <c r="AC1032" s="579" t="s">
        <v>1479</v>
      </c>
      <c r="AD1032" s="292">
        <f>5500+55.6-55-0.6</f>
        <v>5500</v>
      </c>
      <c r="AE1032" s="475">
        <v>0</v>
      </c>
      <c r="AF1032" s="475">
        <v>0</v>
      </c>
      <c r="AG1032" s="553"/>
      <c r="AH1032" s="553"/>
      <c r="AI1032" s="455"/>
    </row>
    <row r="1033" spans="1:35" ht="31.15" customHeight="1" x14ac:dyDescent="0.25">
      <c r="A1033" s="237"/>
      <c r="B1033" s="237"/>
      <c r="C1033" s="237"/>
      <c r="D1033" s="237"/>
      <c r="E1033" s="237"/>
      <c r="F1033" s="237"/>
      <c r="G1033" s="237"/>
      <c r="H1033" s="237"/>
      <c r="I1033" s="237"/>
      <c r="J1033" s="237"/>
      <c r="K1033" s="237"/>
      <c r="L1033" s="237"/>
      <c r="M1033" s="237"/>
      <c r="N1033" s="237"/>
      <c r="O1033" s="237"/>
      <c r="P1033" s="237"/>
      <c r="R1033" s="237"/>
      <c r="S1033" s="237"/>
      <c r="W1033" s="237"/>
      <c r="X1033" s="529" t="s">
        <v>2430</v>
      </c>
      <c r="Y1033" s="246" t="s">
        <v>1740</v>
      </c>
      <c r="Z1033" s="235" t="s">
        <v>175</v>
      </c>
      <c r="AA1033" s="235" t="s">
        <v>193</v>
      </c>
      <c r="AB1033" s="442" t="s">
        <v>2346</v>
      </c>
      <c r="AC1033" s="579"/>
      <c r="AD1033" s="292">
        <f t="shared" ref="AD1033:AF1034" si="286">AD1034</f>
        <v>55442.3</v>
      </c>
      <c r="AE1033" s="475">
        <f t="shared" si="286"/>
        <v>0</v>
      </c>
      <c r="AF1033" s="475">
        <f t="shared" si="286"/>
        <v>2500</v>
      </c>
      <c r="AG1033" s="553"/>
      <c r="AH1033" s="553"/>
      <c r="AI1033" s="455"/>
    </row>
    <row r="1034" spans="1:35" x14ac:dyDescent="0.25">
      <c r="A1034" s="237"/>
      <c r="B1034" s="237"/>
      <c r="C1034" s="237"/>
      <c r="D1034" s="237"/>
      <c r="E1034" s="237"/>
      <c r="F1034" s="237"/>
      <c r="G1034" s="237"/>
      <c r="H1034" s="237"/>
      <c r="I1034" s="237"/>
      <c r="J1034" s="237"/>
      <c r="K1034" s="237"/>
      <c r="L1034" s="237"/>
      <c r="M1034" s="237"/>
      <c r="N1034" s="237"/>
      <c r="O1034" s="237"/>
      <c r="P1034" s="237"/>
      <c r="R1034" s="237"/>
      <c r="S1034" s="237"/>
      <c r="W1034" s="237"/>
      <c r="X1034" s="519" t="s">
        <v>1781</v>
      </c>
      <c r="Y1034" s="246" t="s">
        <v>1740</v>
      </c>
      <c r="Z1034" s="235" t="s">
        <v>175</v>
      </c>
      <c r="AA1034" s="235" t="s">
        <v>193</v>
      </c>
      <c r="AB1034" s="442" t="s">
        <v>2346</v>
      </c>
      <c r="AC1034" s="579" t="s">
        <v>821</v>
      </c>
      <c r="AD1034" s="292">
        <f t="shared" si="286"/>
        <v>55442.3</v>
      </c>
      <c r="AE1034" s="475">
        <f t="shared" si="286"/>
        <v>0</v>
      </c>
      <c r="AF1034" s="475">
        <f t="shared" si="286"/>
        <v>2500</v>
      </c>
      <c r="AG1034" s="553"/>
      <c r="AH1034" s="553"/>
      <c r="AI1034" s="455"/>
    </row>
    <row r="1035" spans="1:35" ht="31.5" x14ac:dyDescent="0.25">
      <c r="A1035" s="237"/>
      <c r="B1035" s="237"/>
      <c r="C1035" s="237"/>
      <c r="D1035" s="237"/>
      <c r="E1035" s="237"/>
      <c r="F1035" s="237"/>
      <c r="G1035" s="237"/>
      <c r="H1035" s="237"/>
      <c r="I1035" s="237"/>
      <c r="J1035" s="237"/>
      <c r="K1035" s="237"/>
      <c r="L1035" s="237"/>
      <c r="M1035" s="237"/>
      <c r="N1035" s="237"/>
      <c r="O1035" s="237"/>
      <c r="P1035" s="237"/>
      <c r="R1035" s="237"/>
      <c r="S1035" s="237"/>
      <c r="W1035" s="237"/>
      <c r="X1035" s="519" t="s">
        <v>1273</v>
      </c>
      <c r="Y1035" s="246" t="s">
        <v>1740</v>
      </c>
      <c r="Z1035" s="235" t="s">
        <v>175</v>
      </c>
      <c r="AA1035" s="235" t="s">
        <v>193</v>
      </c>
      <c r="AB1035" s="442" t="s">
        <v>2346</v>
      </c>
      <c r="AC1035" s="579" t="s">
        <v>1479</v>
      </c>
      <c r="AD1035" s="292">
        <f>46028.8+10103.9-690.4</f>
        <v>55442.3</v>
      </c>
      <c r="AE1035" s="475">
        <v>0</v>
      </c>
      <c r="AF1035" s="475">
        <f>2050+450</f>
        <v>2500</v>
      </c>
      <c r="AG1035" s="553"/>
      <c r="AH1035" s="553"/>
      <c r="AI1035" s="455"/>
    </row>
    <row r="1036" spans="1:35" x14ac:dyDescent="0.25">
      <c r="A1036" s="237"/>
      <c r="B1036" s="237"/>
      <c r="C1036" s="237"/>
      <c r="D1036" s="237"/>
      <c r="E1036" s="237"/>
      <c r="F1036" s="237"/>
      <c r="G1036" s="237"/>
      <c r="H1036" s="237"/>
      <c r="I1036" s="237"/>
      <c r="J1036" s="237"/>
      <c r="K1036" s="237"/>
      <c r="L1036" s="237"/>
      <c r="M1036" s="237"/>
      <c r="N1036" s="237"/>
      <c r="O1036" s="237"/>
      <c r="P1036" s="237"/>
      <c r="R1036" s="237"/>
      <c r="S1036" s="237"/>
      <c r="W1036" s="237"/>
      <c r="X1036" s="548" t="s">
        <v>1974</v>
      </c>
      <c r="Y1036" s="246" t="s">
        <v>1740</v>
      </c>
      <c r="Z1036" s="235" t="s">
        <v>175</v>
      </c>
      <c r="AA1036" s="235" t="s">
        <v>193</v>
      </c>
      <c r="AB1036" s="442" t="s">
        <v>1975</v>
      </c>
      <c r="AC1036" s="579"/>
      <c r="AD1036" s="292">
        <f t="shared" ref="AD1036:AF1039" si="287">AD1037</f>
        <v>23850.699999999997</v>
      </c>
      <c r="AE1036" s="475">
        <f t="shared" si="287"/>
        <v>12115</v>
      </c>
      <c r="AF1036" s="475">
        <f t="shared" si="287"/>
        <v>15480.7</v>
      </c>
      <c r="AG1036" s="553"/>
      <c r="AH1036" s="553"/>
      <c r="AI1036" s="455"/>
    </row>
    <row r="1037" spans="1:35" ht="31.5" x14ac:dyDescent="0.25">
      <c r="A1037" s="237"/>
      <c r="B1037" s="237"/>
      <c r="C1037" s="237"/>
      <c r="D1037" s="237"/>
      <c r="E1037" s="237"/>
      <c r="F1037" s="237"/>
      <c r="G1037" s="237"/>
      <c r="H1037" s="237"/>
      <c r="I1037" s="237"/>
      <c r="J1037" s="237"/>
      <c r="K1037" s="237"/>
      <c r="L1037" s="237"/>
      <c r="M1037" s="237"/>
      <c r="N1037" s="237"/>
      <c r="O1037" s="237"/>
      <c r="P1037" s="237"/>
      <c r="R1037" s="237"/>
      <c r="S1037" s="237"/>
      <c r="W1037" s="237"/>
      <c r="X1037" s="529" t="s">
        <v>2236</v>
      </c>
      <c r="Y1037" s="246" t="s">
        <v>1740</v>
      </c>
      <c r="Z1037" s="235" t="s">
        <v>175</v>
      </c>
      <c r="AA1037" s="235" t="s">
        <v>193</v>
      </c>
      <c r="AB1037" s="442" t="s">
        <v>1976</v>
      </c>
      <c r="AC1037" s="238"/>
      <c r="AD1037" s="292">
        <f t="shared" si="287"/>
        <v>23850.699999999997</v>
      </c>
      <c r="AE1037" s="475">
        <f t="shared" si="287"/>
        <v>12115</v>
      </c>
      <c r="AF1037" s="475">
        <f t="shared" si="287"/>
        <v>15480.7</v>
      </c>
      <c r="AG1037" s="553"/>
      <c r="AH1037" s="553"/>
      <c r="AI1037" s="455"/>
    </row>
    <row r="1038" spans="1:35" x14ac:dyDescent="0.25">
      <c r="A1038" s="237"/>
      <c r="B1038" s="237"/>
      <c r="C1038" s="237"/>
      <c r="D1038" s="237"/>
      <c r="E1038" s="237"/>
      <c r="F1038" s="237"/>
      <c r="G1038" s="237"/>
      <c r="H1038" s="237"/>
      <c r="I1038" s="237"/>
      <c r="J1038" s="237"/>
      <c r="K1038" s="237"/>
      <c r="L1038" s="237"/>
      <c r="M1038" s="237"/>
      <c r="N1038" s="237"/>
      <c r="O1038" s="237"/>
      <c r="P1038" s="237"/>
      <c r="R1038" s="237"/>
      <c r="S1038" s="237"/>
      <c r="W1038" s="237"/>
      <c r="X1038" s="529" t="s">
        <v>1977</v>
      </c>
      <c r="Y1038" s="246" t="s">
        <v>1740</v>
      </c>
      <c r="Z1038" s="235" t="s">
        <v>175</v>
      </c>
      <c r="AA1038" s="235" t="s">
        <v>193</v>
      </c>
      <c r="AB1038" s="442" t="s">
        <v>1978</v>
      </c>
      <c r="AC1038" s="238"/>
      <c r="AD1038" s="292">
        <f>AD1039+AD1041</f>
        <v>23850.699999999997</v>
      </c>
      <c r="AE1038" s="292">
        <f t="shared" ref="AE1038:AF1038" si="288">AE1039+AE1041</f>
        <v>12115</v>
      </c>
      <c r="AF1038" s="292">
        <f t="shared" si="288"/>
        <v>15480.7</v>
      </c>
      <c r="AG1038" s="553"/>
      <c r="AH1038" s="553"/>
      <c r="AI1038" s="455"/>
    </row>
    <row r="1039" spans="1:35" x14ac:dyDescent="0.25">
      <c r="A1039" s="237"/>
      <c r="B1039" s="237"/>
      <c r="C1039" s="237"/>
      <c r="D1039" s="237"/>
      <c r="E1039" s="237"/>
      <c r="F1039" s="237"/>
      <c r="G1039" s="237"/>
      <c r="H1039" s="237"/>
      <c r="I1039" s="237"/>
      <c r="J1039" s="237"/>
      <c r="K1039" s="237"/>
      <c r="L1039" s="237"/>
      <c r="M1039" s="237"/>
      <c r="N1039" s="237"/>
      <c r="O1039" s="237"/>
      <c r="P1039" s="237"/>
      <c r="R1039" s="237"/>
      <c r="S1039" s="237"/>
      <c r="W1039" s="237"/>
      <c r="X1039" s="519" t="s">
        <v>1781</v>
      </c>
      <c r="Y1039" s="246" t="s">
        <v>1740</v>
      </c>
      <c r="Z1039" s="235" t="s">
        <v>175</v>
      </c>
      <c r="AA1039" s="235" t="s">
        <v>193</v>
      </c>
      <c r="AB1039" s="442" t="s">
        <v>1978</v>
      </c>
      <c r="AC1039" s="576">
        <v>200</v>
      </c>
      <c r="AD1039" s="292">
        <f t="shared" si="287"/>
        <v>23828.6</v>
      </c>
      <c r="AE1039" s="475">
        <f t="shared" si="287"/>
        <v>12115</v>
      </c>
      <c r="AF1039" s="475">
        <f t="shared" si="287"/>
        <v>15480.7</v>
      </c>
      <c r="AG1039" s="553"/>
      <c r="AH1039" s="553"/>
      <c r="AI1039" s="455"/>
    </row>
    <row r="1040" spans="1:35" ht="31.5" x14ac:dyDescent="0.25">
      <c r="A1040" s="237"/>
      <c r="B1040" s="237"/>
      <c r="C1040" s="237"/>
      <c r="D1040" s="237"/>
      <c r="E1040" s="237"/>
      <c r="F1040" s="237"/>
      <c r="G1040" s="237"/>
      <c r="H1040" s="237"/>
      <c r="I1040" s="237"/>
      <c r="J1040" s="237"/>
      <c r="K1040" s="237"/>
      <c r="L1040" s="237"/>
      <c r="M1040" s="237"/>
      <c r="N1040" s="237"/>
      <c r="O1040" s="237"/>
      <c r="P1040" s="237"/>
      <c r="R1040" s="237"/>
      <c r="S1040" s="237"/>
      <c r="W1040" s="237"/>
      <c r="X1040" s="519" t="s">
        <v>1273</v>
      </c>
      <c r="Y1040" s="246" t="s">
        <v>1740</v>
      </c>
      <c r="Z1040" s="235" t="s">
        <v>175</v>
      </c>
      <c r="AA1040" s="235" t="s">
        <v>193</v>
      </c>
      <c r="AB1040" s="442" t="s">
        <v>1978</v>
      </c>
      <c r="AC1040" s="238">
        <v>240</v>
      </c>
      <c r="AD1040" s="292">
        <f>3000+2274.7+11000+4023+296+1958.6+400+350-566.2-578.2-105.2+566.2+578.2-15.4-40+310+101.9+275</f>
        <v>23828.6</v>
      </c>
      <c r="AE1040" s="475">
        <f>3000+2274.7+8523-1682.7</f>
        <v>12115</v>
      </c>
      <c r="AF1040" s="475">
        <f>3000+2274.7+8523+1683</f>
        <v>15480.7</v>
      </c>
      <c r="AG1040" s="553"/>
      <c r="AH1040" s="553"/>
      <c r="AI1040" s="455"/>
    </row>
    <row r="1041" spans="1:35" x14ac:dyDescent="0.25">
      <c r="A1041" s="237"/>
      <c r="B1041" s="237"/>
      <c r="C1041" s="237"/>
      <c r="D1041" s="237"/>
      <c r="E1041" s="237"/>
      <c r="F1041" s="237"/>
      <c r="G1041" s="237"/>
      <c r="H1041" s="237"/>
      <c r="I1041" s="237"/>
      <c r="J1041" s="237"/>
      <c r="K1041" s="237"/>
      <c r="L1041" s="237"/>
      <c r="M1041" s="237"/>
      <c r="N1041" s="237"/>
      <c r="O1041" s="237"/>
      <c r="P1041" s="237"/>
      <c r="R1041" s="237"/>
      <c r="S1041" s="237"/>
      <c r="W1041" s="237"/>
      <c r="X1041" s="519" t="s">
        <v>923</v>
      </c>
      <c r="Y1041" s="246" t="s">
        <v>1740</v>
      </c>
      <c r="Z1041" s="235" t="s">
        <v>175</v>
      </c>
      <c r="AA1041" s="235" t="s">
        <v>193</v>
      </c>
      <c r="AB1041" s="442" t="s">
        <v>1978</v>
      </c>
      <c r="AC1041" s="238">
        <v>800</v>
      </c>
      <c r="AD1041" s="292">
        <f>AD1042</f>
        <v>22.099999999999994</v>
      </c>
      <c r="AE1041" s="292">
        <f t="shared" ref="AE1041:AF1041" si="289">AE1042</f>
        <v>0</v>
      </c>
      <c r="AF1041" s="292">
        <f t="shared" si="289"/>
        <v>0</v>
      </c>
      <c r="AG1041" s="553"/>
      <c r="AH1041" s="553"/>
      <c r="AI1041" s="455"/>
    </row>
    <row r="1042" spans="1:35" x14ac:dyDescent="0.25">
      <c r="A1042" s="237"/>
      <c r="B1042" s="237"/>
      <c r="C1042" s="237"/>
      <c r="D1042" s="237"/>
      <c r="E1042" s="237"/>
      <c r="F1042" s="237"/>
      <c r="G1042" s="237"/>
      <c r="H1042" s="237"/>
      <c r="I1042" s="237"/>
      <c r="J1042" s="237"/>
      <c r="K1042" s="237"/>
      <c r="L1042" s="237"/>
      <c r="M1042" s="237"/>
      <c r="N1042" s="237"/>
      <c r="O1042" s="237"/>
      <c r="P1042" s="237"/>
      <c r="R1042" s="237"/>
      <c r="S1042" s="237"/>
      <c r="W1042" s="237"/>
      <c r="X1042" s="519" t="s">
        <v>1810</v>
      </c>
      <c r="Y1042" s="246" t="s">
        <v>1740</v>
      </c>
      <c r="Z1042" s="235" t="s">
        <v>175</v>
      </c>
      <c r="AA1042" s="235" t="s">
        <v>193</v>
      </c>
      <c r="AB1042" s="442" t="s">
        <v>1978</v>
      </c>
      <c r="AC1042" s="238">
        <v>830</v>
      </c>
      <c r="AD1042" s="292">
        <f>124-101.9</f>
        <v>22.099999999999994</v>
      </c>
      <c r="AE1042" s="475">
        <v>0</v>
      </c>
      <c r="AF1042" s="475">
        <v>0</v>
      </c>
      <c r="AG1042" s="553"/>
      <c r="AH1042" s="553"/>
      <c r="AI1042" s="455"/>
    </row>
    <row r="1043" spans="1:35" x14ac:dyDescent="0.25">
      <c r="A1043" s="237"/>
      <c r="B1043" s="237"/>
      <c r="C1043" s="237"/>
      <c r="D1043" s="237"/>
      <c r="E1043" s="237"/>
      <c r="F1043" s="237"/>
      <c r="G1043" s="237"/>
      <c r="H1043" s="237"/>
      <c r="I1043" s="237"/>
      <c r="J1043" s="237"/>
      <c r="K1043" s="237"/>
      <c r="L1043" s="237"/>
      <c r="M1043" s="237"/>
      <c r="N1043" s="237"/>
      <c r="O1043" s="237"/>
      <c r="P1043" s="237"/>
      <c r="R1043" s="237"/>
      <c r="S1043" s="237"/>
      <c r="W1043" s="237"/>
      <c r="X1043" s="519" t="s">
        <v>551</v>
      </c>
      <c r="Y1043" s="246" t="s">
        <v>1740</v>
      </c>
      <c r="Z1043" s="235" t="s">
        <v>175</v>
      </c>
      <c r="AA1043" s="235" t="s">
        <v>175</v>
      </c>
      <c r="AB1043" s="249"/>
      <c r="AC1043" s="576"/>
      <c r="AD1043" s="292">
        <f>AD1044+AD1060+AD1066+AD1052</f>
        <v>13769.7</v>
      </c>
      <c r="AE1043" s="475">
        <f>AE1044+AE1060+AE1066+AE1052</f>
        <v>13781.7</v>
      </c>
      <c r="AF1043" s="475">
        <f>AF1044+AF1060+AF1066+AF1052</f>
        <v>13781.7</v>
      </c>
      <c r="AG1043" s="553"/>
      <c r="AH1043" s="553"/>
      <c r="AI1043" s="455"/>
    </row>
    <row r="1044" spans="1:35" x14ac:dyDescent="0.25">
      <c r="A1044" s="237"/>
      <c r="B1044" s="237"/>
      <c r="C1044" s="237"/>
      <c r="D1044" s="237"/>
      <c r="E1044" s="237"/>
      <c r="F1044" s="237"/>
      <c r="G1044" s="237"/>
      <c r="H1044" s="237"/>
      <c r="I1044" s="237"/>
      <c r="J1044" s="237"/>
      <c r="K1044" s="237"/>
      <c r="L1044" s="237"/>
      <c r="M1044" s="237"/>
      <c r="N1044" s="237"/>
      <c r="O1044" s="237"/>
      <c r="P1044" s="237"/>
      <c r="R1044" s="237"/>
      <c r="S1044" s="237"/>
      <c r="W1044" s="237"/>
      <c r="X1044" s="548" t="s">
        <v>2074</v>
      </c>
      <c r="Y1044" s="246" t="s">
        <v>1740</v>
      </c>
      <c r="Z1044" s="235" t="s">
        <v>175</v>
      </c>
      <c r="AA1044" s="235" t="s">
        <v>175</v>
      </c>
      <c r="AB1044" s="442" t="s">
        <v>1768</v>
      </c>
      <c r="AC1044" s="238"/>
      <c r="AD1044" s="292">
        <f t="shared" ref="AD1044:AF1046" si="290">AD1045</f>
        <v>2149</v>
      </c>
      <c r="AE1044" s="475">
        <f t="shared" si="290"/>
        <v>2149</v>
      </c>
      <c r="AF1044" s="475">
        <f t="shared" si="290"/>
        <v>2149</v>
      </c>
      <c r="AG1044" s="553"/>
      <c r="AH1044" s="553"/>
      <c r="AI1044" s="455"/>
    </row>
    <row r="1045" spans="1:35" x14ac:dyDescent="0.25">
      <c r="A1045" s="237"/>
      <c r="B1045" s="237"/>
      <c r="C1045" s="237"/>
      <c r="D1045" s="237"/>
      <c r="E1045" s="237"/>
      <c r="F1045" s="237"/>
      <c r="G1045" s="237"/>
      <c r="H1045" s="237"/>
      <c r="I1045" s="237"/>
      <c r="J1045" s="237"/>
      <c r="K1045" s="237"/>
      <c r="L1045" s="237"/>
      <c r="M1045" s="237"/>
      <c r="N1045" s="237"/>
      <c r="O1045" s="237"/>
      <c r="P1045" s="237"/>
      <c r="R1045" s="237"/>
      <c r="S1045" s="237"/>
      <c r="W1045" s="237"/>
      <c r="X1045" s="548" t="s">
        <v>2075</v>
      </c>
      <c r="Y1045" s="246" t="s">
        <v>1740</v>
      </c>
      <c r="Z1045" s="235" t="s">
        <v>175</v>
      </c>
      <c r="AA1045" s="235" t="s">
        <v>175</v>
      </c>
      <c r="AB1045" s="442" t="s">
        <v>1779</v>
      </c>
      <c r="AC1045" s="238"/>
      <c r="AD1045" s="292">
        <f t="shared" si="290"/>
        <v>2149</v>
      </c>
      <c r="AE1045" s="475">
        <f t="shared" si="290"/>
        <v>2149</v>
      </c>
      <c r="AF1045" s="475">
        <f t="shared" si="290"/>
        <v>2149</v>
      </c>
      <c r="AG1045" s="553"/>
      <c r="AH1045" s="553"/>
      <c r="AI1045" s="455"/>
    </row>
    <row r="1046" spans="1:35" ht="47.25" x14ac:dyDescent="0.25">
      <c r="A1046" s="237"/>
      <c r="B1046" s="237"/>
      <c r="C1046" s="237"/>
      <c r="D1046" s="237"/>
      <c r="E1046" s="237"/>
      <c r="F1046" s="237"/>
      <c r="G1046" s="237"/>
      <c r="H1046" s="237"/>
      <c r="I1046" s="237"/>
      <c r="J1046" s="237"/>
      <c r="K1046" s="237"/>
      <c r="L1046" s="237"/>
      <c r="M1046" s="237"/>
      <c r="N1046" s="237"/>
      <c r="O1046" s="237"/>
      <c r="P1046" s="237"/>
      <c r="R1046" s="237"/>
      <c r="S1046" s="237"/>
      <c r="W1046" s="237"/>
      <c r="X1046" s="548" t="s">
        <v>2076</v>
      </c>
      <c r="Y1046" s="246" t="s">
        <v>1740</v>
      </c>
      <c r="Z1046" s="235" t="s">
        <v>175</v>
      </c>
      <c r="AA1046" s="235" t="s">
        <v>175</v>
      </c>
      <c r="AB1046" s="442" t="s">
        <v>2077</v>
      </c>
      <c r="AC1046" s="238"/>
      <c r="AD1046" s="292">
        <f t="shared" si="290"/>
        <v>2149</v>
      </c>
      <c r="AE1046" s="475">
        <f t="shared" si="290"/>
        <v>2149</v>
      </c>
      <c r="AF1046" s="475">
        <f t="shared" si="290"/>
        <v>2149</v>
      </c>
      <c r="AG1046" s="553"/>
      <c r="AH1046" s="553"/>
      <c r="AI1046" s="455"/>
    </row>
    <row r="1047" spans="1:35" ht="31.5" x14ac:dyDescent="0.25">
      <c r="A1047" s="237"/>
      <c r="B1047" s="237"/>
      <c r="C1047" s="237"/>
      <c r="D1047" s="237"/>
      <c r="E1047" s="237"/>
      <c r="F1047" s="237"/>
      <c r="G1047" s="237"/>
      <c r="H1047" s="237"/>
      <c r="I1047" s="237"/>
      <c r="J1047" s="237"/>
      <c r="K1047" s="237"/>
      <c r="L1047" s="237"/>
      <c r="M1047" s="237"/>
      <c r="N1047" s="237"/>
      <c r="O1047" s="237"/>
      <c r="P1047" s="237"/>
      <c r="R1047" s="237"/>
      <c r="S1047" s="237"/>
      <c r="W1047" s="237"/>
      <c r="X1047" s="531" t="s">
        <v>2079</v>
      </c>
      <c r="Y1047" s="246" t="s">
        <v>1740</v>
      </c>
      <c r="Z1047" s="235" t="s">
        <v>175</v>
      </c>
      <c r="AA1047" s="235" t="s">
        <v>175</v>
      </c>
      <c r="AB1047" s="442" t="s">
        <v>2080</v>
      </c>
      <c r="AC1047" s="238"/>
      <c r="AD1047" s="292">
        <f>AD1048+AD1050</f>
        <v>2149</v>
      </c>
      <c r="AE1047" s="475">
        <f>AE1048+AE1050</f>
        <v>2149</v>
      </c>
      <c r="AF1047" s="475">
        <f>AF1048+AF1050</f>
        <v>2149</v>
      </c>
      <c r="AG1047" s="553"/>
      <c r="AH1047" s="553"/>
      <c r="AI1047" s="455"/>
    </row>
    <row r="1048" spans="1:35" ht="47.25" x14ac:dyDescent="0.25">
      <c r="A1048" s="237"/>
      <c r="B1048" s="237"/>
      <c r="C1048" s="237"/>
      <c r="D1048" s="237"/>
      <c r="E1048" s="237"/>
      <c r="F1048" s="237"/>
      <c r="G1048" s="237"/>
      <c r="H1048" s="237"/>
      <c r="I1048" s="237"/>
      <c r="J1048" s="237"/>
      <c r="K1048" s="237"/>
      <c r="L1048" s="237"/>
      <c r="M1048" s="237"/>
      <c r="N1048" s="237"/>
      <c r="O1048" s="237"/>
      <c r="P1048" s="237"/>
      <c r="R1048" s="237"/>
      <c r="S1048" s="237"/>
      <c r="W1048" s="237"/>
      <c r="X1048" s="519" t="s">
        <v>921</v>
      </c>
      <c r="Y1048" s="246" t="s">
        <v>1740</v>
      </c>
      <c r="Z1048" s="235" t="s">
        <v>175</v>
      </c>
      <c r="AA1048" s="235" t="s">
        <v>175</v>
      </c>
      <c r="AB1048" s="442" t="s">
        <v>2080</v>
      </c>
      <c r="AC1048" s="238">
        <v>100</v>
      </c>
      <c r="AD1048" s="292">
        <f>AD1049</f>
        <v>1943.1</v>
      </c>
      <c r="AE1048" s="475">
        <f>AE1049</f>
        <v>1943.1</v>
      </c>
      <c r="AF1048" s="475">
        <f>AF1049</f>
        <v>1943.1</v>
      </c>
      <c r="AG1048" s="553"/>
      <c r="AH1048" s="553"/>
      <c r="AI1048" s="455"/>
    </row>
    <row r="1049" spans="1:35" ht="21" customHeight="1" x14ac:dyDescent="0.25">
      <c r="A1049" s="237"/>
      <c r="B1049" s="237"/>
      <c r="C1049" s="237"/>
      <c r="D1049" s="237"/>
      <c r="E1049" s="237"/>
      <c r="F1049" s="237"/>
      <c r="G1049" s="237"/>
      <c r="H1049" s="237"/>
      <c r="I1049" s="237"/>
      <c r="J1049" s="237"/>
      <c r="K1049" s="237"/>
      <c r="L1049" s="237"/>
      <c r="M1049" s="237"/>
      <c r="N1049" s="237"/>
      <c r="O1049" s="237"/>
      <c r="P1049" s="237"/>
      <c r="R1049" s="237"/>
      <c r="S1049" s="237"/>
      <c r="W1049" s="237"/>
      <c r="X1049" s="519" t="s">
        <v>1747</v>
      </c>
      <c r="Y1049" s="246" t="s">
        <v>1740</v>
      </c>
      <c r="Z1049" s="235" t="s">
        <v>175</v>
      </c>
      <c r="AA1049" s="235" t="s">
        <v>175</v>
      </c>
      <c r="AB1049" s="442" t="s">
        <v>2080</v>
      </c>
      <c r="AC1049" s="238">
        <v>120</v>
      </c>
      <c r="AD1049" s="292">
        <v>1943.1</v>
      </c>
      <c r="AE1049" s="475">
        <v>1943.1</v>
      </c>
      <c r="AF1049" s="475">
        <v>1943.1</v>
      </c>
      <c r="AG1049" s="553"/>
      <c r="AH1049" s="553"/>
      <c r="AI1049" s="455"/>
    </row>
    <row r="1050" spans="1:35" x14ac:dyDescent="0.25">
      <c r="A1050" s="237"/>
      <c r="B1050" s="237"/>
      <c r="C1050" s="237"/>
      <c r="D1050" s="237"/>
      <c r="E1050" s="237"/>
      <c r="F1050" s="237"/>
      <c r="G1050" s="237"/>
      <c r="H1050" s="237"/>
      <c r="I1050" s="237"/>
      <c r="J1050" s="237"/>
      <c r="K1050" s="237"/>
      <c r="L1050" s="237"/>
      <c r="M1050" s="237"/>
      <c r="N1050" s="237"/>
      <c r="O1050" s="237"/>
      <c r="P1050" s="237"/>
      <c r="R1050" s="237"/>
      <c r="S1050" s="237"/>
      <c r="W1050" s="237"/>
      <c r="X1050" s="519" t="s">
        <v>1781</v>
      </c>
      <c r="Y1050" s="246" t="s">
        <v>1740</v>
      </c>
      <c r="Z1050" s="235" t="s">
        <v>175</v>
      </c>
      <c r="AA1050" s="235" t="s">
        <v>175</v>
      </c>
      <c r="AB1050" s="442" t="s">
        <v>2080</v>
      </c>
      <c r="AC1050" s="238">
        <v>200</v>
      </c>
      <c r="AD1050" s="292">
        <f>AD1051</f>
        <v>205.9</v>
      </c>
      <c r="AE1050" s="475">
        <f>AE1051</f>
        <v>205.9</v>
      </c>
      <c r="AF1050" s="475">
        <f>AF1051</f>
        <v>205.9</v>
      </c>
      <c r="AG1050" s="553"/>
      <c r="AH1050" s="553"/>
      <c r="AI1050" s="455"/>
    </row>
    <row r="1051" spans="1:35" ht="31.5" x14ac:dyDescent="0.25">
      <c r="A1051" s="237"/>
      <c r="B1051" s="237"/>
      <c r="C1051" s="237"/>
      <c r="D1051" s="237"/>
      <c r="E1051" s="237"/>
      <c r="F1051" s="237"/>
      <c r="G1051" s="237"/>
      <c r="H1051" s="237"/>
      <c r="I1051" s="237"/>
      <c r="J1051" s="237"/>
      <c r="K1051" s="237"/>
      <c r="L1051" s="237"/>
      <c r="M1051" s="237"/>
      <c r="N1051" s="237"/>
      <c r="O1051" s="237"/>
      <c r="P1051" s="237"/>
      <c r="R1051" s="237"/>
      <c r="S1051" s="237"/>
      <c r="W1051" s="237"/>
      <c r="X1051" s="519" t="s">
        <v>1273</v>
      </c>
      <c r="Y1051" s="246" t="s">
        <v>1740</v>
      </c>
      <c r="Z1051" s="235" t="s">
        <v>175</v>
      </c>
      <c r="AA1051" s="235" t="s">
        <v>175</v>
      </c>
      <c r="AB1051" s="442" t="s">
        <v>2080</v>
      </c>
      <c r="AC1051" s="238">
        <v>240</v>
      </c>
      <c r="AD1051" s="292">
        <v>205.9</v>
      </c>
      <c r="AE1051" s="475">
        <v>205.9</v>
      </c>
      <c r="AF1051" s="475">
        <v>205.9</v>
      </c>
      <c r="AG1051" s="553"/>
      <c r="AH1051" s="553"/>
      <c r="AI1051" s="455"/>
    </row>
    <row r="1052" spans="1:35" ht="31.5" x14ac:dyDescent="0.25">
      <c r="A1052" s="237"/>
      <c r="B1052" s="237"/>
      <c r="C1052" s="237"/>
      <c r="D1052" s="237"/>
      <c r="E1052" s="237"/>
      <c r="F1052" s="237"/>
      <c r="G1052" s="237"/>
      <c r="H1052" s="237"/>
      <c r="I1052" s="237"/>
      <c r="J1052" s="237"/>
      <c r="K1052" s="237"/>
      <c r="L1052" s="237"/>
      <c r="M1052" s="237"/>
      <c r="N1052" s="237"/>
      <c r="O1052" s="237"/>
      <c r="P1052" s="237"/>
      <c r="R1052" s="237"/>
      <c r="S1052" s="237"/>
      <c r="W1052" s="237"/>
      <c r="X1052" s="520" t="s">
        <v>1948</v>
      </c>
      <c r="Y1052" s="246" t="s">
        <v>1740</v>
      </c>
      <c r="Z1052" s="235" t="s">
        <v>175</v>
      </c>
      <c r="AA1052" s="235" t="s">
        <v>175</v>
      </c>
      <c r="AB1052" s="442" t="s">
        <v>1770</v>
      </c>
      <c r="AC1052" s="238"/>
      <c r="AD1052" s="292">
        <f t="shared" ref="AD1052:AF1054" si="291">AD1053</f>
        <v>662</v>
      </c>
      <c r="AE1052" s="475">
        <f t="shared" si="291"/>
        <v>662</v>
      </c>
      <c r="AF1052" s="475">
        <f t="shared" si="291"/>
        <v>662</v>
      </c>
      <c r="AG1052" s="553"/>
      <c r="AH1052" s="553"/>
      <c r="AI1052" s="455"/>
    </row>
    <row r="1053" spans="1:35" x14ac:dyDescent="0.25">
      <c r="A1053" s="237"/>
      <c r="B1053" s="237"/>
      <c r="C1053" s="237"/>
      <c r="D1053" s="237"/>
      <c r="E1053" s="237"/>
      <c r="F1053" s="237"/>
      <c r="G1053" s="237"/>
      <c r="H1053" s="237"/>
      <c r="I1053" s="237"/>
      <c r="J1053" s="237"/>
      <c r="K1053" s="237"/>
      <c r="L1053" s="237"/>
      <c r="M1053" s="237"/>
      <c r="N1053" s="237"/>
      <c r="O1053" s="237"/>
      <c r="P1053" s="237"/>
      <c r="R1053" s="237"/>
      <c r="S1053" s="237"/>
      <c r="W1053" s="237"/>
      <c r="X1053" s="519" t="s">
        <v>1160</v>
      </c>
      <c r="Y1053" s="246" t="s">
        <v>1740</v>
      </c>
      <c r="Z1053" s="235" t="s">
        <v>175</v>
      </c>
      <c r="AA1053" s="235" t="s">
        <v>175</v>
      </c>
      <c r="AB1053" s="442" t="s">
        <v>2168</v>
      </c>
      <c r="AC1053" s="238"/>
      <c r="AD1053" s="292">
        <f t="shared" si="291"/>
        <v>662</v>
      </c>
      <c r="AE1053" s="475">
        <f t="shared" si="291"/>
        <v>662</v>
      </c>
      <c r="AF1053" s="475">
        <f t="shared" si="291"/>
        <v>662</v>
      </c>
      <c r="AG1053" s="553"/>
      <c r="AH1053" s="553"/>
      <c r="AI1053" s="455"/>
    </row>
    <row r="1054" spans="1:35" ht="31.5" x14ac:dyDescent="0.25">
      <c r="A1054" s="237"/>
      <c r="B1054" s="237"/>
      <c r="C1054" s="237"/>
      <c r="D1054" s="237"/>
      <c r="E1054" s="237"/>
      <c r="F1054" s="237"/>
      <c r="G1054" s="237"/>
      <c r="H1054" s="237"/>
      <c r="I1054" s="237"/>
      <c r="J1054" s="237"/>
      <c r="K1054" s="237"/>
      <c r="L1054" s="237"/>
      <c r="M1054" s="237"/>
      <c r="N1054" s="237"/>
      <c r="O1054" s="237"/>
      <c r="P1054" s="237"/>
      <c r="R1054" s="237"/>
      <c r="S1054" s="237"/>
      <c r="W1054" s="237"/>
      <c r="X1054" s="519" t="s">
        <v>2169</v>
      </c>
      <c r="Y1054" s="246" t="s">
        <v>1740</v>
      </c>
      <c r="Z1054" s="235" t="s">
        <v>175</v>
      </c>
      <c r="AA1054" s="235" t="s">
        <v>175</v>
      </c>
      <c r="AB1054" s="442" t="s">
        <v>2170</v>
      </c>
      <c r="AC1054" s="238"/>
      <c r="AD1054" s="292">
        <f t="shared" si="291"/>
        <v>662</v>
      </c>
      <c r="AE1054" s="475">
        <f t="shared" si="291"/>
        <v>662</v>
      </c>
      <c r="AF1054" s="475">
        <f t="shared" si="291"/>
        <v>662</v>
      </c>
      <c r="AG1054" s="553"/>
      <c r="AH1054" s="553"/>
      <c r="AI1054" s="455"/>
    </row>
    <row r="1055" spans="1:35" ht="31.5" x14ac:dyDescent="0.25">
      <c r="A1055" s="237"/>
      <c r="B1055" s="237"/>
      <c r="C1055" s="237"/>
      <c r="D1055" s="237"/>
      <c r="E1055" s="237"/>
      <c r="F1055" s="237"/>
      <c r="G1055" s="237"/>
      <c r="H1055" s="237"/>
      <c r="I1055" s="237"/>
      <c r="J1055" s="237"/>
      <c r="K1055" s="237"/>
      <c r="L1055" s="237"/>
      <c r="M1055" s="237"/>
      <c r="N1055" s="237"/>
      <c r="O1055" s="237"/>
      <c r="P1055" s="237"/>
      <c r="R1055" s="237"/>
      <c r="S1055" s="237"/>
      <c r="W1055" s="237"/>
      <c r="X1055" s="519" t="s">
        <v>2171</v>
      </c>
      <c r="Y1055" s="246" t="s">
        <v>1740</v>
      </c>
      <c r="Z1055" s="235" t="s">
        <v>175</v>
      </c>
      <c r="AA1055" s="235" t="s">
        <v>175</v>
      </c>
      <c r="AB1055" s="442" t="s">
        <v>2172</v>
      </c>
      <c r="AC1055" s="238"/>
      <c r="AD1055" s="292">
        <f>AD1056+AD1058</f>
        <v>662</v>
      </c>
      <c r="AE1055" s="475">
        <f>AE1056+AE1058</f>
        <v>662</v>
      </c>
      <c r="AF1055" s="475">
        <f>AF1056+AF1058</f>
        <v>662</v>
      </c>
      <c r="AG1055" s="553"/>
      <c r="AH1055" s="553"/>
      <c r="AI1055" s="455"/>
    </row>
    <row r="1056" spans="1:35" ht="47.25" x14ac:dyDescent="0.25">
      <c r="A1056" s="237"/>
      <c r="B1056" s="237"/>
      <c r="C1056" s="237"/>
      <c r="D1056" s="237"/>
      <c r="E1056" s="237"/>
      <c r="F1056" s="237"/>
      <c r="G1056" s="237"/>
      <c r="H1056" s="237"/>
      <c r="I1056" s="237"/>
      <c r="J1056" s="237"/>
      <c r="K1056" s="237"/>
      <c r="L1056" s="237"/>
      <c r="M1056" s="237"/>
      <c r="N1056" s="237"/>
      <c r="O1056" s="237"/>
      <c r="P1056" s="237"/>
      <c r="R1056" s="237"/>
      <c r="S1056" s="237"/>
      <c r="W1056" s="237"/>
      <c r="X1056" s="519" t="s">
        <v>921</v>
      </c>
      <c r="Y1056" s="246" t="s">
        <v>1740</v>
      </c>
      <c r="Z1056" s="235" t="s">
        <v>175</v>
      </c>
      <c r="AA1056" s="235" t="s">
        <v>175</v>
      </c>
      <c r="AB1056" s="442" t="s">
        <v>2172</v>
      </c>
      <c r="AC1056" s="238">
        <v>100</v>
      </c>
      <c r="AD1056" s="292">
        <f>AD1057</f>
        <v>609.1</v>
      </c>
      <c r="AE1056" s="475">
        <f>AE1057</f>
        <v>609.1</v>
      </c>
      <c r="AF1056" s="475">
        <f>AF1057</f>
        <v>609.1</v>
      </c>
      <c r="AG1056" s="553"/>
      <c r="AH1056" s="553"/>
      <c r="AI1056" s="455"/>
    </row>
    <row r="1057" spans="1:35" x14ac:dyDescent="0.25">
      <c r="A1057" s="237"/>
      <c r="B1057" s="237"/>
      <c r="C1057" s="237"/>
      <c r="D1057" s="237"/>
      <c r="E1057" s="237"/>
      <c r="F1057" s="237"/>
      <c r="G1057" s="237"/>
      <c r="H1057" s="237"/>
      <c r="I1057" s="237"/>
      <c r="J1057" s="237"/>
      <c r="K1057" s="237"/>
      <c r="L1057" s="237"/>
      <c r="M1057" s="237"/>
      <c r="N1057" s="237"/>
      <c r="O1057" s="237"/>
      <c r="P1057" s="237"/>
      <c r="R1057" s="237"/>
      <c r="S1057" s="237"/>
      <c r="W1057" s="237"/>
      <c r="X1057" s="519" t="s">
        <v>1747</v>
      </c>
      <c r="Y1057" s="246" t="s">
        <v>1740</v>
      </c>
      <c r="Z1057" s="235" t="s">
        <v>175</v>
      </c>
      <c r="AA1057" s="235" t="s">
        <v>175</v>
      </c>
      <c r="AB1057" s="442" t="s">
        <v>2172</v>
      </c>
      <c r="AC1057" s="238">
        <v>120</v>
      </c>
      <c r="AD1057" s="292">
        <v>609.1</v>
      </c>
      <c r="AE1057" s="475">
        <v>609.1</v>
      </c>
      <c r="AF1057" s="475">
        <v>609.1</v>
      </c>
      <c r="AG1057" s="553"/>
      <c r="AH1057" s="553"/>
      <c r="AI1057" s="455"/>
    </row>
    <row r="1058" spans="1:35" x14ac:dyDescent="0.25">
      <c r="A1058" s="237"/>
      <c r="B1058" s="237"/>
      <c r="C1058" s="237"/>
      <c r="D1058" s="237"/>
      <c r="E1058" s="237"/>
      <c r="F1058" s="237"/>
      <c r="G1058" s="237"/>
      <c r="H1058" s="237"/>
      <c r="I1058" s="237"/>
      <c r="J1058" s="237"/>
      <c r="K1058" s="237"/>
      <c r="L1058" s="237"/>
      <c r="M1058" s="237"/>
      <c r="N1058" s="237"/>
      <c r="O1058" s="237"/>
      <c r="P1058" s="237"/>
      <c r="R1058" s="237"/>
      <c r="S1058" s="237"/>
      <c r="W1058" s="237"/>
      <c r="X1058" s="519" t="s">
        <v>1781</v>
      </c>
      <c r="Y1058" s="246" t="s">
        <v>1740</v>
      </c>
      <c r="Z1058" s="235" t="s">
        <v>175</v>
      </c>
      <c r="AA1058" s="235" t="s">
        <v>175</v>
      </c>
      <c r="AB1058" s="442" t="s">
        <v>2172</v>
      </c>
      <c r="AC1058" s="238">
        <v>200</v>
      </c>
      <c r="AD1058" s="292">
        <f>AD1059</f>
        <v>52.9</v>
      </c>
      <c r="AE1058" s="475">
        <f>AE1059</f>
        <v>52.9</v>
      </c>
      <c r="AF1058" s="475">
        <f>AF1059</f>
        <v>52.9</v>
      </c>
      <c r="AG1058" s="553"/>
      <c r="AH1058" s="553"/>
      <c r="AI1058" s="455"/>
    </row>
    <row r="1059" spans="1:35" ht="31.5" x14ac:dyDescent="0.25">
      <c r="A1059" s="237"/>
      <c r="B1059" s="237"/>
      <c r="C1059" s="237"/>
      <c r="D1059" s="237"/>
      <c r="E1059" s="237"/>
      <c r="F1059" s="237"/>
      <c r="G1059" s="237"/>
      <c r="H1059" s="237"/>
      <c r="I1059" s="237"/>
      <c r="J1059" s="237"/>
      <c r="K1059" s="237"/>
      <c r="L1059" s="237"/>
      <c r="M1059" s="237"/>
      <c r="N1059" s="237"/>
      <c r="O1059" s="237"/>
      <c r="P1059" s="237"/>
      <c r="R1059" s="237"/>
      <c r="S1059" s="237"/>
      <c r="W1059" s="237"/>
      <c r="X1059" s="519" t="s">
        <v>1273</v>
      </c>
      <c r="Y1059" s="246" t="s">
        <v>1740</v>
      </c>
      <c r="Z1059" s="235" t="s">
        <v>175</v>
      </c>
      <c r="AA1059" s="235" t="s">
        <v>175</v>
      </c>
      <c r="AB1059" s="442" t="s">
        <v>2172</v>
      </c>
      <c r="AC1059" s="238">
        <v>240</v>
      </c>
      <c r="AD1059" s="292">
        <v>52.9</v>
      </c>
      <c r="AE1059" s="475">
        <v>52.9</v>
      </c>
      <c r="AF1059" s="475">
        <v>52.9</v>
      </c>
      <c r="AG1059" s="553"/>
      <c r="AH1059" s="553"/>
      <c r="AI1059" s="455"/>
    </row>
    <row r="1060" spans="1:35" ht="31.5" x14ac:dyDescent="0.25">
      <c r="A1060" s="237"/>
      <c r="B1060" s="237"/>
      <c r="C1060" s="237"/>
      <c r="D1060" s="237"/>
      <c r="E1060" s="237"/>
      <c r="F1060" s="237"/>
      <c r="G1060" s="237"/>
      <c r="H1060" s="237"/>
      <c r="I1060" s="237"/>
      <c r="J1060" s="237"/>
      <c r="K1060" s="237"/>
      <c r="L1060" s="237"/>
      <c r="M1060" s="237"/>
      <c r="N1060" s="237"/>
      <c r="O1060" s="237"/>
      <c r="P1060" s="237"/>
      <c r="R1060" s="237"/>
      <c r="S1060" s="237"/>
      <c r="W1060" s="237"/>
      <c r="X1060" s="520" t="s">
        <v>2102</v>
      </c>
      <c r="Y1060" s="246" t="s">
        <v>1740</v>
      </c>
      <c r="Z1060" s="235" t="s">
        <v>175</v>
      </c>
      <c r="AA1060" s="235" t="s">
        <v>175</v>
      </c>
      <c r="AB1060" s="442" t="s">
        <v>1805</v>
      </c>
      <c r="AC1060" s="238"/>
      <c r="AD1060" s="292">
        <f t="shared" ref="AD1060:AF1064" si="292">AD1061</f>
        <v>2.5</v>
      </c>
      <c r="AE1060" s="475">
        <f t="shared" si="292"/>
        <v>2.5</v>
      </c>
      <c r="AF1060" s="475">
        <f t="shared" si="292"/>
        <v>2.5</v>
      </c>
      <c r="AG1060" s="553"/>
      <c r="AH1060" s="553"/>
      <c r="AI1060" s="455"/>
    </row>
    <row r="1061" spans="1:35" ht="47.25" x14ac:dyDescent="0.25">
      <c r="A1061" s="237"/>
      <c r="B1061" s="237"/>
      <c r="C1061" s="237"/>
      <c r="D1061" s="237"/>
      <c r="E1061" s="237"/>
      <c r="F1061" s="237"/>
      <c r="G1061" s="237"/>
      <c r="H1061" s="237"/>
      <c r="I1061" s="237"/>
      <c r="J1061" s="237"/>
      <c r="K1061" s="237"/>
      <c r="L1061" s="237"/>
      <c r="M1061" s="237"/>
      <c r="N1061" s="237"/>
      <c r="O1061" s="237"/>
      <c r="P1061" s="237"/>
      <c r="R1061" s="237"/>
      <c r="S1061" s="237"/>
      <c r="W1061" s="237"/>
      <c r="X1061" s="520" t="s">
        <v>2103</v>
      </c>
      <c r="Y1061" s="246" t="s">
        <v>1740</v>
      </c>
      <c r="Z1061" s="235" t="s">
        <v>175</v>
      </c>
      <c r="AA1061" s="235" t="s">
        <v>175</v>
      </c>
      <c r="AB1061" s="442" t="s">
        <v>2104</v>
      </c>
      <c r="AC1061" s="238"/>
      <c r="AD1061" s="292">
        <f t="shared" si="292"/>
        <v>2.5</v>
      </c>
      <c r="AE1061" s="475">
        <f t="shared" si="292"/>
        <v>2.5</v>
      </c>
      <c r="AF1061" s="475">
        <f t="shared" si="292"/>
        <v>2.5</v>
      </c>
      <c r="AG1061" s="553"/>
      <c r="AH1061" s="553"/>
      <c r="AI1061" s="455"/>
    </row>
    <row r="1062" spans="1:35" ht="31.5" x14ac:dyDescent="0.25">
      <c r="A1062" s="237"/>
      <c r="B1062" s="237"/>
      <c r="C1062" s="237"/>
      <c r="D1062" s="237"/>
      <c r="E1062" s="237"/>
      <c r="F1062" s="237"/>
      <c r="G1062" s="237"/>
      <c r="H1062" s="237"/>
      <c r="I1062" s="237"/>
      <c r="J1062" s="237"/>
      <c r="K1062" s="237"/>
      <c r="L1062" s="237"/>
      <c r="M1062" s="237"/>
      <c r="N1062" s="237"/>
      <c r="O1062" s="237"/>
      <c r="P1062" s="237"/>
      <c r="R1062" s="237"/>
      <c r="S1062" s="237"/>
      <c r="W1062" s="237"/>
      <c r="X1062" s="528" t="s">
        <v>2105</v>
      </c>
      <c r="Y1062" s="246" t="s">
        <v>1740</v>
      </c>
      <c r="Z1062" s="235" t="s">
        <v>175</v>
      </c>
      <c r="AA1062" s="235" t="s">
        <v>175</v>
      </c>
      <c r="AB1062" s="442" t="s">
        <v>2106</v>
      </c>
      <c r="AC1062" s="238"/>
      <c r="AD1062" s="292">
        <f t="shared" si="292"/>
        <v>2.5</v>
      </c>
      <c r="AE1062" s="475">
        <f t="shared" si="292"/>
        <v>2.5</v>
      </c>
      <c r="AF1062" s="475">
        <f t="shared" si="292"/>
        <v>2.5</v>
      </c>
      <c r="AG1062" s="553"/>
      <c r="AH1062" s="553"/>
      <c r="AI1062" s="455"/>
    </row>
    <row r="1063" spans="1:35" ht="94.5" x14ac:dyDescent="0.25">
      <c r="A1063" s="237"/>
      <c r="B1063" s="237"/>
      <c r="C1063" s="237"/>
      <c r="D1063" s="237"/>
      <c r="E1063" s="237"/>
      <c r="F1063" s="237"/>
      <c r="G1063" s="237"/>
      <c r="H1063" s="237"/>
      <c r="I1063" s="237"/>
      <c r="J1063" s="237"/>
      <c r="K1063" s="237"/>
      <c r="L1063" s="237"/>
      <c r="M1063" s="237"/>
      <c r="N1063" s="237"/>
      <c r="O1063" s="237"/>
      <c r="P1063" s="237"/>
      <c r="R1063" s="237"/>
      <c r="S1063" s="237"/>
      <c r="W1063" s="237"/>
      <c r="X1063" s="528" t="s">
        <v>2242</v>
      </c>
      <c r="Y1063" s="246" t="s">
        <v>1740</v>
      </c>
      <c r="Z1063" s="235" t="s">
        <v>175</v>
      </c>
      <c r="AA1063" s="235" t="s">
        <v>175</v>
      </c>
      <c r="AB1063" s="471" t="s">
        <v>2107</v>
      </c>
      <c r="AC1063" s="238"/>
      <c r="AD1063" s="292">
        <f t="shared" si="292"/>
        <v>2.5</v>
      </c>
      <c r="AE1063" s="475">
        <f t="shared" si="292"/>
        <v>2.5</v>
      </c>
      <c r="AF1063" s="475">
        <f t="shared" si="292"/>
        <v>2.5</v>
      </c>
      <c r="AG1063" s="553"/>
      <c r="AH1063" s="553"/>
      <c r="AI1063" s="455"/>
    </row>
    <row r="1064" spans="1:35" x14ac:dyDescent="0.25">
      <c r="A1064" s="237"/>
      <c r="B1064" s="237"/>
      <c r="C1064" s="237"/>
      <c r="D1064" s="237"/>
      <c r="E1064" s="237"/>
      <c r="F1064" s="237"/>
      <c r="G1064" s="237"/>
      <c r="H1064" s="237"/>
      <c r="I1064" s="237"/>
      <c r="J1064" s="237"/>
      <c r="K1064" s="237"/>
      <c r="L1064" s="237"/>
      <c r="M1064" s="237"/>
      <c r="N1064" s="237"/>
      <c r="O1064" s="237"/>
      <c r="P1064" s="237"/>
      <c r="R1064" s="237"/>
      <c r="S1064" s="237"/>
      <c r="W1064" s="237"/>
      <c r="X1064" s="519" t="s">
        <v>1781</v>
      </c>
      <c r="Y1064" s="246" t="s">
        <v>1740</v>
      </c>
      <c r="Z1064" s="235" t="s">
        <v>175</v>
      </c>
      <c r="AA1064" s="235" t="s">
        <v>175</v>
      </c>
      <c r="AB1064" s="471" t="s">
        <v>2107</v>
      </c>
      <c r="AC1064" s="238">
        <v>200</v>
      </c>
      <c r="AD1064" s="292">
        <f t="shared" si="292"/>
        <v>2.5</v>
      </c>
      <c r="AE1064" s="475">
        <f t="shared" si="292"/>
        <v>2.5</v>
      </c>
      <c r="AF1064" s="475">
        <f t="shared" si="292"/>
        <v>2.5</v>
      </c>
      <c r="AG1064" s="553"/>
      <c r="AH1064" s="553"/>
      <c r="AI1064" s="455"/>
    </row>
    <row r="1065" spans="1:35" ht="31.5" x14ac:dyDescent="0.25">
      <c r="A1065" s="237"/>
      <c r="B1065" s="237"/>
      <c r="C1065" s="237"/>
      <c r="D1065" s="237"/>
      <c r="E1065" s="237"/>
      <c r="F1065" s="237"/>
      <c r="G1065" s="237"/>
      <c r="H1065" s="237"/>
      <c r="I1065" s="237"/>
      <c r="J1065" s="237"/>
      <c r="K1065" s="237"/>
      <c r="L1065" s="237"/>
      <c r="M1065" s="237"/>
      <c r="N1065" s="237"/>
      <c r="O1065" s="237"/>
      <c r="P1065" s="237"/>
      <c r="R1065" s="237"/>
      <c r="S1065" s="237"/>
      <c r="W1065" s="237"/>
      <c r="X1065" s="519" t="s">
        <v>1273</v>
      </c>
      <c r="Y1065" s="246" t="s">
        <v>1740</v>
      </c>
      <c r="Z1065" s="235" t="s">
        <v>175</v>
      </c>
      <c r="AA1065" s="235" t="s">
        <v>175</v>
      </c>
      <c r="AB1065" s="471" t="s">
        <v>2107</v>
      </c>
      <c r="AC1065" s="238">
        <v>240</v>
      </c>
      <c r="AD1065" s="292">
        <v>2.5</v>
      </c>
      <c r="AE1065" s="475">
        <v>2.5</v>
      </c>
      <c r="AF1065" s="475">
        <v>2.5</v>
      </c>
      <c r="AG1065" s="553"/>
      <c r="AH1065" s="553"/>
      <c r="AI1065" s="455"/>
    </row>
    <row r="1066" spans="1:35" x14ac:dyDescent="0.25">
      <c r="A1066" s="237"/>
      <c r="B1066" s="237"/>
      <c r="C1066" s="237"/>
      <c r="D1066" s="237"/>
      <c r="E1066" s="237"/>
      <c r="F1066" s="237"/>
      <c r="G1066" s="237"/>
      <c r="H1066" s="237"/>
      <c r="I1066" s="237"/>
      <c r="J1066" s="237"/>
      <c r="K1066" s="237"/>
      <c r="L1066" s="237"/>
      <c r="M1066" s="237"/>
      <c r="N1066" s="237"/>
      <c r="O1066" s="237"/>
      <c r="P1066" s="237"/>
      <c r="R1066" s="237"/>
      <c r="S1066" s="237"/>
      <c r="W1066" s="237"/>
      <c r="X1066" s="548" t="s">
        <v>1972</v>
      </c>
      <c r="Y1066" s="246" t="s">
        <v>1740</v>
      </c>
      <c r="Z1066" s="235" t="s">
        <v>175</v>
      </c>
      <c r="AA1066" s="235" t="s">
        <v>175</v>
      </c>
      <c r="AB1066" s="442" t="s">
        <v>1973</v>
      </c>
      <c r="AC1066" s="576"/>
      <c r="AD1066" s="292">
        <f>AD1067</f>
        <v>10956.2</v>
      </c>
      <c r="AE1066" s="475">
        <f>AE1067</f>
        <v>10968.2</v>
      </c>
      <c r="AF1066" s="475">
        <f>AF1067</f>
        <v>10968.2</v>
      </c>
      <c r="AG1066" s="553"/>
      <c r="AH1066" s="553"/>
      <c r="AI1066" s="455"/>
    </row>
    <row r="1067" spans="1:35" x14ac:dyDescent="0.25">
      <c r="A1067" s="237"/>
      <c r="B1067" s="237"/>
      <c r="C1067" s="237"/>
      <c r="D1067" s="237"/>
      <c r="E1067" s="237"/>
      <c r="F1067" s="237"/>
      <c r="G1067" s="237"/>
      <c r="H1067" s="237"/>
      <c r="I1067" s="237"/>
      <c r="J1067" s="237"/>
      <c r="K1067" s="237"/>
      <c r="L1067" s="237"/>
      <c r="M1067" s="237"/>
      <c r="N1067" s="237"/>
      <c r="O1067" s="237"/>
      <c r="P1067" s="237"/>
      <c r="R1067" s="237"/>
      <c r="S1067" s="237"/>
      <c r="W1067" s="237"/>
      <c r="X1067" s="548" t="s">
        <v>1907</v>
      </c>
      <c r="Y1067" s="246" t="s">
        <v>1740</v>
      </c>
      <c r="Z1067" s="235" t="s">
        <v>175</v>
      </c>
      <c r="AA1067" s="235" t="s">
        <v>175</v>
      </c>
      <c r="AB1067" s="442" t="s">
        <v>1979</v>
      </c>
      <c r="AC1067" s="238"/>
      <c r="AD1067" s="292">
        <f t="shared" ref="AD1067:AF1068" si="293">AD1068</f>
        <v>10956.2</v>
      </c>
      <c r="AE1067" s="475">
        <f t="shared" si="293"/>
        <v>10968.2</v>
      </c>
      <c r="AF1067" s="475">
        <f t="shared" si="293"/>
        <v>10968.2</v>
      </c>
      <c r="AG1067" s="553"/>
      <c r="AH1067" s="553"/>
      <c r="AI1067" s="455"/>
    </row>
    <row r="1068" spans="1:35" ht="31.5" x14ac:dyDescent="0.25">
      <c r="A1068" s="237"/>
      <c r="B1068" s="237"/>
      <c r="C1068" s="237"/>
      <c r="D1068" s="237"/>
      <c r="E1068" s="237"/>
      <c r="F1068" s="237"/>
      <c r="G1068" s="237"/>
      <c r="H1068" s="237"/>
      <c r="I1068" s="237"/>
      <c r="J1068" s="237"/>
      <c r="K1068" s="237"/>
      <c r="L1068" s="237"/>
      <c r="M1068" s="237"/>
      <c r="N1068" s="237"/>
      <c r="O1068" s="237"/>
      <c r="P1068" s="237"/>
      <c r="R1068" s="237"/>
      <c r="S1068" s="237"/>
      <c r="W1068" s="237"/>
      <c r="X1068" s="548" t="s">
        <v>1909</v>
      </c>
      <c r="Y1068" s="246" t="s">
        <v>1740</v>
      </c>
      <c r="Z1068" s="235" t="s">
        <v>175</v>
      </c>
      <c r="AA1068" s="235" t="s">
        <v>175</v>
      </c>
      <c r="AB1068" s="442" t="s">
        <v>1980</v>
      </c>
      <c r="AC1068" s="576"/>
      <c r="AD1068" s="292">
        <f t="shared" si="293"/>
        <v>10956.2</v>
      </c>
      <c r="AE1068" s="475">
        <f t="shared" si="293"/>
        <v>10968.2</v>
      </c>
      <c r="AF1068" s="475">
        <f t="shared" si="293"/>
        <v>10968.2</v>
      </c>
      <c r="AG1068" s="553"/>
      <c r="AH1068" s="553"/>
      <c r="AI1068" s="455"/>
    </row>
    <row r="1069" spans="1:35" x14ac:dyDescent="0.25">
      <c r="A1069" s="237"/>
      <c r="B1069" s="237"/>
      <c r="C1069" s="237"/>
      <c r="D1069" s="237"/>
      <c r="E1069" s="237"/>
      <c r="F1069" s="237"/>
      <c r="G1069" s="237"/>
      <c r="H1069" s="237"/>
      <c r="I1069" s="237"/>
      <c r="J1069" s="237"/>
      <c r="K1069" s="237"/>
      <c r="L1069" s="237"/>
      <c r="M1069" s="237"/>
      <c r="N1069" s="237"/>
      <c r="O1069" s="237"/>
      <c r="P1069" s="237"/>
      <c r="R1069" s="237"/>
      <c r="S1069" s="237"/>
      <c r="W1069" s="237"/>
      <c r="X1069" s="529" t="s">
        <v>1923</v>
      </c>
      <c r="Y1069" s="246" t="s">
        <v>1740</v>
      </c>
      <c r="Z1069" s="235" t="s">
        <v>175</v>
      </c>
      <c r="AA1069" s="235" t="s">
        <v>175</v>
      </c>
      <c r="AB1069" s="442" t="s">
        <v>1981</v>
      </c>
      <c r="AC1069" s="576"/>
      <c r="AD1069" s="292">
        <f>AD1070+AD1075+AD1078</f>
        <v>10956.2</v>
      </c>
      <c r="AE1069" s="475">
        <f>AE1070+AE1075+AE1078</f>
        <v>10968.2</v>
      </c>
      <c r="AF1069" s="475">
        <f>AF1070+AF1075+AF1078</f>
        <v>10968.2</v>
      </c>
      <c r="AG1069" s="553"/>
      <c r="AH1069" s="553"/>
      <c r="AI1069" s="455"/>
    </row>
    <row r="1070" spans="1:35" ht="31.5" x14ac:dyDescent="0.25">
      <c r="A1070" s="237"/>
      <c r="B1070" s="237"/>
      <c r="C1070" s="237"/>
      <c r="D1070" s="237"/>
      <c r="E1070" s="237"/>
      <c r="F1070" s="237"/>
      <c r="G1070" s="237"/>
      <c r="H1070" s="237"/>
      <c r="I1070" s="237"/>
      <c r="J1070" s="237"/>
      <c r="K1070" s="237"/>
      <c r="L1070" s="237"/>
      <c r="M1070" s="237"/>
      <c r="N1070" s="237"/>
      <c r="O1070" s="237"/>
      <c r="P1070" s="237"/>
      <c r="R1070" s="237"/>
      <c r="S1070" s="237"/>
      <c r="W1070" s="237"/>
      <c r="X1070" s="519" t="s">
        <v>1924</v>
      </c>
      <c r="Y1070" s="246" t="s">
        <v>1740</v>
      </c>
      <c r="Z1070" s="235" t="s">
        <v>175</v>
      </c>
      <c r="AA1070" s="235" t="s">
        <v>175</v>
      </c>
      <c r="AB1070" s="442" t="s">
        <v>1982</v>
      </c>
      <c r="AC1070" s="238"/>
      <c r="AD1070" s="292">
        <f>AD1071+AD1073</f>
        <v>1866</v>
      </c>
      <c r="AE1070" s="475">
        <f>AE1071</f>
        <v>1878</v>
      </c>
      <c r="AF1070" s="475">
        <f>AF1071</f>
        <v>1878</v>
      </c>
      <c r="AG1070" s="553"/>
      <c r="AH1070" s="553"/>
      <c r="AI1070" s="455"/>
    </row>
    <row r="1071" spans="1:35" x14ac:dyDescent="0.25">
      <c r="A1071" s="237"/>
      <c r="B1071" s="237"/>
      <c r="C1071" s="237"/>
      <c r="D1071" s="237"/>
      <c r="E1071" s="237"/>
      <c r="F1071" s="237"/>
      <c r="G1071" s="237"/>
      <c r="H1071" s="237"/>
      <c r="I1071" s="237"/>
      <c r="J1071" s="237"/>
      <c r="K1071" s="237"/>
      <c r="L1071" s="237"/>
      <c r="M1071" s="237"/>
      <c r="N1071" s="237"/>
      <c r="O1071" s="237"/>
      <c r="P1071" s="237"/>
      <c r="R1071" s="237"/>
      <c r="S1071" s="237"/>
      <c r="W1071" s="237"/>
      <c r="X1071" s="519" t="s">
        <v>1781</v>
      </c>
      <c r="Y1071" s="246" t="s">
        <v>1740</v>
      </c>
      <c r="Z1071" s="235" t="s">
        <v>175</v>
      </c>
      <c r="AA1071" s="235" t="s">
        <v>175</v>
      </c>
      <c r="AB1071" s="442" t="s">
        <v>1982</v>
      </c>
      <c r="AC1071" s="238">
        <v>200</v>
      </c>
      <c r="AD1071" s="292">
        <f>AD1072</f>
        <v>1857.9</v>
      </c>
      <c r="AE1071" s="475">
        <f>AE1072</f>
        <v>1878</v>
      </c>
      <c r="AF1071" s="475">
        <f>AF1072</f>
        <v>1878</v>
      </c>
      <c r="AG1071" s="553"/>
      <c r="AH1071" s="553"/>
      <c r="AI1071" s="455"/>
    </row>
    <row r="1072" spans="1:35" ht="31.5" x14ac:dyDescent="0.25">
      <c r="A1072" s="237"/>
      <c r="B1072" s="237"/>
      <c r="C1072" s="237"/>
      <c r="D1072" s="237"/>
      <c r="E1072" s="237"/>
      <c r="F1072" s="237"/>
      <c r="G1072" s="237"/>
      <c r="H1072" s="237"/>
      <c r="I1072" s="237"/>
      <c r="J1072" s="237"/>
      <c r="K1072" s="237"/>
      <c r="L1072" s="237"/>
      <c r="M1072" s="237"/>
      <c r="N1072" s="237"/>
      <c r="O1072" s="237"/>
      <c r="P1072" s="237"/>
      <c r="R1072" s="237"/>
      <c r="S1072" s="237"/>
      <c r="W1072" s="237"/>
      <c r="X1072" s="519" t="s">
        <v>1273</v>
      </c>
      <c r="Y1072" s="246" t="s">
        <v>1740</v>
      </c>
      <c r="Z1072" s="235" t="s">
        <v>175</v>
      </c>
      <c r="AA1072" s="235" t="s">
        <v>175</v>
      </c>
      <c r="AB1072" s="442" t="s">
        <v>1982</v>
      </c>
      <c r="AC1072" s="238">
        <v>240</v>
      </c>
      <c r="AD1072" s="292">
        <f>1878-0.1-10-10</f>
        <v>1857.9</v>
      </c>
      <c r="AE1072" s="475">
        <v>1878</v>
      </c>
      <c r="AF1072" s="475">
        <v>1878</v>
      </c>
      <c r="AG1072" s="553"/>
      <c r="AH1072" s="553"/>
      <c r="AI1072" s="455"/>
    </row>
    <row r="1073" spans="1:35" x14ac:dyDescent="0.25">
      <c r="A1073" s="237"/>
      <c r="B1073" s="237"/>
      <c r="C1073" s="237"/>
      <c r="D1073" s="237"/>
      <c r="E1073" s="237"/>
      <c r="F1073" s="237"/>
      <c r="G1073" s="237"/>
      <c r="H1073" s="237"/>
      <c r="I1073" s="237"/>
      <c r="J1073" s="237"/>
      <c r="K1073" s="237"/>
      <c r="L1073" s="237"/>
      <c r="M1073" s="237"/>
      <c r="N1073" s="237"/>
      <c r="O1073" s="237"/>
      <c r="P1073" s="237"/>
      <c r="R1073" s="237"/>
      <c r="S1073" s="237"/>
      <c r="W1073" s="237"/>
      <c r="X1073" s="519" t="s">
        <v>923</v>
      </c>
      <c r="Y1073" s="246" t="s">
        <v>1740</v>
      </c>
      <c r="Z1073" s="235" t="s">
        <v>175</v>
      </c>
      <c r="AA1073" s="235" t="s">
        <v>175</v>
      </c>
      <c r="AB1073" s="442" t="s">
        <v>1982</v>
      </c>
      <c r="AC1073" s="238">
        <v>800</v>
      </c>
      <c r="AD1073" s="292">
        <f>AD1074</f>
        <v>8.1</v>
      </c>
      <c r="AE1073" s="475">
        <f>AE1074</f>
        <v>0</v>
      </c>
      <c r="AF1073" s="475">
        <f>AF1074</f>
        <v>0</v>
      </c>
      <c r="AG1073" s="553"/>
      <c r="AH1073" s="553"/>
      <c r="AI1073" s="455"/>
    </row>
    <row r="1074" spans="1:35" x14ac:dyDescent="0.25">
      <c r="A1074" s="237"/>
      <c r="B1074" s="237"/>
      <c r="C1074" s="237"/>
      <c r="D1074" s="237"/>
      <c r="E1074" s="237"/>
      <c r="F1074" s="237"/>
      <c r="G1074" s="237"/>
      <c r="H1074" s="237"/>
      <c r="I1074" s="237"/>
      <c r="J1074" s="237"/>
      <c r="K1074" s="237"/>
      <c r="L1074" s="237"/>
      <c r="M1074" s="237"/>
      <c r="N1074" s="237"/>
      <c r="O1074" s="237"/>
      <c r="P1074" s="237"/>
      <c r="R1074" s="237"/>
      <c r="S1074" s="237"/>
      <c r="W1074" s="237"/>
      <c r="X1074" s="519" t="s">
        <v>1319</v>
      </c>
      <c r="Y1074" s="246" t="s">
        <v>1740</v>
      </c>
      <c r="Z1074" s="235" t="s">
        <v>175</v>
      </c>
      <c r="AA1074" s="235" t="s">
        <v>175</v>
      </c>
      <c r="AB1074" s="442" t="s">
        <v>1982</v>
      </c>
      <c r="AC1074" s="238">
        <v>850</v>
      </c>
      <c r="AD1074" s="292">
        <f>7+0.1+1</f>
        <v>8.1</v>
      </c>
      <c r="AE1074" s="475">
        <v>0</v>
      </c>
      <c r="AF1074" s="475">
        <v>0</v>
      </c>
      <c r="AG1074" s="553"/>
      <c r="AH1074" s="553"/>
      <c r="AI1074" s="455"/>
    </row>
    <row r="1075" spans="1:35" ht="31.5" x14ac:dyDescent="0.25">
      <c r="A1075" s="237"/>
      <c r="B1075" s="237"/>
      <c r="C1075" s="237"/>
      <c r="D1075" s="237"/>
      <c r="E1075" s="237"/>
      <c r="F1075" s="237"/>
      <c r="G1075" s="237"/>
      <c r="H1075" s="237"/>
      <c r="I1075" s="237"/>
      <c r="J1075" s="237"/>
      <c r="K1075" s="237"/>
      <c r="L1075" s="237"/>
      <c r="M1075" s="237"/>
      <c r="N1075" s="237"/>
      <c r="O1075" s="237"/>
      <c r="P1075" s="237"/>
      <c r="R1075" s="237"/>
      <c r="S1075" s="237"/>
      <c r="W1075" s="237"/>
      <c r="X1075" s="519" t="s">
        <v>1925</v>
      </c>
      <c r="Y1075" s="246" t="s">
        <v>1740</v>
      </c>
      <c r="Z1075" s="235" t="s">
        <v>175</v>
      </c>
      <c r="AA1075" s="235" t="s">
        <v>175</v>
      </c>
      <c r="AB1075" s="442" t="s">
        <v>1983</v>
      </c>
      <c r="AC1075" s="238"/>
      <c r="AD1075" s="292">
        <f t="shared" ref="AD1075:AF1076" si="294">AD1076</f>
        <v>4198.8999999999996</v>
      </c>
      <c r="AE1075" s="475">
        <f t="shared" si="294"/>
        <v>4198.8999999999996</v>
      </c>
      <c r="AF1075" s="475">
        <f t="shared" si="294"/>
        <v>4198.8999999999996</v>
      </c>
      <c r="AG1075" s="553"/>
      <c r="AH1075" s="553"/>
      <c r="AI1075" s="455"/>
    </row>
    <row r="1076" spans="1:35" ht="47.25" x14ac:dyDescent="0.25">
      <c r="X1076" s="519" t="s">
        <v>921</v>
      </c>
      <c r="Y1076" s="246" t="s">
        <v>1740</v>
      </c>
      <c r="Z1076" s="235" t="s">
        <v>175</v>
      </c>
      <c r="AA1076" s="235" t="s">
        <v>175</v>
      </c>
      <c r="AB1076" s="442" t="s">
        <v>1983</v>
      </c>
      <c r="AC1076" s="238">
        <v>100</v>
      </c>
      <c r="AD1076" s="292">
        <f t="shared" si="294"/>
        <v>4198.8999999999996</v>
      </c>
      <c r="AE1076" s="475">
        <f t="shared" si="294"/>
        <v>4198.8999999999996</v>
      </c>
      <c r="AF1076" s="475">
        <f t="shared" si="294"/>
        <v>4198.8999999999996</v>
      </c>
      <c r="AG1076" s="553"/>
      <c r="AH1076" s="553"/>
      <c r="AI1076" s="455"/>
    </row>
    <row r="1077" spans="1:35" x14ac:dyDescent="0.25">
      <c r="X1077" s="519" t="s">
        <v>1747</v>
      </c>
      <c r="Y1077" s="246" t="s">
        <v>1740</v>
      </c>
      <c r="Z1077" s="235" t="s">
        <v>175</v>
      </c>
      <c r="AA1077" s="235" t="s">
        <v>175</v>
      </c>
      <c r="AB1077" s="442" t="s">
        <v>1983</v>
      </c>
      <c r="AC1077" s="238">
        <v>120</v>
      </c>
      <c r="AD1077" s="292">
        <f>4198.9</f>
        <v>4198.8999999999996</v>
      </c>
      <c r="AE1077" s="475">
        <v>4198.8999999999996</v>
      </c>
      <c r="AF1077" s="475">
        <v>4198.8999999999996</v>
      </c>
      <c r="AG1077" s="553"/>
      <c r="AH1077" s="553"/>
      <c r="AI1077" s="455"/>
    </row>
    <row r="1078" spans="1:35" ht="31.5" x14ac:dyDescent="0.25">
      <c r="X1078" s="519" t="s">
        <v>1926</v>
      </c>
      <c r="Y1078" s="246" t="s">
        <v>1740</v>
      </c>
      <c r="Z1078" s="235" t="s">
        <v>175</v>
      </c>
      <c r="AA1078" s="235" t="s">
        <v>175</v>
      </c>
      <c r="AB1078" s="442" t="s">
        <v>1984</v>
      </c>
      <c r="AC1078" s="238"/>
      <c r="AD1078" s="292">
        <f t="shared" ref="AD1078:AF1079" si="295">AD1079</f>
        <v>4891.3</v>
      </c>
      <c r="AE1078" s="475">
        <f t="shared" si="295"/>
        <v>4891.3</v>
      </c>
      <c r="AF1078" s="475">
        <f t="shared" si="295"/>
        <v>4891.3</v>
      </c>
      <c r="AG1078" s="553"/>
      <c r="AH1078" s="553"/>
      <c r="AI1078" s="455"/>
    </row>
    <row r="1079" spans="1:35" ht="47.25" x14ac:dyDescent="0.25">
      <c r="X1079" s="519" t="s">
        <v>921</v>
      </c>
      <c r="Y1079" s="246" t="s">
        <v>1740</v>
      </c>
      <c r="Z1079" s="235" t="s">
        <v>175</v>
      </c>
      <c r="AA1079" s="235" t="s">
        <v>175</v>
      </c>
      <c r="AB1079" s="442" t="s">
        <v>1984</v>
      </c>
      <c r="AC1079" s="238">
        <v>100</v>
      </c>
      <c r="AD1079" s="292">
        <f t="shared" si="295"/>
        <v>4891.3</v>
      </c>
      <c r="AE1079" s="475">
        <f t="shared" si="295"/>
        <v>4891.3</v>
      </c>
      <c r="AF1079" s="475">
        <f t="shared" si="295"/>
        <v>4891.3</v>
      </c>
      <c r="AG1079" s="553"/>
      <c r="AH1079" s="553"/>
      <c r="AI1079" s="455"/>
    </row>
    <row r="1080" spans="1:35" x14ac:dyDescent="0.25">
      <c r="X1080" s="519" t="s">
        <v>1747</v>
      </c>
      <c r="Y1080" s="246" t="s">
        <v>1740</v>
      </c>
      <c r="Z1080" s="235" t="s">
        <v>175</v>
      </c>
      <c r="AA1080" s="235" t="s">
        <v>175</v>
      </c>
      <c r="AB1080" s="442" t="s">
        <v>1984</v>
      </c>
      <c r="AC1080" s="238">
        <v>120</v>
      </c>
      <c r="AD1080" s="292">
        <v>4891.3</v>
      </c>
      <c r="AE1080" s="475">
        <v>4891.3</v>
      </c>
      <c r="AF1080" s="475">
        <v>4891.3</v>
      </c>
      <c r="AG1080" s="553"/>
      <c r="AH1080" s="553"/>
      <c r="AI1080" s="455"/>
    </row>
    <row r="1081" spans="1:35" x14ac:dyDescent="0.25">
      <c r="X1081" s="558" t="s">
        <v>866</v>
      </c>
      <c r="Y1081" s="574" t="s">
        <v>1740</v>
      </c>
      <c r="Z1081" s="247" t="s">
        <v>1746</v>
      </c>
      <c r="AA1081" s="235"/>
      <c r="AB1081" s="249"/>
      <c r="AC1081" s="238"/>
      <c r="AD1081" s="733">
        <f t="shared" ref="AD1081:AF1092" si="296">AD1082</f>
        <v>1712885.9000000001</v>
      </c>
      <c r="AE1081" s="478">
        <f t="shared" si="296"/>
        <v>651397.6</v>
      </c>
      <c r="AF1081" s="478">
        <f t="shared" si="296"/>
        <v>10</v>
      </c>
      <c r="AG1081" s="553"/>
      <c r="AH1081" s="553"/>
      <c r="AI1081" s="455"/>
    </row>
    <row r="1082" spans="1:35" x14ac:dyDescent="0.25">
      <c r="X1082" s="519" t="s">
        <v>1701</v>
      </c>
      <c r="Y1082" s="246" t="s">
        <v>1740</v>
      </c>
      <c r="Z1082" s="255" t="s">
        <v>1746</v>
      </c>
      <c r="AA1082" s="235" t="s">
        <v>567</v>
      </c>
      <c r="AB1082" s="249"/>
      <c r="AC1082" s="238"/>
      <c r="AD1082" s="292">
        <f t="shared" si="296"/>
        <v>1712885.9000000001</v>
      </c>
      <c r="AE1082" s="475">
        <f t="shared" si="296"/>
        <v>651397.6</v>
      </c>
      <c r="AF1082" s="475">
        <f t="shared" si="296"/>
        <v>10</v>
      </c>
      <c r="AG1082" s="553"/>
      <c r="AH1082" s="553"/>
      <c r="AI1082" s="455"/>
    </row>
    <row r="1083" spans="1:35" ht="31.5" x14ac:dyDescent="0.25">
      <c r="X1083" s="520" t="s">
        <v>1948</v>
      </c>
      <c r="Y1083" s="246" t="s">
        <v>1740</v>
      </c>
      <c r="Z1083" s="255" t="s">
        <v>1746</v>
      </c>
      <c r="AA1083" s="235" t="s">
        <v>567</v>
      </c>
      <c r="AB1083" s="442" t="s">
        <v>1770</v>
      </c>
      <c r="AC1083" s="238"/>
      <c r="AD1083" s="292">
        <f t="shared" si="296"/>
        <v>1712885.9000000001</v>
      </c>
      <c r="AE1083" s="475">
        <f t="shared" si="296"/>
        <v>651397.6</v>
      </c>
      <c r="AF1083" s="475">
        <f t="shared" si="296"/>
        <v>10</v>
      </c>
      <c r="AG1083" s="553"/>
      <c r="AH1083" s="553"/>
      <c r="AI1083" s="455"/>
    </row>
    <row r="1084" spans="1:35" x14ac:dyDescent="0.25">
      <c r="X1084" s="520" t="s">
        <v>2305</v>
      </c>
      <c r="Y1084" s="246" t="s">
        <v>1740</v>
      </c>
      <c r="Z1084" s="255" t="s">
        <v>1746</v>
      </c>
      <c r="AA1084" s="235" t="s">
        <v>567</v>
      </c>
      <c r="AB1084" s="442" t="s">
        <v>2306</v>
      </c>
      <c r="AC1084" s="238"/>
      <c r="AD1084" s="292">
        <f>AD1089+AD1085</f>
        <v>1712885.9000000001</v>
      </c>
      <c r="AE1084" s="292">
        <f t="shared" ref="AE1084:AF1084" si="297">AE1089+AE1085</f>
        <v>651397.6</v>
      </c>
      <c r="AF1084" s="292">
        <f t="shared" si="297"/>
        <v>10</v>
      </c>
      <c r="AG1084" s="553"/>
      <c r="AH1084" s="553"/>
      <c r="AI1084" s="455"/>
    </row>
    <row r="1085" spans="1:35" ht="57" customHeight="1" x14ac:dyDescent="0.25">
      <c r="X1085" s="520" t="s">
        <v>2426</v>
      </c>
      <c r="Y1085" s="246" t="s">
        <v>1740</v>
      </c>
      <c r="Z1085" s="255" t="s">
        <v>1746</v>
      </c>
      <c r="AA1085" s="235" t="s">
        <v>567</v>
      </c>
      <c r="AB1085" s="442" t="s">
        <v>2428</v>
      </c>
      <c r="AC1085" s="238"/>
      <c r="AD1085" s="292">
        <f>AD1086</f>
        <v>10</v>
      </c>
      <c r="AE1085" s="292">
        <f t="shared" ref="AE1085:AF1085" si="298">AE1086</f>
        <v>0</v>
      </c>
      <c r="AF1085" s="292">
        <f t="shared" si="298"/>
        <v>10</v>
      </c>
      <c r="AG1085" s="553"/>
      <c r="AH1085" s="553"/>
      <c r="AI1085" s="455"/>
    </row>
    <row r="1086" spans="1:35" ht="22.15" customHeight="1" x14ac:dyDescent="0.25">
      <c r="X1086" s="520" t="s">
        <v>2427</v>
      </c>
      <c r="Y1086" s="246" t="s">
        <v>1740</v>
      </c>
      <c r="Z1086" s="255" t="s">
        <v>1746</v>
      </c>
      <c r="AA1086" s="235" t="s">
        <v>567</v>
      </c>
      <c r="AB1086" s="442" t="s">
        <v>2429</v>
      </c>
      <c r="AC1086" s="238"/>
      <c r="AD1086" s="292">
        <f>AD1087</f>
        <v>10</v>
      </c>
      <c r="AE1086" s="292">
        <f t="shared" ref="AE1086:AF1086" si="299">AE1087</f>
        <v>0</v>
      </c>
      <c r="AF1086" s="292">
        <f t="shared" si="299"/>
        <v>10</v>
      </c>
      <c r="AG1086" s="553"/>
      <c r="AH1086" s="553"/>
      <c r="AI1086" s="455"/>
    </row>
    <row r="1087" spans="1:35" ht="23.45" customHeight="1" x14ac:dyDescent="0.25">
      <c r="X1087" s="519" t="s">
        <v>1781</v>
      </c>
      <c r="Y1087" s="246" t="s">
        <v>1740</v>
      </c>
      <c r="Z1087" s="255" t="s">
        <v>1746</v>
      </c>
      <c r="AA1087" s="235" t="s">
        <v>567</v>
      </c>
      <c r="AB1087" s="442" t="s">
        <v>2429</v>
      </c>
      <c r="AC1087" s="238">
        <v>200</v>
      </c>
      <c r="AD1087" s="292">
        <f>AD1088</f>
        <v>10</v>
      </c>
      <c r="AE1087" s="292">
        <f t="shared" ref="AE1087:AF1087" si="300">AE1088</f>
        <v>0</v>
      </c>
      <c r="AF1087" s="292">
        <f t="shared" si="300"/>
        <v>10</v>
      </c>
      <c r="AG1087" s="553"/>
      <c r="AH1087" s="553"/>
      <c r="AI1087" s="455"/>
    </row>
    <row r="1088" spans="1:35" ht="31.5" x14ac:dyDescent="0.25">
      <c r="X1088" s="519" t="s">
        <v>1273</v>
      </c>
      <c r="Y1088" s="246" t="s">
        <v>1740</v>
      </c>
      <c r="Z1088" s="255" t="s">
        <v>1746</v>
      </c>
      <c r="AA1088" s="235" t="s">
        <v>567</v>
      </c>
      <c r="AB1088" s="442" t="s">
        <v>2429</v>
      </c>
      <c r="AC1088" s="238">
        <v>240</v>
      </c>
      <c r="AD1088" s="292">
        <f>10+10-10</f>
        <v>10</v>
      </c>
      <c r="AE1088" s="475">
        <v>0</v>
      </c>
      <c r="AF1088" s="475">
        <v>10</v>
      </c>
      <c r="AG1088" s="553"/>
      <c r="AH1088" s="553"/>
      <c r="AI1088" s="455"/>
    </row>
    <row r="1089" spans="24:35" x14ac:dyDescent="0.25">
      <c r="X1089" s="521" t="s">
        <v>2307</v>
      </c>
      <c r="Y1089" s="246" t="s">
        <v>1740</v>
      </c>
      <c r="Z1089" s="255" t="s">
        <v>1746</v>
      </c>
      <c r="AA1089" s="235" t="s">
        <v>567</v>
      </c>
      <c r="AB1089" s="442" t="s">
        <v>2308</v>
      </c>
      <c r="AC1089" s="579"/>
      <c r="AD1089" s="292">
        <f t="shared" si="296"/>
        <v>1712875.9000000001</v>
      </c>
      <c r="AE1089" s="475">
        <f t="shared" si="296"/>
        <v>651397.6</v>
      </c>
      <c r="AF1089" s="475">
        <f t="shared" si="296"/>
        <v>0</v>
      </c>
      <c r="AG1089" s="553"/>
      <c r="AH1089" s="553"/>
      <c r="AI1089" s="455"/>
    </row>
    <row r="1090" spans="24:35" x14ac:dyDescent="0.25">
      <c r="X1090" s="521" t="s">
        <v>2309</v>
      </c>
      <c r="Y1090" s="246" t="s">
        <v>1740</v>
      </c>
      <c r="Z1090" s="255" t="s">
        <v>1746</v>
      </c>
      <c r="AA1090" s="235" t="s">
        <v>567</v>
      </c>
      <c r="AB1090" s="442" t="s">
        <v>2310</v>
      </c>
      <c r="AC1090" s="579"/>
      <c r="AD1090" s="292">
        <f t="shared" si="296"/>
        <v>1712875.9000000001</v>
      </c>
      <c r="AE1090" s="475">
        <f t="shared" si="296"/>
        <v>651397.6</v>
      </c>
      <c r="AF1090" s="475">
        <f t="shared" si="296"/>
        <v>0</v>
      </c>
      <c r="AG1090" s="553"/>
      <c r="AH1090" s="553"/>
      <c r="AI1090" s="455"/>
    </row>
    <row r="1091" spans="24:35" ht="31.5" x14ac:dyDescent="0.25">
      <c r="X1091" s="521" t="s">
        <v>2311</v>
      </c>
      <c r="Y1091" s="246" t="s">
        <v>1740</v>
      </c>
      <c r="Z1091" s="255" t="s">
        <v>1746</v>
      </c>
      <c r="AA1091" s="235" t="s">
        <v>567</v>
      </c>
      <c r="AB1091" s="442" t="s">
        <v>2312</v>
      </c>
      <c r="AC1091" s="579"/>
      <c r="AD1091" s="292">
        <f t="shared" si="296"/>
        <v>1712875.9000000001</v>
      </c>
      <c r="AE1091" s="475">
        <f t="shared" si="296"/>
        <v>651397.6</v>
      </c>
      <c r="AF1091" s="475">
        <f t="shared" si="296"/>
        <v>0</v>
      </c>
      <c r="AG1091" s="553"/>
      <c r="AH1091" s="553"/>
      <c r="AI1091" s="455"/>
    </row>
    <row r="1092" spans="24:35" x14ac:dyDescent="0.25">
      <c r="X1092" s="530" t="s">
        <v>1836</v>
      </c>
      <c r="Y1092" s="246" t="s">
        <v>1740</v>
      </c>
      <c r="Z1092" s="255" t="s">
        <v>1746</v>
      </c>
      <c r="AA1092" s="235" t="s">
        <v>567</v>
      </c>
      <c r="AB1092" s="442" t="s">
        <v>2312</v>
      </c>
      <c r="AC1092" s="579" t="s">
        <v>1837</v>
      </c>
      <c r="AD1092" s="292">
        <f t="shared" si="296"/>
        <v>1712875.9000000001</v>
      </c>
      <c r="AE1092" s="475">
        <f t="shared" si="296"/>
        <v>651397.6</v>
      </c>
      <c r="AF1092" s="475">
        <f t="shared" si="296"/>
        <v>0</v>
      </c>
      <c r="AG1092" s="553"/>
      <c r="AH1092" s="553"/>
      <c r="AI1092" s="455"/>
    </row>
    <row r="1093" spans="24:35" x14ac:dyDescent="0.25">
      <c r="X1093" s="519" t="s">
        <v>232</v>
      </c>
      <c r="Y1093" s="246" t="s">
        <v>1740</v>
      </c>
      <c r="Z1093" s="255" t="s">
        <v>1746</v>
      </c>
      <c r="AA1093" s="235" t="s">
        <v>567</v>
      </c>
      <c r="AB1093" s="442" t="s">
        <v>2312</v>
      </c>
      <c r="AC1093" s="579" t="s">
        <v>1838</v>
      </c>
      <c r="AD1093" s="292">
        <f>1695747.1+17128.8</f>
        <v>1712875.9000000001</v>
      </c>
      <c r="AE1093" s="475">
        <f>644883.6+6514</f>
        <v>651397.6</v>
      </c>
      <c r="AF1093" s="475">
        <v>0</v>
      </c>
      <c r="AG1093" s="553"/>
      <c r="AH1093" s="553"/>
      <c r="AI1093" s="455"/>
    </row>
    <row r="1094" spans="24:35" x14ac:dyDescent="0.25">
      <c r="X1094" s="558" t="s">
        <v>174</v>
      </c>
      <c r="Y1094" s="574">
        <v>902</v>
      </c>
      <c r="Z1094" s="247" t="s">
        <v>205</v>
      </c>
      <c r="AA1094" s="235"/>
      <c r="AB1094" s="249"/>
      <c r="AC1094" s="238"/>
      <c r="AD1094" s="733">
        <f t="shared" ref="AD1094:AF1096" si="301">AD1095</f>
        <v>0</v>
      </c>
      <c r="AE1094" s="478">
        <f t="shared" si="301"/>
        <v>0</v>
      </c>
      <c r="AF1094" s="478">
        <f t="shared" si="301"/>
        <v>8105.2999999999993</v>
      </c>
      <c r="AG1094" s="640"/>
      <c r="AH1094" s="640"/>
      <c r="AI1094" s="455"/>
    </row>
    <row r="1095" spans="24:35" x14ac:dyDescent="0.25">
      <c r="X1095" s="519" t="s">
        <v>734</v>
      </c>
      <c r="Y1095" s="246" t="s">
        <v>1740</v>
      </c>
      <c r="Z1095" s="236" t="s">
        <v>205</v>
      </c>
      <c r="AA1095" s="235" t="s">
        <v>567</v>
      </c>
      <c r="AB1095" s="249"/>
      <c r="AC1095" s="238"/>
      <c r="AD1095" s="292">
        <f t="shared" si="301"/>
        <v>0</v>
      </c>
      <c r="AE1095" s="475">
        <f t="shared" si="301"/>
        <v>0</v>
      </c>
      <c r="AF1095" s="475">
        <f t="shared" si="301"/>
        <v>8105.2999999999993</v>
      </c>
      <c r="AG1095" s="553"/>
      <c r="AH1095" s="553"/>
      <c r="AI1095" s="455"/>
    </row>
    <row r="1096" spans="24:35" x14ac:dyDescent="0.25">
      <c r="X1096" s="548" t="s">
        <v>1991</v>
      </c>
      <c r="Y1096" s="246" t="s">
        <v>1740</v>
      </c>
      <c r="Z1096" s="235" t="s">
        <v>205</v>
      </c>
      <c r="AA1096" s="235" t="s">
        <v>567</v>
      </c>
      <c r="AB1096" s="442" t="s">
        <v>1992</v>
      </c>
      <c r="AC1096" s="238"/>
      <c r="AD1096" s="292">
        <f t="shared" si="301"/>
        <v>0</v>
      </c>
      <c r="AE1096" s="475">
        <f t="shared" si="301"/>
        <v>0</v>
      </c>
      <c r="AF1096" s="475">
        <f t="shared" si="301"/>
        <v>8105.2999999999993</v>
      </c>
      <c r="AG1096" s="553"/>
      <c r="AH1096" s="553"/>
      <c r="AI1096" s="455"/>
    </row>
    <row r="1097" spans="24:35" x14ac:dyDescent="0.25">
      <c r="X1097" s="565" t="s">
        <v>2231</v>
      </c>
      <c r="Y1097" s="246" t="s">
        <v>1740</v>
      </c>
      <c r="Z1097" s="235" t="s">
        <v>205</v>
      </c>
      <c r="AA1097" s="235" t="s">
        <v>567</v>
      </c>
      <c r="AB1097" s="442" t="s">
        <v>2232</v>
      </c>
      <c r="AC1097" s="238"/>
      <c r="AD1097" s="292">
        <f t="shared" ref="AD1097:AF1098" si="302">AD1098</f>
        <v>0</v>
      </c>
      <c r="AE1097" s="475">
        <f t="shared" si="302"/>
        <v>0</v>
      </c>
      <c r="AF1097" s="475">
        <f t="shared" si="302"/>
        <v>8105.2999999999993</v>
      </c>
      <c r="AG1097" s="553"/>
      <c r="AH1097" s="553"/>
      <c r="AI1097" s="455"/>
    </row>
    <row r="1098" spans="24:35" x14ac:dyDescent="0.25">
      <c r="X1098" s="531" t="s">
        <v>1993</v>
      </c>
      <c r="Y1098" s="246" t="s">
        <v>1740</v>
      </c>
      <c r="Z1098" s="235" t="s">
        <v>205</v>
      </c>
      <c r="AA1098" s="235" t="s">
        <v>567</v>
      </c>
      <c r="AB1098" s="442" t="s">
        <v>1994</v>
      </c>
      <c r="AC1098" s="238"/>
      <c r="AD1098" s="292">
        <f>AD1099</f>
        <v>0</v>
      </c>
      <c r="AE1098" s="475">
        <f t="shared" si="302"/>
        <v>0</v>
      </c>
      <c r="AF1098" s="475">
        <f t="shared" si="302"/>
        <v>8105.2999999999993</v>
      </c>
      <c r="AG1098" s="553"/>
      <c r="AH1098" s="553"/>
      <c r="AI1098" s="455"/>
    </row>
    <row r="1099" spans="24:35" ht="31.5" x14ac:dyDescent="0.25">
      <c r="X1099" s="566" t="s">
        <v>1995</v>
      </c>
      <c r="Y1099" s="246" t="s">
        <v>1740</v>
      </c>
      <c r="Z1099" s="235" t="s">
        <v>205</v>
      </c>
      <c r="AA1099" s="235" t="s">
        <v>567</v>
      </c>
      <c r="AB1099" s="442" t="s">
        <v>1996</v>
      </c>
      <c r="AC1099" s="238"/>
      <c r="AD1099" s="292">
        <f t="shared" ref="AD1099:AF1101" si="303">AD1100</f>
        <v>0</v>
      </c>
      <c r="AE1099" s="475">
        <f t="shared" si="303"/>
        <v>0</v>
      </c>
      <c r="AF1099" s="475">
        <f t="shared" si="303"/>
        <v>8105.2999999999993</v>
      </c>
      <c r="AG1099" s="553"/>
      <c r="AH1099" s="553"/>
      <c r="AI1099" s="455"/>
    </row>
    <row r="1100" spans="24:35" ht="47.25" x14ac:dyDescent="0.25">
      <c r="X1100" s="551" t="s">
        <v>2270</v>
      </c>
      <c r="Y1100" s="246" t="s">
        <v>1740</v>
      </c>
      <c r="Z1100" s="255" t="s">
        <v>205</v>
      </c>
      <c r="AA1100" s="255" t="s">
        <v>567</v>
      </c>
      <c r="AB1100" s="442" t="s">
        <v>1997</v>
      </c>
      <c r="AC1100" s="238"/>
      <c r="AD1100" s="292">
        <f t="shared" si="303"/>
        <v>0</v>
      </c>
      <c r="AE1100" s="475">
        <f t="shared" si="303"/>
        <v>0</v>
      </c>
      <c r="AF1100" s="475">
        <f t="shared" si="303"/>
        <v>8105.2999999999993</v>
      </c>
      <c r="AG1100" s="553"/>
      <c r="AH1100" s="553"/>
      <c r="AI1100" s="455"/>
    </row>
    <row r="1101" spans="24:35" x14ac:dyDescent="0.25">
      <c r="X1101" s="567" t="s">
        <v>1817</v>
      </c>
      <c r="Y1101" s="246" t="s">
        <v>1740</v>
      </c>
      <c r="Z1101" s="255" t="s">
        <v>205</v>
      </c>
      <c r="AA1101" s="255" t="s">
        <v>567</v>
      </c>
      <c r="AB1101" s="272" t="s">
        <v>1997</v>
      </c>
      <c r="AC1101" s="589">
        <v>400</v>
      </c>
      <c r="AD1101" s="292">
        <f t="shared" si="303"/>
        <v>0</v>
      </c>
      <c r="AE1101" s="475">
        <f t="shared" si="303"/>
        <v>0</v>
      </c>
      <c r="AF1101" s="475">
        <f t="shared" si="303"/>
        <v>8105.2999999999993</v>
      </c>
      <c r="AG1101" s="553"/>
      <c r="AH1101" s="553"/>
      <c r="AI1101" s="455"/>
    </row>
    <row r="1102" spans="24:35" x14ac:dyDescent="0.25">
      <c r="X1102" s="519" t="s">
        <v>232</v>
      </c>
      <c r="Y1102" s="246" t="s">
        <v>1740</v>
      </c>
      <c r="Z1102" s="255" t="s">
        <v>205</v>
      </c>
      <c r="AA1102" s="255" t="s">
        <v>567</v>
      </c>
      <c r="AB1102" s="442" t="s">
        <v>1997</v>
      </c>
      <c r="AC1102" s="589">
        <v>410</v>
      </c>
      <c r="AD1102" s="292">
        <v>0</v>
      </c>
      <c r="AE1102" s="475">
        <v>0</v>
      </c>
      <c r="AF1102" s="475">
        <f>7699.4+405.9</f>
        <v>8105.2999999999993</v>
      </c>
      <c r="AG1102" s="553"/>
      <c r="AH1102" s="553"/>
      <c r="AI1102" s="455"/>
    </row>
    <row r="1103" spans="24:35" x14ac:dyDescent="0.25">
      <c r="X1103" s="558" t="s">
        <v>403</v>
      </c>
      <c r="Y1103" s="574" t="s">
        <v>1394</v>
      </c>
      <c r="Z1103" s="247" t="s">
        <v>290</v>
      </c>
      <c r="AA1103" s="248"/>
      <c r="AB1103" s="271"/>
      <c r="AC1103" s="589"/>
      <c r="AD1103" s="292">
        <f t="shared" ref="AD1103:AD1110" si="304">AD1104</f>
        <v>300</v>
      </c>
      <c r="AE1103" s="292">
        <f t="shared" ref="AE1103:AF1103" si="305">AE1104</f>
        <v>0</v>
      </c>
      <c r="AF1103" s="292">
        <f t="shared" si="305"/>
        <v>0</v>
      </c>
      <c r="AG1103" s="553"/>
      <c r="AH1103" s="553"/>
      <c r="AI1103" s="455"/>
    </row>
    <row r="1104" spans="24:35" x14ac:dyDescent="0.25">
      <c r="X1104" s="519" t="s">
        <v>1402</v>
      </c>
      <c r="Y1104" s="246" t="s">
        <v>1394</v>
      </c>
      <c r="Z1104" s="235" t="s">
        <v>290</v>
      </c>
      <c r="AA1104" s="235" t="s">
        <v>566</v>
      </c>
      <c r="AB1104" s="249"/>
      <c r="AC1104" s="589"/>
      <c r="AD1104" s="292">
        <f t="shared" si="304"/>
        <v>300</v>
      </c>
      <c r="AE1104" s="292">
        <f t="shared" ref="AE1104:AF1104" si="306">AE1105</f>
        <v>0</v>
      </c>
      <c r="AF1104" s="292">
        <f t="shared" si="306"/>
        <v>0</v>
      </c>
      <c r="AG1104" s="553"/>
      <c r="AH1104" s="553"/>
      <c r="AI1104" s="455"/>
    </row>
    <row r="1105" spans="1:35" x14ac:dyDescent="0.25">
      <c r="X1105" s="520" t="s">
        <v>1998</v>
      </c>
      <c r="Y1105" s="246" t="s">
        <v>1394</v>
      </c>
      <c r="Z1105" s="235" t="s">
        <v>290</v>
      </c>
      <c r="AA1105" s="235" t="s">
        <v>566</v>
      </c>
      <c r="AB1105" s="442" t="s">
        <v>1774</v>
      </c>
      <c r="AC1105" s="589"/>
      <c r="AD1105" s="292">
        <f t="shared" si="304"/>
        <v>300</v>
      </c>
      <c r="AE1105" s="292">
        <f t="shared" ref="AE1105:AF1105" si="307">AE1106</f>
        <v>0</v>
      </c>
      <c r="AF1105" s="292">
        <f t="shared" si="307"/>
        <v>0</v>
      </c>
      <c r="AG1105" s="553"/>
      <c r="AH1105" s="553"/>
      <c r="AI1105" s="455"/>
    </row>
    <row r="1106" spans="1:35" ht="31.5" x14ac:dyDescent="0.25">
      <c r="X1106" s="520" t="s">
        <v>2338</v>
      </c>
      <c r="Y1106" s="246" t="s">
        <v>1394</v>
      </c>
      <c r="Z1106" s="235" t="s">
        <v>290</v>
      </c>
      <c r="AA1106" s="235" t="s">
        <v>566</v>
      </c>
      <c r="AB1106" s="442" t="s">
        <v>2006</v>
      </c>
      <c r="AC1106" s="238"/>
      <c r="AD1106" s="292">
        <f t="shared" si="304"/>
        <v>300</v>
      </c>
      <c r="AE1106" s="292">
        <f t="shared" ref="AE1106:AF1106" si="308">AE1107</f>
        <v>0</v>
      </c>
      <c r="AF1106" s="292">
        <f t="shared" si="308"/>
        <v>0</v>
      </c>
      <c r="AG1106" s="553"/>
      <c r="AH1106" s="553"/>
      <c r="AI1106" s="455"/>
    </row>
    <row r="1107" spans="1:35" ht="31.5" x14ac:dyDescent="0.25">
      <c r="X1107" s="520" t="s">
        <v>2339</v>
      </c>
      <c r="Y1107" s="246" t="s">
        <v>1394</v>
      </c>
      <c r="Z1107" s="235" t="s">
        <v>290</v>
      </c>
      <c r="AA1107" s="235" t="s">
        <v>566</v>
      </c>
      <c r="AB1107" s="442" t="s">
        <v>2007</v>
      </c>
      <c r="AC1107" s="238"/>
      <c r="AD1107" s="292">
        <f t="shared" si="304"/>
        <v>300</v>
      </c>
      <c r="AE1107" s="292">
        <f t="shared" ref="AE1107:AF1107" si="309">AE1108</f>
        <v>0</v>
      </c>
      <c r="AF1107" s="292">
        <f t="shared" si="309"/>
        <v>0</v>
      </c>
      <c r="AG1107" s="553"/>
      <c r="AH1107" s="553"/>
      <c r="AI1107" s="455"/>
    </row>
    <row r="1108" spans="1:35" x14ac:dyDescent="0.25">
      <c r="X1108" s="559" t="s">
        <v>2008</v>
      </c>
      <c r="Y1108" s="246" t="s">
        <v>1394</v>
      </c>
      <c r="Z1108" s="235" t="s">
        <v>290</v>
      </c>
      <c r="AA1108" s="235" t="s">
        <v>566</v>
      </c>
      <c r="AB1108" s="442" t="s">
        <v>2009</v>
      </c>
      <c r="AC1108" s="238"/>
      <c r="AD1108" s="292">
        <f t="shared" si="304"/>
        <v>300</v>
      </c>
      <c r="AE1108" s="292">
        <f t="shared" ref="AE1108:AF1108" si="310">AE1109</f>
        <v>0</v>
      </c>
      <c r="AF1108" s="292">
        <f t="shared" si="310"/>
        <v>0</v>
      </c>
      <c r="AG1108" s="553"/>
      <c r="AH1108" s="553"/>
      <c r="AI1108" s="455"/>
    </row>
    <row r="1109" spans="1:35" ht="31.5" x14ac:dyDescent="0.25">
      <c r="X1109" s="519" t="s">
        <v>2010</v>
      </c>
      <c r="Y1109" s="246" t="s">
        <v>1394</v>
      </c>
      <c r="Z1109" s="235" t="s">
        <v>290</v>
      </c>
      <c r="AA1109" s="235" t="s">
        <v>566</v>
      </c>
      <c r="AB1109" s="442" t="s">
        <v>2011</v>
      </c>
      <c r="AC1109" s="238"/>
      <c r="AD1109" s="292">
        <f t="shared" si="304"/>
        <v>300</v>
      </c>
      <c r="AE1109" s="292">
        <f t="shared" ref="AE1109:AF1109" si="311">AE1110</f>
        <v>0</v>
      </c>
      <c r="AF1109" s="292">
        <f t="shared" si="311"/>
        <v>0</v>
      </c>
      <c r="AG1109" s="553"/>
      <c r="AH1109" s="553"/>
      <c r="AI1109" s="455"/>
    </row>
    <row r="1110" spans="1:35" x14ac:dyDescent="0.25">
      <c r="X1110" s="523" t="s">
        <v>1781</v>
      </c>
      <c r="Y1110" s="246" t="s">
        <v>1394</v>
      </c>
      <c r="Z1110" s="235" t="s">
        <v>290</v>
      </c>
      <c r="AA1110" s="235" t="s">
        <v>566</v>
      </c>
      <c r="AB1110" s="442" t="s">
        <v>2011</v>
      </c>
      <c r="AC1110" s="238">
        <v>200</v>
      </c>
      <c r="AD1110" s="292">
        <f t="shared" si="304"/>
        <v>300</v>
      </c>
      <c r="AE1110" s="292">
        <f t="shared" ref="AE1110:AF1110" si="312">AE1111</f>
        <v>0</v>
      </c>
      <c r="AF1110" s="292">
        <f t="shared" si="312"/>
        <v>0</v>
      </c>
      <c r="AG1110" s="553"/>
      <c r="AH1110" s="553"/>
      <c r="AI1110" s="455"/>
    </row>
    <row r="1111" spans="1:35" ht="31.5" x14ac:dyDescent="0.25">
      <c r="X1111" s="523" t="s">
        <v>1273</v>
      </c>
      <c r="Y1111" s="246" t="s">
        <v>1394</v>
      </c>
      <c r="Z1111" s="235" t="s">
        <v>290</v>
      </c>
      <c r="AA1111" s="235" t="s">
        <v>566</v>
      </c>
      <c r="AB1111" s="442" t="s">
        <v>2011</v>
      </c>
      <c r="AC1111" s="238">
        <v>240</v>
      </c>
      <c r="AD1111" s="292">
        <v>300</v>
      </c>
      <c r="AE1111" s="475">
        <v>0</v>
      </c>
      <c r="AF1111" s="475">
        <v>0</v>
      </c>
      <c r="AG1111" s="553"/>
      <c r="AH1111" s="553"/>
      <c r="AI1111" s="455"/>
    </row>
    <row r="1112" spans="1:35" s="363" customFormat="1" x14ac:dyDescent="0.25">
      <c r="A1112" s="423"/>
      <c r="B1112" s="424"/>
      <c r="C1112" s="425"/>
      <c r="D1112" s="425"/>
      <c r="E1112" s="425"/>
      <c r="F1112" s="425"/>
      <c r="G1112" s="425"/>
      <c r="I1112" s="426"/>
      <c r="J1112" s="426"/>
      <c r="K1112" s="426"/>
      <c r="L1112" s="426"/>
      <c r="M1112" s="426"/>
      <c r="N1112" s="426"/>
      <c r="O1112" s="427"/>
      <c r="P1112" s="428"/>
      <c r="R1112" s="429"/>
      <c r="S1112" s="430"/>
      <c r="W1112" s="367"/>
      <c r="X1112" s="558" t="s">
        <v>1745</v>
      </c>
      <c r="Y1112" s="574" t="s">
        <v>1740</v>
      </c>
      <c r="Z1112" s="247" t="s">
        <v>768</v>
      </c>
      <c r="AA1112" s="247"/>
      <c r="AB1112" s="271"/>
      <c r="AC1112" s="588"/>
      <c r="AD1112" s="733">
        <f>AD1113+AD1120+AD1129</f>
        <v>31028</v>
      </c>
      <c r="AE1112" s="478">
        <f>AE1113+AE1120+AE1129</f>
        <v>30175.7</v>
      </c>
      <c r="AF1112" s="478">
        <f>AF1113+AF1120+AF1129</f>
        <v>30909.7</v>
      </c>
      <c r="AG1112" s="640"/>
      <c r="AH1112" s="640"/>
      <c r="AI1112" s="455"/>
    </row>
    <row r="1113" spans="1:35" s="363" customFormat="1" x14ac:dyDescent="0.25">
      <c r="A1113" s="423"/>
      <c r="B1113" s="424"/>
      <c r="C1113" s="425"/>
      <c r="D1113" s="425"/>
      <c r="E1113" s="425"/>
      <c r="F1113" s="425"/>
      <c r="G1113" s="425"/>
      <c r="I1113" s="426"/>
      <c r="J1113" s="426"/>
      <c r="K1113" s="426"/>
      <c r="L1113" s="426"/>
      <c r="M1113" s="426"/>
      <c r="N1113" s="426"/>
      <c r="O1113" s="427"/>
      <c r="P1113" s="428"/>
      <c r="R1113" s="429"/>
      <c r="S1113" s="430"/>
      <c r="W1113" s="367"/>
      <c r="X1113" s="519" t="s">
        <v>1312</v>
      </c>
      <c r="Y1113" s="246" t="s">
        <v>1740</v>
      </c>
      <c r="Z1113" s="235">
        <v>10</v>
      </c>
      <c r="AA1113" s="235" t="s">
        <v>566</v>
      </c>
      <c r="AB1113" s="249"/>
      <c r="AC1113" s="588"/>
      <c r="AD1113" s="292">
        <f t="shared" ref="AD1113:AF1118" si="313">AD1114</f>
        <v>861.7</v>
      </c>
      <c r="AE1113" s="475">
        <f t="shared" si="313"/>
        <v>869.7</v>
      </c>
      <c r="AF1113" s="475">
        <f t="shared" si="313"/>
        <v>869.7</v>
      </c>
      <c r="AG1113" s="553"/>
      <c r="AH1113" s="553"/>
      <c r="AI1113" s="455"/>
    </row>
    <row r="1114" spans="1:35" s="363" customFormat="1" x14ac:dyDescent="0.25">
      <c r="A1114" s="423"/>
      <c r="B1114" s="424"/>
      <c r="C1114" s="425"/>
      <c r="D1114" s="425"/>
      <c r="E1114" s="425"/>
      <c r="F1114" s="425"/>
      <c r="G1114" s="425"/>
      <c r="I1114" s="426"/>
      <c r="J1114" s="426"/>
      <c r="K1114" s="426"/>
      <c r="L1114" s="426"/>
      <c r="M1114" s="426"/>
      <c r="N1114" s="426"/>
      <c r="O1114" s="427"/>
      <c r="P1114" s="428"/>
      <c r="R1114" s="429"/>
      <c r="S1114" s="430"/>
      <c r="W1114" s="367"/>
      <c r="X1114" s="548" t="s">
        <v>2074</v>
      </c>
      <c r="Y1114" s="246" t="s">
        <v>1740</v>
      </c>
      <c r="Z1114" s="235">
        <v>10</v>
      </c>
      <c r="AA1114" s="235" t="s">
        <v>566</v>
      </c>
      <c r="AB1114" s="442" t="s">
        <v>1768</v>
      </c>
      <c r="AC1114" s="588"/>
      <c r="AD1114" s="292">
        <f t="shared" si="313"/>
        <v>861.7</v>
      </c>
      <c r="AE1114" s="475">
        <f t="shared" si="313"/>
        <v>869.7</v>
      </c>
      <c r="AF1114" s="475">
        <f t="shared" si="313"/>
        <v>869.7</v>
      </c>
      <c r="AG1114" s="553"/>
      <c r="AH1114" s="553"/>
      <c r="AI1114" s="455"/>
    </row>
    <row r="1115" spans="1:35" s="363" customFormat="1" x14ac:dyDescent="0.25">
      <c r="A1115" s="423"/>
      <c r="B1115" s="424"/>
      <c r="C1115" s="425"/>
      <c r="D1115" s="425"/>
      <c r="E1115" s="425"/>
      <c r="F1115" s="425"/>
      <c r="G1115" s="425"/>
      <c r="I1115" s="426"/>
      <c r="J1115" s="426"/>
      <c r="K1115" s="426"/>
      <c r="L1115" s="426"/>
      <c r="M1115" s="426"/>
      <c r="N1115" s="426"/>
      <c r="O1115" s="427"/>
      <c r="P1115" s="428"/>
      <c r="R1115" s="429"/>
      <c r="S1115" s="430"/>
      <c r="W1115" s="367"/>
      <c r="X1115" s="524" t="s">
        <v>2075</v>
      </c>
      <c r="Y1115" s="246" t="s">
        <v>1740</v>
      </c>
      <c r="Z1115" s="235">
        <v>10</v>
      </c>
      <c r="AA1115" s="235" t="s">
        <v>566</v>
      </c>
      <c r="AB1115" s="442" t="s">
        <v>1779</v>
      </c>
      <c r="AC1115" s="588"/>
      <c r="AD1115" s="292">
        <f t="shared" ref="AD1115:AF1117" si="314">AD1116</f>
        <v>861.7</v>
      </c>
      <c r="AE1115" s="475">
        <f t="shared" si="314"/>
        <v>869.7</v>
      </c>
      <c r="AF1115" s="475">
        <f t="shared" si="314"/>
        <v>869.7</v>
      </c>
      <c r="AG1115" s="553"/>
      <c r="AH1115" s="553"/>
      <c r="AI1115" s="455"/>
    </row>
    <row r="1116" spans="1:35" s="363" customFormat="1" ht="31.5" x14ac:dyDescent="0.25">
      <c r="A1116" s="423"/>
      <c r="B1116" s="424"/>
      <c r="C1116" s="425"/>
      <c r="D1116" s="425"/>
      <c r="E1116" s="425"/>
      <c r="F1116" s="425"/>
      <c r="G1116" s="425"/>
      <c r="I1116" s="426"/>
      <c r="J1116" s="426"/>
      <c r="K1116" s="426"/>
      <c r="L1116" s="426"/>
      <c r="M1116" s="426"/>
      <c r="N1116" s="426"/>
      <c r="O1116" s="427"/>
      <c r="P1116" s="428"/>
      <c r="R1116" s="429"/>
      <c r="S1116" s="430"/>
      <c r="W1116" s="367"/>
      <c r="X1116" s="548" t="s">
        <v>2081</v>
      </c>
      <c r="Y1116" s="246" t="s">
        <v>1740</v>
      </c>
      <c r="Z1116" s="235">
        <v>10</v>
      </c>
      <c r="AA1116" s="235" t="s">
        <v>566</v>
      </c>
      <c r="AB1116" s="442" t="s">
        <v>2082</v>
      </c>
      <c r="AC1116" s="588"/>
      <c r="AD1116" s="292">
        <f t="shared" si="314"/>
        <v>861.7</v>
      </c>
      <c r="AE1116" s="475">
        <f t="shared" si="314"/>
        <v>869.7</v>
      </c>
      <c r="AF1116" s="475">
        <f t="shared" si="314"/>
        <v>869.7</v>
      </c>
      <c r="AG1116" s="553"/>
      <c r="AH1116" s="553"/>
      <c r="AI1116" s="455"/>
    </row>
    <row r="1117" spans="1:35" s="363" customFormat="1" ht="31.5" x14ac:dyDescent="0.25">
      <c r="A1117" s="423"/>
      <c r="B1117" s="424"/>
      <c r="C1117" s="425"/>
      <c r="D1117" s="425"/>
      <c r="E1117" s="425"/>
      <c r="F1117" s="425"/>
      <c r="G1117" s="425"/>
      <c r="I1117" s="426"/>
      <c r="J1117" s="426"/>
      <c r="K1117" s="426"/>
      <c r="L1117" s="426"/>
      <c r="M1117" s="426"/>
      <c r="N1117" s="426"/>
      <c r="O1117" s="427"/>
      <c r="P1117" s="428"/>
      <c r="R1117" s="429"/>
      <c r="S1117" s="430"/>
      <c r="W1117" s="367"/>
      <c r="X1117" s="529" t="s">
        <v>2083</v>
      </c>
      <c r="Y1117" s="246" t="s">
        <v>1740</v>
      </c>
      <c r="Z1117" s="235">
        <v>10</v>
      </c>
      <c r="AA1117" s="235" t="s">
        <v>566</v>
      </c>
      <c r="AB1117" s="442" t="s">
        <v>2084</v>
      </c>
      <c r="AC1117" s="588"/>
      <c r="AD1117" s="292">
        <f t="shared" si="314"/>
        <v>861.7</v>
      </c>
      <c r="AE1117" s="475">
        <f t="shared" si="314"/>
        <v>869.7</v>
      </c>
      <c r="AF1117" s="475">
        <f t="shared" si="314"/>
        <v>869.7</v>
      </c>
      <c r="AG1117" s="553"/>
      <c r="AH1117" s="553"/>
      <c r="AI1117" s="455"/>
    </row>
    <row r="1118" spans="1:35" x14ac:dyDescent="0.25">
      <c r="X1118" s="519" t="s">
        <v>1754</v>
      </c>
      <c r="Y1118" s="246" t="s">
        <v>1740</v>
      </c>
      <c r="Z1118" s="235">
        <v>10</v>
      </c>
      <c r="AA1118" s="235" t="s">
        <v>566</v>
      </c>
      <c r="AB1118" s="442" t="s">
        <v>2084</v>
      </c>
      <c r="AC1118" s="238">
        <v>300</v>
      </c>
      <c r="AD1118" s="292">
        <f t="shared" si="313"/>
        <v>861.7</v>
      </c>
      <c r="AE1118" s="475">
        <f t="shared" si="313"/>
        <v>869.7</v>
      </c>
      <c r="AF1118" s="475">
        <f t="shared" si="313"/>
        <v>869.7</v>
      </c>
      <c r="AG1118" s="553"/>
      <c r="AH1118" s="553"/>
      <c r="AI1118" s="455"/>
    </row>
    <row r="1119" spans="1:35" x14ac:dyDescent="0.25">
      <c r="X1119" s="519" t="s">
        <v>868</v>
      </c>
      <c r="Y1119" s="246" t="s">
        <v>1740</v>
      </c>
      <c r="Z1119" s="235">
        <v>10</v>
      </c>
      <c r="AA1119" s="235" t="s">
        <v>566</v>
      </c>
      <c r="AB1119" s="442" t="s">
        <v>2084</v>
      </c>
      <c r="AC1119" s="238">
        <v>320</v>
      </c>
      <c r="AD1119" s="292">
        <f>869.7-7-1</f>
        <v>861.7</v>
      </c>
      <c r="AE1119" s="475">
        <v>869.7</v>
      </c>
      <c r="AF1119" s="475">
        <v>869.7</v>
      </c>
      <c r="AG1119" s="553"/>
      <c r="AH1119" s="553"/>
      <c r="AI1119" s="455"/>
    </row>
    <row r="1120" spans="1:35" x14ac:dyDescent="0.25">
      <c r="X1120" s="519" t="s">
        <v>1322</v>
      </c>
      <c r="Y1120" s="246" t="s">
        <v>1740</v>
      </c>
      <c r="Z1120" s="235">
        <v>10</v>
      </c>
      <c r="AA1120" s="235" t="s">
        <v>193</v>
      </c>
      <c r="AB1120" s="249"/>
      <c r="AC1120" s="238"/>
      <c r="AD1120" s="292">
        <f t="shared" ref="AD1120:AF1121" si="315">AD1121</f>
        <v>19062</v>
      </c>
      <c r="AE1120" s="475">
        <f t="shared" si="315"/>
        <v>19747</v>
      </c>
      <c r="AF1120" s="475">
        <f t="shared" si="315"/>
        <v>20478</v>
      </c>
      <c r="AG1120" s="553"/>
      <c r="AH1120" s="553"/>
      <c r="AI1120" s="455"/>
    </row>
    <row r="1121" spans="1:35" x14ac:dyDescent="0.25">
      <c r="X1121" s="548" t="s">
        <v>2074</v>
      </c>
      <c r="Y1121" s="246" t="s">
        <v>1740</v>
      </c>
      <c r="Z1121" s="235">
        <v>10</v>
      </c>
      <c r="AA1121" s="235" t="s">
        <v>193</v>
      </c>
      <c r="AB1121" s="442" t="s">
        <v>1768</v>
      </c>
      <c r="AC1121" s="238"/>
      <c r="AD1121" s="292">
        <f t="shared" si="315"/>
        <v>19062</v>
      </c>
      <c r="AE1121" s="475">
        <f t="shared" si="315"/>
        <v>19747</v>
      </c>
      <c r="AF1121" s="475">
        <f t="shared" si="315"/>
        <v>20478</v>
      </c>
      <c r="AG1121" s="553"/>
      <c r="AH1121" s="553"/>
      <c r="AI1121" s="455"/>
    </row>
    <row r="1122" spans="1:35" x14ac:dyDescent="0.25">
      <c r="A1122" s="237"/>
      <c r="B1122" s="237"/>
      <c r="C1122" s="237"/>
      <c r="D1122" s="237"/>
      <c r="E1122" s="237"/>
      <c r="F1122" s="237"/>
      <c r="G1122" s="237"/>
      <c r="H1122" s="237"/>
      <c r="I1122" s="237"/>
      <c r="J1122" s="237"/>
      <c r="K1122" s="237"/>
      <c r="L1122" s="237"/>
      <c r="M1122" s="237"/>
      <c r="N1122" s="237"/>
      <c r="O1122" s="237"/>
      <c r="P1122" s="237"/>
      <c r="R1122" s="237"/>
      <c r="S1122" s="237"/>
      <c r="W1122" s="237"/>
      <c r="X1122" s="548" t="s">
        <v>2075</v>
      </c>
      <c r="Y1122" s="246" t="s">
        <v>1740</v>
      </c>
      <c r="Z1122" s="235">
        <v>10</v>
      </c>
      <c r="AA1122" s="235" t="s">
        <v>193</v>
      </c>
      <c r="AB1122" s="442" t="s">
        <v>1779</v>
      </c>
      <c r="AC1122" s="238"/>
      <c r="AD1122" s="292">
        <f>AD1124</f>
        <v>19062</v>
      </c>
      <c r="AE1122" s="475">
        <f>AE1124</f>
        <v>19747</v>
      </c>
      <c r="AF1122" s="475">
        <f>AF1124</f>
        <v>20478</v>
      </c>
      <c r="AG1122" s="553"/>
      <c r="AH1122" s="553"/>
      <c r="AI1122" s="455"/>
    </row>
    <row r="1123" spans="1:35" ht="47.25" x14ac:dyDescent="0.25">
      <c r="A1123" s="237"/>
      <c r="B1123" s="237"/>
      <c r="C1123" s="237"/>
      <c r="D1123" s="237"/>
      <c r="E1123" s="237"/>
      <c r="F1123" s="237"/>
      <c r="G1123" s="237"/>
      <c r="H1123" s="237"/>
      <c r="I1123" s="237"/>
      <c r="J1123" s="237"/>
      <c r="K1123" s="237"/>
      <c r="L1123" s="237"/>
      <c r="M1123" s="237"/>
      <c r="N1123" s="237"/>
      <c r="O1123" s="237"/>
      <c r="P1123" s="237"/>
      <c r="R1123" s="237"/>
      <c r="S1123" s="237"/>
      <c r="W1123" s="237"/>
      <c r="X1123" s="548" t="s">
        <v>2076</v>
      </c>
      <c r="Y1123" s="246" t="s">
        <v>1740</v>
      </c>
      <c r="Z1123" s="235">
        <v>10</v>
      </c>
      <c r="AA1123" s="235" t="s">
        <v>193</v>
      </c>
      <c r="AB1123" s="442" t="s">
        <v>2077</v>
      </c>
      <c r="AC1123" s="238"/>
      <c r="AD1123" s="292">
        <f>AD1124</f>
        <v>19062</v>
      </c>
      <c r="AE1123" s="475">
        <f>AE1124</f>
        <v>19747</v>
      </c>
      <c r="AF1123" s="475">
        <f>AF1124</f>
        <v>20478</v>
      </c>
      <c r="AG1123" s="553"/>
      <c r="AH1123" s="553"/>
      <c r="AI1123" s="455"/>
    </row>
    <row r="1124" spans="1:35" x14ac:dyDescent="0.25">
      <c r="A1124" s="237"/>
      <c r="B1124" s="237"/>
      <c r="C1124" s="237"/>
      <c r="D1124" s="237"/>
      <c r="E1124" s="237"/>
      <c r="F1124" s="237"/>
      <c r="G1124" s="237"/>
      <c r="H1124" s="237"/>
      <c r="I1124" s="237"/>
      <c r="J1124" s="237"/>
      <c r="K1124" s="237"/>
      <c r="L1124" s="237"/>
      <c r="M1124" s="237"/>
      <c r="N1124" s="237"/>
      <c r="O1124" s="237"/>
      <c r="P1124" s="237"/>
      <c r="R1124" s="237"/>
      <c r="S1124" s="237"/>
      <c r="W1124" s="237"/>
      <c r="X1124" s="531" t="s">
        <v>1783</v>
      </c>
      <c r="Y1124" s="246" t="s">
        <v>1740</v>
      </c>
      <c r="Z1124" s="235">
        <v>10</v>
      </c>
      <c r="AA1124" s="235" t="s">
        <v>193</v>
      </c>
      <c r="AB1124" s="442" t="s">
        <v>2078</v>
      </c>
      <c r="AC1124" s="238"/>
      <c r="AD1124" s="292">
        <f>AD1125+AD1127</f>
        <v>19062</v>
      </c>
      <c r="AE1124" s="475">
        <f>AE1125+AE1127</f>
        <v>19747</v>
      </c>
      <c r="AF1124" s="475">
        <f>AF1125+AF1127</f>
        <v>20478</v>
      </c>
      <c r="AG1124" s="553"/>
      <c r="AH1124" s="553"/>
      <c r="AI1124" s="455"/>
    </row>
    <row r="1125" spans="1:35" x14ac:dyDescent="0.25">
      <c r="A1125" s="237"/>
      <c r="B1125" s="237"/>
      <c r="C1125" s="237"/>
      <c r="D1125" s="237"/>
      <c r="E1125" s="237"/>
      <c r="F1125" s="237"/>
      <c r="G1125" s="237"/>
      <c r="H1125" s="237"/>
      <c r="I1125" s="237"/>
      <c r="J1125" s="237"/>
      <c r="K1125" s="237"/>
      <c r="L1125" s="237"/>
      <c r="M1125" s="237"/>
      <c r="N1125" s="237"/>
      <c r="O1125" s="237"/>
      <c r="P1125" s="237"/>
      <c r="R1125" s="237"/>
      <c r="S1125" s="237"/>
      <c r="W1125" s="237"/>
      <c r="X1125" s="519" t="s">
        <v>1781</v>
      </c>
      <c r="Y1125" s="246" t="s">
        <v>1740</v>
      </c>
      <c r="Z1125" s="235">
        <v>10</v>
      </c>
      <c r="AA1125" s="235" t="s">
        <v>193</v>
      </c>
      <c r="AB1125" s="442" t="s">
        <v>2078</v>
      </c>
      <c r="AC1125" s="238">
        <v>200</v>
      </c>
      <c r="AD1125" s="292">
        <f>AD1126</f>
        <v>153.5</v>
      </c>
      <c r="AE1125" s="475">
        <f>AE1126</f>
        <v>167</v>
      </c>
      <c r="AF1125" s="475">
        <f>AF1126</f>
        <v>170</v>
      </c>
      <c r="AG1125" s="553"/>
      <c r="AH1125" s="553"/>
      <c r="AI1125" s="455"/>
    </row>
    <row r="1126" spans="1:35" ht="31.5" x14ac:dyDescent="0.25">
      <c r="X1126" s="519" t="s">
        <v>1273</v>
      </c>
      <c r="Y1126" s="246" t="s">
        <v>1740</v>
      </c>
      <c r="Z1126" s="235">
        <v>10</v>
      </c>
      <c r="AA1126" s="235" t="s">
        <v>193</v>
      </c>
      <c r="AB1126" s="442" t="s">
        <v>2078</v>
      </c>
      <c r="AC1126" s="238">
        <v>240</v>
      </c>
      <c r="AD1126" s="292">
        <v>153.5</v>
      </c>
      <c r="AE1126" s="475">
        <v>167</v>
      </c>
      <c r="AF1126" s="475">
        <v>170</v>
      </c>
      <c r="AG1126" s="553"/>
      <c r="AH1126" s="553"/>
      <c r="AI1126" s="455"/>
    </row>
    <row r="1127" spans="1:35" x14ac:dyDescent="0.25">
      <c r="X1127" s="519" t="s">
        <v>1754</v>
      </c>
      <c r="Y1127" s="246" t="s">
        <v>1740</v>
      </c>
      <c r="Z1127" s="235">
        <v>10</v>
      </c>
      <c r="AA1127" s="235" t="s">
        <v>193</v>
      </c>
      <c r="AB1127" s="442" t="s">
        <v>2078</v>
      </c>
      <c r="AC1127" s="238">
        <v>300</v>
      </c>
      <c r="AD1127" s="292">
        <f>AD1128</f>
        <v>18908.5</v>
      </c>
      <c r="AE1127" s="475">
        <f>AE1128</f>
        <v>19580</v>
      </c>
      <c r="AF1127" s="475">
        <f>AF1128</f>
        <v>20308</v>
      </c>
      <c r="AG1127" s="553"/>
      <c r="AH1127" s="553"/>
      <c r="AI1127" s="455"/>
    </row>
    <row r="1128" spans="1:35" x14ac:dyDescent="0.25">
      <c r="X1128" s="519" t="s">
        <v>1804</v>
      </c>
      <c r="Y1128" s="246" t="s">
        <v>1740</v>
      </c>
      <c r="Z1128" s="235">
        <v>10</v>
      </c>
      <c r="AA1128" s="235" t="s">
        <v>193</v>
      </c>
      <c r="AB1128" s="442" t="s">
        <v>2078</v>
      </c>
      <c r="AC1128" s="238">
        <v>310</v>
      </c>
      <c r="AD1128" s="292">
        <v>18908.5</v>
      </c>
      <c r="AE1128" s="475">
        <v>19580</v>
      </c>
      <c r="AF1128" s="475">
        <v>20308</v>
      </c>
      <c r="AG1128" s="553"/>
      <c r="AH1128" s="553"/>
      <c r="AI1128" s="455"/>
    </row>
    <row r="1129" spans="1:35" x14ac:dyDescent="0.25">
      <c r="X1129" s="519" t="s">
        <v>605</v>
      </c>
      <c r="Y1129" s="246" t="s">
        <v>1740</v>
      </c>
      <c r="Z1129" s="235">
        <v>10</v>
      </c>
      <c r="AA1129" s="235" t="s">
        <v>1181</v>
      </c>
      <c r="AB1129" s="249"/>
      <c r="AC1129" s="238"/>
      <c r="AD1129" s="292">
        <f t="shared" ref="AD1129:AF1137" si="316">AD1130</f>
        <v>11104.3</v>
      </c>
      <c r="AE1129" s="475">
        <f t="shared" si="316"/>
        <v>9559</v>
      </c>
      <c r="AF1129" s="475">
        <f t="shared" si="316"/>
        <v>9562</v>
      </c>
      <c r="AG1129" s="553"/>
      <c r="AH1129" s="553"/>
      <c r="AI1129" s="455"/>
    </row>
    <row r="1130" spans="1:35" x14ac:dyDescent="0.25">
      <c r="X1130" s="548" t="s">
        <v>1890</v>
      </c>
      <c r="Y1130" s="246" t="s">
        <v>1740</v>
      </c>
      <c r="Z1130" s="235">
        <v>10</v>
      </c>
      <c r="AA1130" s="235" t="s">
        <v>1181</v>
      </c>
      <c r="AB1130" s="442" t="s">
        <v>1776</v>
      </c>
      <c r="AC1130" s="238"/>
      <c r="AD1130" s="292">
        <f t="shared" si="316"/>
        <v>11104.3</v>
      </c>
      <c r="AE1130" s="475">
        <f t="shared" si="316"/>
        <v>9559</v>
      </c>
      <c r="AF1130" s="475">
        <f t="shared" si="316"/>
        <v>9562</v>
      </c>
      <c r="AG1130" s="553"/>
      <c r="AH1130" s="553"/>
      <c r="AI1130" s="455"/>
    </row>
    <row r="1131" spans="1:35" x14ac:dyDescent="0.25">
      <c r="X1131" s="548" t="s">
        <v>1889</v>
      </c>
      <c r="Y1131" s="246" t="s">
        <v>1740</v>
      </c>
      <c r="Z1131" s="235">
        <v>10</v>
      </c>
      <c r="AA1131" s="235" t="s">
        <v>1181</v>
      </c>
      <c r="AB1131" s="442" t="s">
        <v>1824</v>
      </c>
      <c r="AC1131" s="238"/>
      <c r="AD1131" s="292">
        <f t="shared" si="316"/>
        <v>11104.3</v>
      </c>
      <c r="AE1131" s="475">
        <f t="shared" si="316"/>
        <v>9559</v>
      </c>
      <c r="AF1131" s="475">
        <f t="shared" si="316"/>
        <v>9562</v>
      </c>
      <c r="AG1131" s="553"/>
      <c r="AH1131" s="553"/>
      <c r="AI1131" s="455"/>
    </row>
    <row r="1132" spans="1:35" ht="47.25" x14ac:dyDescent="0.25">
      <c r="X1132" s="548" t="s">
        <v>1886</v>
      </c>
      <c r="Y1132" s="246" t="s">
        <v>1740</v>
      </c>
      <c r="Z1132" s="235">
        <v>10</v>
      </c>
      <c r="AA1132" s="235" t="s">
        <v>1181</v>
      </c>
      <c r="AB1132" s="442" t="s">
        <v>1823</v>
      </c>
      <c r="AC1132" s="238"/>
      <c r="AD1132" s="292">
        <f>AD1136+AD1133</f>
        <v>11104.3</v>
      </c>
      <c r="AE1132" s="475">
        <f>AE1136+AE1133</f>
        <v>9559</v>
      </c>
      <c r="AF1132" s="475">
        <f>AF1136+AF1133</f>
        <v>9562</v>
      </c>
      <c r="AG1132" s="553"/>
      <c r="AH1132" s="553"/>
      <c r="AI1132" s="455"/>
    </row>
    <row r="1133" spans="1:35" x14ac:dyDescent="0.25">
      <c r="X1133" s="712" t="s">
        <v>2356</v>
      </c>
      <c r="Y1133" s="246" t="s">
        <v>1740</v>
      </c>
      <c r="Z1133" s="235">
        <v>10</v>
      </c>
      <c r="AA1133" s="235" t="s">
        <v>1181</v>
      </c>
      <c r="AB1133" s="442" t="s">
        <v>2357</v>
      </c>
      <c r="AC1133" s="238"/>
      <c r="AD1133" s="292">
        <f t="shared" ref="AD1133:AF1134" si="317">AD1134</f>
        <v>1352.3999999999999</v>
      </c>
      <c r="AE1133" s="475">
        <f t="shared" si="317"/>
        <v>0</v>
      </c>
      <c r="AF1133" s="475">
        <f t="shared" si="317"/>
        <v>0</v>
      </c>
      <c r="AG1133" s="553"/>
      <c r="AH1133" s="553"/>
      <c r="AI1133" s="455"/>
    </row>
    <row r="1134" spans="1:35" x14ac:dyDescent="0.25">
      <c r="X1134" s="519" t="s">
        <v>1754</v>
      </c>
      <c r="Y1134" s="246" t="s">
        <v>1740</v>
      </c>
      <c r="Z1134" s="235">
        <v>10</v>
      </c>
      <c r="AA1134" s="235" t="s">
        <v>1181</v>
      </c>
      <c r="AB1134" s="442" t="s">
        <v>2357</v>
      </c>
      <c r="AC1134" s="238">
        <v>300</v>
      </c>
      <c r="AD1134" s="292">
        <f t="shared" si="317"/>
        <v>1352.3999999999999</v>
      </c>
      <c r="AE1134" s="475">
        <f t="shared" si="317"/>
        <v>0</v>
      </c>
      <c r="AF1134" s="475">
        <f t="shared" si="317"/>
        <v>0</v>
      </c>
      <c r="AG1134" s="553"/>
      <c r="AH1134" s="553"/>
      <c r="AI1134" s="455"/>
    </row>
    <row r="1135" spans="1:35" x14ac:dyDescent="0.25">
      <c r="X1135" s="519" t="s">
        <v>444</v>
      </c>
      <c r="Y1135" s="246" t="s">
        <v>1740</v>
      </c>
      <c r="Z1135" s="235">
        <v>10</v>
      </c>
      <c r="AA1135" s="235" t="s">
        <v>1181</v>
      </c>
      <c r="AB1135" s="442" t="s">
        <v>2357</v>
      </c>
      <c r="AC1135" s="238">
        <v>320</v>
      </c>
      <c r="AD1135" s="292">
        <f>1383.6-31.2</f>
        <v>1352.3999999999999</v>
      </c>
      <c r="AE1135" s="475">
        <v>0</v>
      </c>
      <c r="AF1135" s="475">
        <v>0</v>
      </c>
      <c r="AG1135" s="553"/>
      <c r="AH1135" s="553"/>
      <c r="AI1135" s="455"/>
    </row>
    <row r="1136" spans="1:35" x14ac:dyDescent="0.25">
      <c r="X1136" s="548" t="s">
        <v>1887</v>
      </c>
      <c r="Y1136" s="246" t="s">
        <v>1740</v>
      </c>
      <c r="Z1136" s="235">
        <v>10</v>
      </c>
      <c r="AA1136" s="235" t="s">
        <v>1181</v>
      </c>
      <c r="AB1136" s="442" t="s">
        <v>1888</v>
      </c>
      <c r="AC1136" s="238"/>
      <c r="AD1136" s="292">
        <f t="shared" si="316"/>
        <v>9751.9</v>
      </c>
      <c r="AE1136" s="475">
        <f t="shared" si="316"/>
        <v>9559</v>
      </c>
      <c r="AF1136" s="475">
        <f t="shared" si="316"/>
        <v>9562</v>
      </c>
      <c r="AG1136" s="553"/>
      <c r="AH1136" s="553"/>
      <c r="AI1136" s="455"/>
    </row>
    <row r="1137" spans="1:35" x14ac:dyDescent="0.25">
      <c r="X1137" s="519" t="s">
        <v>1754</v>
      </c>
      <c r="Y1137" s="246" t="s">
        <v>1740</v>
      </c>
      <c r="Z1137" s="235">
        <v>10</v>
      </c>
      <c r="AA1137" s="235" t="s">
        <v>1181</v>
      </c>
      <c r="AB1137" s="442" t="s">
        <v>1888</v>
      </c>
      <c r="AC1137" s="238">
        <v>300</v>
      </c>
      <c r="AD1137" s="292">
        <f t="shared" si="316"/>
        <v>9751.9</v>
      </c>
      <c r="AE1137" s="475">
        <f t="shared" si="316"/>
        <v>9559</v>
      </c>
      <c r="AF1137" s="475">
        <f t="shared" si="316"/>
        <v>9562</v>
      </c>
      <c r="AG1137" s="553"/>
      <c r="AH1137" s="553"/>
      <c r="AI1137" s="455"/>
    </row>
    <row r="1138" spans="1:35" x14ac:dyDescent="0.25">
      <c r="X1138" s="519" t="s">
        <v>444</v>
      </c>
      <c r="Y1138" s="246" t="s">
        <v>1740</v>
      </c>
      <c r="Z1138" s="235">
        <v>10</v>
      </c>
      <c r="AA1138" s="235" t="s">
        <v>1181</v>
      </c>
      <c r="AB1138" s="442" t="s">
        <v>1888</v>
      </c>
      <c r="AC1138" s="238">
        <v>320</v>
      </c>
      <c r="AD1138" s="292">
        <f>5288.2+4397.1-893.7-743.1+743.2+893.7+35.3+31.2</f>
        <v>9751.9</v>
      </c>
      <c r="AE1138" s="475">
        <f>5282+4277</f>
        <v>9559</v>
      </c>
      <c r="AF1138" s="475">
        <f>5275+4287</f>
        <v>9562</v>
      </c>
      <c r="AG1138" s="553"/>
      <c r="AH1138" s="553"/>
      <c r="AI1138" s="455"/>
    </row>
    <row r="1139" spans="1:35" x14ac:dyDescent="0.25">
      <c r="X1139" s="558" t="s">
        <v>282</v>
      </c>
      <c r="Y1139" s="574" t="s">
        <v>1740</v>
      </c>
      <c r="Z1139" s="263">
        <v>11</v>
      </c>
      <c r="AA1139" s="235"/>
      <c r="AB1139" s="442"/>
      <c r="AC1139" s="238"/>
      <c r="AD1139" s="733">
        <f t="shared" ref="AD1139:AD1145" si="318">AD1140</f>
        <v>5100</v>
      </c>
      <c r="AE1139" s="478">
        <f t="shared" ref="AE1139:AF1145" si="319">AE1140</f>
        <v>0</v>
      </c>
      <c r="AF1139" s="478">
        <f t="shared" si="319"/>
        <v>0</v>
      </c>
      <c r="AG1139" s="553"/>
      <c r="AH1139" s="553"/>
      <c r="AI1139" s="455"/>
    </row>
    <row r="1140" spans="1:35" x14ac:dyDescent="0.25">
      <c r="X1140" s="519" t="s">
        <v>758</v>
      </c>
      <c r="Y1140" s="246" t="s">
        <v>1740</v>
      </c>
      <c r="Z1140" s="235">
        <v>11</v>
      </c>
      <c r="AA1140" s="235" t="s">
        <v>567</v>
      </c>
      <c r="AB1140" s="442"/>
      <c r="AC1140" s="583"/>
      <c r="AD1140" s="292">
        <f t="shared" si="318"/>
        <v>5100</v>
      </c>
      <c r="AE1140" s="475">
        <f t="shared" si="319"/>
        <v>0</v>
      </c>
      <c r="AF1140" s="475">
        <f t="shared" si="319"/>
        <v>0</v>
      </c>
      <c r="AG1140" s="553"/>
      <c r="AH1140" s="553"/>
      <c r="AI1140" s="455"/>
    </row>
    <row r="1141" spans="1:35" x14ac:dyDescent="0.25">
      <c r="X1141" s="520" t="s">
        <v>1846</v>
      </c>
      <c r="Y1141" s="246" t="s">
        <v>1740</v>
      </c>
      <c r="Z1141" s="235">
        <v>11</v>
      </c>
      <c r="AA1141" s="235" t="s">
        <v>567</v>
      </c>
      <c r="AB1141" s="442" t="s">
        <v>1775</v>
      </c>
      <c r="AC1141" s="583"/>
      <c r="AD1141" s="292">
        <f t="shared" si="318"/>
        <v>5100</v>
      </c>
      <c r="AE1141" s="475">
        <f t="shared" si="319"/>
        <v>0</v>
      </c>
      <c r="AF1141" s="475">
        <f t="shared" si="319"/>
        <v>0</v>
      </c>
      <c r="AG1141" s="553"/>
      <c r="AH1141" s="553"/>
      <c r="AI1141" s="455"/>
    </row>
    <row r="1142" spans="1:35" x14ac:dyDescent="0.25">
      <c r="X1142" s="520" t="s">
        <v>1847</v>
      </c>
      <c r="Y1142" s="246" t="s">
        <v>1740</v>
      </c>
      <c r="Z1142" s="235">
        <v>11</v>
      </c>
      <c r="AA1142" s="235" t="s">
        <v>567</v>
      </c>
      <c r="AB1142" s="442" t="s">
        <v>1780</v>
      </c>
      <c r="AC1142" s="583"/>
      <c r="AD1142" s="292">
        <f t="shared" si="318"/>
        <v>5100</v>
      </c>
      <c r="AE1142" s="475">
        <f t="shared" si="319"/>
        <v>0</v>
      </c>
      <c r="AF1142" s="475">
        <f t="shared" si="319"/>
        <v>0</v>
      </c>
      <c r="AG1142" s="553"/>
      <c r="AH1142" s="553"/>
      <c r="AI1142" s="455"/>
    </row>
    <row r="1143" spans="1:35" ht="31.5" x14ac:dyDescent="0.25">
      <c r="X1143" s="520" t="s">
        <v>1848</v>
      </c>
      <c r="Y1143" s="246" t="s">
        <v>1740</v>
      </c>
      <c r="Z1143" s="235">
        <v>11</v>
      </c>
      <c r="AA1143" s="235" t="s">
        <v>567</v>
      </c>
      <c r="AB1143" s="442" t="s">
        <v>1799</v>
      </c>
      <c r="AC1143" s="583"/>
      <c r="AD1143" s="292">
        <f t="shared" si="318"/>
        <v>5100</v>
      </c>
      <c r="AE1143" s="475">
        <f t="shared" si="319"/>
        <v>0</v>
      </c>
      <c r="AF1143" s="475">
        <f t="shared" si="319"/>
        <v>0</v>
      </c>
      <c r="AG1143" s="553"/>
      <c r="AH1143" s="553"/>
      <c r="AI1143" s="455"/>
    </row>
    <row r="1144" spans="1:35" ht="36.6" customHeight="1" x14ac:dyDescent="0.25">
      <c r="X1144" s="552" t="s">
        <v>2435</v>
      </c>
      <c r="Y1144" s="246" t="s">
        <v>1740</v>
      </c>
      <c r="Z1144" s="235">
        <v>11</v>
      </c>
      <c r="AA1144" s="235" t="s">
        <v>567</v>
      </c>
      <c r="AB1144" s="442" t="s">
        <v>2351</v>
      </c>
      <c r="AC1144" s="583"/>
      <c r="AD1144" s="292">
        <f t="shared" si="318"/>
        <v>5100</v>
      </c>
      <c r="AE1144" s="475">
        <f t="shared" si="319"/>
        <v>0</v>
      </c>
      <c r="AF1144" s="475">
        <f t="shared" si="319"/>
        <v>0</v>
      </c>
      <c r="AG1144" s="553"/>
      <c r="AH1144" s="553"/>
      <c r="AI1144" s="455"/>
    </row>
    <row r="1145" spans="1:35" x14ac:dyDescent="0.25">
      <c r="X1145" s="519" t="s">
        <v>1781</v>
      </c>
      <c r="Y1145" s="246" t="s">
        <v>1740</v>
      </c>
      <c r="Z1145" s="235">
        <v>11</v>
      </c>
      <c r="AA1145" s="235" t="s">
        <v>567</v>
      </c>
      <c r="AB1145" s="442" t="s">
        <v>2351</v>
      </c>
      <c r="AC1145" s="238">
        <v>200</v>
      </c>
      <c r="AD1145" s="292">
        <f t="shared" si="318"/>
        <v>5100</v>
      </c>
      <c r="AE1145" s="475">
        <f t="shared" si="319"/>
        <v>0</v>
      </c>
      <c r="AF1145" s="475">
        <f t="shared" si="319"/>
        <v>0</v>
      </c>
      <c r="AG1145" s="553"/>
      <c r="AH1145" s="553"/>
      <c r="AI1145" s="455"/>
    </row>
    <row r="1146" spans="1:35" ht="31.5" x14ac:dyDescent="0.25">
      <c r="X1146" s="519" t="s">
        <v>1273</v>
      </c>
      <c r="Y1146" s="246" t="s">
        <v>1740</v>
      </c>
      <c r="Z1146" s="235">
        <v>11</v>
      </c>
      <c r="AA1146" s="235" t="s">
        <v>567</v>
      </c>
      <c r="AB1146" s="442" t="s">
        <v>2351</v>
      </c>
      <c r="AC1146" s="238">
        <v>240</v>
      </c>
      <c r="AD1146" s="292">
        <f>6000-900</f>
        <v>5100</v>
      </c>
      <c r="AE1146" s="475">
        <v>0</v>
      </c>
      <c r="AF1146" s="475">
        <v>0</v>
      </c>
      <c r="AG1146" s="553"/>
      <c r="AH1146" s="553"/>
      <c r="AI1146" s="455"/>
    </row>
    <row r="1147" spans="1:35" s="363" customFormat="1" ht="18.75" x14ac:dyDescent="0.3">
      <c r="A1147" s="423"/>
      <c r="B1147" s="424"/>
      <c r="C1147" s="425"/>
      <c r="D1147" s="425"/>
      <c r="E1147" s="425"/>
      <c r="F1147" s="425"/>
      <c r="G1147" s="425"/>
      <c r="I1147" s="426"/>
      <c r="J1147" s="426"/>
      <c r="K1147" s="426"/>
      <c r="L1147" s="426"/>
      <c r="M1147" s="426"/>
      <c r="N1147" s="426"/>
      <c r="O1147" s="427"/>
      <c r="P1147" s="428"/>
      <c r="R1147" s="429"/>
      <c r="S1147" s="430"/>
      <c r="W1147" s="367"/>
      <c r="X1147" s="558" t="s">
        <v>1828</v>
      </c>
      <c r="Y1147" s="574">
        <v>904</v>
      </c>
      <c r="Z1147" s="264"/>
      <c r="AA1147" s="236"/>
      <c r="AB1147" s="249"/>
      <c r="AC1147" s="593"/>
      <c r="AD1147" s="733">
        <f>AD1148+AD1178</f>
        <v>7863.5</v>
      </c>
      <c r="AE1147" s="478">
        <f>AE1148+AE1178</f>
        <v>7806.7</v>
      </c>
      <c r="AF1147" s="478">
        <f>AF1148+AF1178</f>
        <v>7806.7</v>
      </c>
      <c r="AG1147" s="640"/>
      <c r="AH1147" s="640"/>
      <c r="AI1147" s="455"/>
    </row>
    <row r="1148" spans="1:35" s="363" customFormat="1" x14ac:dyDescent="0.25">
      <c r="A1148" s="423"/>
      <c r="B1148" s="424"/>
      <c r="C1148" s="425"/>
      <c r="D1148" s="425"/>
      <c r="E1148" s="425"/>
      <c r="F1148" s="425"/>
      <c r="G1148" s="425"/>
      <c r="I1148" s="426"/>
      <c r="J1148" s="426"/>
      <c r="K1148" s="426"/>
      <c r="L1148" s="426"/>
      <c r="M1148" s="426"/>
      <c r="N1148" s="426"/>
      <c r="O1148" s="427"/>
      <c r="P1148" s="428"/>
      <c r="R1148" s="429"/>
      <c r="S1148" s="430"/>
      <c r="W1148" s="367"/>
      <c r="X1148" s="558" t="s">
        <v>482</v>
      </c>
      <c r="Y1148" s="574">
        <v>904</v>
      </c>
      <c r="Z1148" s="262" t="s">
        <v>566</v>
      </c>
      <c r="AA1148" s="248"/>
      <c r="AB1148" s="271"/>
      <c r="AC1148" s="575"/>
      <c r="AD1148" s="733">
        <f>AD1149</f>
        <v>7348.2</v>
      </c>
      <c r="AE1148" s="478">
        <f>AE1149</f>
        <v>7291.4</v>
      </c>
      <c r="AF1148" s="478">
        <f>AF1149</f>
        <v>7291.4</v>
      </c>
      <c r="AG1148" s="640"/>
      <c r="AH1148" s="640"/>
      <c r="AI1148" s="455"/>
    </row>
    <row r="1149" spans="1:35" s="363" customFormat="1" ht="31.5" x14ac:dyDescent="0.25">
      <c r="A1149" s="423"/>
      <c r="B1149" s="424"/>
      <c r="C1149" s="425"/>
      <c r="D1149" s="425"/>
      <c r="E1149" s="425"/>
      <c r="F1149" s="425"/>
      <c r="G1149" s="425"/>
      <c r="I1149" s="426"/>
      <c r="J1149" s="426"/>
      <c r="K1149" s="426"/>
      <c r="L1149" s="426"/>
      <c r="M1149" s="426"/>
      <c r="N1149" s="426"/>
      <c r="O1149" s="427"/>
      <c r="P1149" s="428"/>
      <c r="R1149" s="429"/>
      <c r="S1149" s="430"/>
      <c r="W1149" s="367"/>
      <c r="X1149" s="519" t="s">
        <v>1469</v>
      </c>
      <c r="Y1149" s="246">
        <v>904</v>
      </c>
      <c r="Z1149" s="235" t="s">
        <v>566</v>
      </c>
      <c r="AA1149" s="235" t="s">
        <v>1746</v>
      </c>
      <c r="AB1149" s="271"/>
      <c r="AC1149" s="575"/>
      <c r="AD1149" s="292">
        <f>AD1162+AD1156+AD1150</f>
        <v>7348.2</v>
      </c>
      <c r="AE1149" s="475">
        <f>AE1162+AE1156+AE1150</f>
        <v>7291.4</v>
      </c>
      <c r="AF1149" s="475">
        <f>AF1162+AF1156+AF1150</f>
        <v>7291.4</v>
      </c>
      <c r="AG1149" s="553"/>
      <c r="AH1149" s="553"/>
      <c r="AI1149" s="455"/>
    </row>
    <row r="1150" spans="1:35" s="363" customFormat="1" x14ac:dyDescent="0.25">
      <c r="A1150" s="423"/>
      <c r="B1150" s="424"/>
      <c r="C1150" s="425"/>
      <c r="D1150" s="425"/>
      <c r="E1150" s="425"/>
      <c r="F1150" s="425"/>
      <c r="G1150" s="425"/>
      <c r="I1150" s="426"/>
      <c r="J1150" s="426"/>
      <c r="K1150" s="426"/>
      <c r="L1150" s="426"/>
      <c r="M1150" s="426"/>
      <c r="N1150" s="426"/>
      <c r="O1150" s="427"/>
      <c r="P1150" s="428"/>
      <c r="R1150" s="429"/>
      <c r="S1150" s="430"/>
      <c r="W1150" s="367"/>
      <c r="X1150" s="520" t="s">
        <v>1998</v>
      </c>
      <c r="Y1150" s="246">
        <v>904</v>
      </c>
      <c r="Z1150" s="235" t="s">
        <v>566</v>
      </c>
      <c r="AA1150" s="235" t="s">
        <v>1746</v>
      </c>
      <c r="AB1150" s="442" t="s">
        <v>1774</v>
      </c>
      <c r="AC1150" s="576"/>
      <c r="AD1150" s="292">
        <f t="shared" ref="AD1150:AF1151" si="320">AD1151</f>
        <v>56.8</v>
      </c>
      <c r="AE1150" s="475">
        <f t="shared" si="320"/>
        <v>0</v>
      </c>
      <c r="AF1150" s="475">
        <f t="shared" si="320"/>
        <v>0</v>
      </c>
      <c r="AG1150" s="553"/>
      <c r="AH1150" s="553"/>
      <c r="AI1150" s="455"/>
    </row>
    <row r="1151" spans="1:35" s="363" customFormat="1" x14ac:dyDescent="0.25">
      <c r="A1151" s="423"/>
      <c r="B1151" s="424"/>
      <c r="C1151" s="425"/>
      <c r="D1151" s="425"/>
      <c r="E1151" s="425"/>
      <c r="F1151" s="425"/>
      <c r="G1151" s="425"/>
      <c r="I1151" s="426"/>
      <c r="J1151" s="426"/>
      <c r="K1151" s="426"/>
      <c r="L1151" s="426"/>
      <c r="M1151" s="426"/>
      <c r="N1151" s="426"/>
      <c r="O1151" s="427"/>
      <c r="P1151" s="428"/>
      <c r="R1151" s="429"/>
      <c r="S1151" s="430"/>
      <c r="W1151" s="367"/>
      <c r="X1151" s="517" t="s">
        <v>2337</v>
      </c>
      <c r="Y1151" s="246">
        <v>904</v>
      </c>
      <c r="Z1151" s="235" t="s">
        <v>566</v>
      </c>
      <c r="AA1151" s="235" t="s">
        <v>1746</v>
      </c>
      <c r="AB1151" s="442" t="s">
        <v>1801</v>
      </c>
      <c r="AC1151" s="576"/>
      <c r="AD1151" s="292">
        <f t="shared" si="320"/>
        <v>56.8</v>
      </c>
      <c r="AE1151" s="475">
        <f t="shared" si="320"/>
        <v>0</v>
      </c>
      <c r="AF1151" s="475">
        <f t="shared" si="320"/>
        <v>0</v>
      </c>
      <c r="AG1151" s="553"/>
      <c r="AH1151" s="553"/>
      <c r="AI1151" s="455"/>
    </row>
    <row r="1152" spans="1:35" s="363" customFormat="1" ht="31.5" x14ac:dyDescent="0.25">
      <c r="A1152" s="423"/>
      <c r="B1152" s="424"/>
      <c r="C1152" s="425"/>
      <c r="D1152" s="425"/>
      <c r="E1152" s="425"/>
      <c r="F1152" s="425"/>
      <c r="G1152" s="425"/>
      <c r="I1152" s="426"/>
      <c r="J1152" s="426"/>
      <c r="K1152" s="426"/>
      <c r="L1152" s="426"/>
      <c r="M1152" s="426"/>
      <c r="N1152" s="426"/>
      <c r="O1152" s="427"/>
      <c r="P1152" s="428"/>
      <c r="R1152" s="429"/>
      <c r="S1152" s="430"/>
      <c r="W1152" s="367"/>
      <c r="X1152" s="521" t="s">
        <v>2014</v>
      </c>
      <c r="Y1152" s="246">
        <v>904</v>
      </c>
      <c r="Z1152" s="235" t="s">
        <v>566</v>
      </c>
      <c r="AA1152" s="235" t="s">
        <v>1746</v>
      </c>
      <c r="AB1152" s="442" t="s">
        <v>1802</v>
      </c>
      <c r="AC1152" s="576"/>
      <c r="AD1152" s="292">
        <f t="shared" ref="AD1152:AF1153" si="321">AD1153</f>
        <v>56.8</v>
      </c>
      <c r="AE1152" s="475">
        <f t="shared" si="321"/>
        <v>0</v>
      </c>
      <c r="AF1152" s="475">
        <f t="shared" si="321"/>
        <v>0</v>
      </c>
      <c r="AG1152" s="553"/>
      <c r="AH1152" s="553"/>
      <c r="AI1152" s="455"/>
    </row>
    <row r="1153" spans="1:35" s="363" customFormat="1" x14ac:dyDescent="0.25">
      <c r="A1153" s="423"/>
      <c r="B1153" s="424"/>
      <c r="C1153" s="425"/>
      <c r="D1153" s="425"/>
      <c r="E1153" s="425"/>
      <c r="F1153" s="425"/>
      <c r="G1153" s="425"/>
      <c r="I1153" s="426"/>
      <c r="J1153" s="426"/>
      <c r="K1153" s="426"/>
      <c r="L1153" s="426"/>
      <c r="M1153" s="426"/>
      <c r="N1153" s="426"/>
      <c r="O1153" s="427"/>
      <c r="P1153" s="428"/>
      <c r="R1153" s="429"/>
      <c r="S1153" s="430"/>
      <c r="W1153" s="367"/>
      <c r="X1153" s="521" t="s">
        <v>2015</v>
      </c>
      <c r="Y1153" s="246">
        <v>904</v>
      </c>
      <c r="Z1153" s="235" t="s">
        <v>566</v>
      </c>
      <c r="AA1153" s="235" t="s">
        <v>1746</v>
      </c>
      <c r="AB1153" s="442" t="s">
        <v>2016</v>
      </c>
      <c r="AC1153" s="576"/>
      <c r="AD1153" s="292">
        <f t="shared" si="321"/>
        <v>56.8</v>
      </c>
      <c r="AE1153" s="475">
        <f t="shared" si="321"/>
        <v>0</v>
      </c>
      <c r="AF1153" s="475">
        <f t="shared" si="321"/>
        <v>0</v>
      </c>
      <c r="AG1153" s="553"/>
      <c r="AH1153" s="553"/>
      <c r="AI1153" s="455"/>
    </row>
    <row r="1154" spans="1:35" s="363" customFormat="1" x14ac:dyDescent="0.25">
      <c r="A1154" s="423"/>
      <c r="B1154" s="424"/>
      <c r="C1154" s="425"/>
      <c r="D1154" s="425"/>
      <c r="E1154" s="425"/>
      <c r="F1154" s="425"/>
      <c r="G1154" s="425"/>
      <c r="I1154" s="426"/>
      <c r="J1154" s="426"/>
      <c r="K1154" s="426"/>
      <c r="L1154" s="426"/>
      <c r="M1154" s="426"/>
      <c r="N1154" s="426"/>
      <c r="O1154" s="427"/>
      <c r="P1154" s="428"/>
      <c r="R1154" s="429"/>
      <c r="S1154" s="430"/>
      <c r="W1154" s="367"/>
      <c r="X1154" s="519" t="s">
        <v>1781</v>
      </c>
      <c r="Y1154" s="246">
        <v>904</v>
      </c>
      <c r="Z1154" s="235" t="s">
        <v>566</v>
      </c>
      <c r="AA1154" s="235" t="s">
        <v>1746</v>
      </c>
      <c r="AB1154" s="442" t="s">
        <v>2016</v>
      </c>
      <c r="AC1154" s="238">
        <v>200</v>
      </c>
      <c r="AD1154" s="292">
        <f>AD1155</f>
        <v>56.8</v>
      </c>
      <c r="AE1154" s="475">
        <f>AE1155</f>
        <v>0</v>
      </c>
      <c r="AF1154" s="475">
        <f>AF1155</f>
        <v>0</v>
      </c>
      <c r="AG1154" s="553"/>
      <c r="AH1154" s="553"/>
      <c r="AI1154" s="455"/>
    </row>
    <row r="1155" spans="1:35" s="363" customFormat="1" ht="31.5" x14ac:dyDescent="0.25">
      <c r="A1155" s="423"/>
      <c r="B1155" s="424"/>
      <c r="C1155" s="425"/>
      <c r="D1155" s="425"/>
      <c r="E1155" s="425"/>
      <c r="F1155" s="425"/>
      <c r="G1155" s="425"/>
      <c r="I1155" s="426"/>
      <c r="J1155" s="426"/>
      <c r="K1155" s="426"/>
      <c r="L1155" s="426"/>
      <c r="M1155" s="426"/>
      <c r="N1155" s="426"/>
      <c r="O1155" s="427"/>
      <c r="P1155" s="428"/>
      <c r="R1155" s="429"/>
      <c r="S1155" s="430"/>
      <c r="W1155" s="367"/>
      <c r="X1155" s="519" t="s">
        <v>1273</v>
      </c>
      <c r="Y1155" s="246">
        <v>904</v>
      </c>
      <c r="Z1155" s="235" t="s">
        <v>566</v>
      </c>
      <c r="AA1155" s="235" t="s">
        <v>1746</v>
      </c>
      <c r="AB1155" s="442" t="s">
        <v>2016</v>
      </c>
      <c r="AC1155" s="576">
        <v>240</v>
      </c>
      <c r="AD1155" s="292">
        <v>56.8</v>
      </c>
      <c r="AE1155" s="475">
        <v>0</v>
      </c>
      <c r="AF1155" s="475">
        <v>0</v>
      </c>
      <c r="AG1155" s="553"/>
      <c r="AH1155" s="553"/>
      <c r="AI1155" s="455"/>
    </row>
    <row r="1156" spans="1:35" s="363" customFormat="1" ht="31.5" x14ac:dyDescent="0.25">
      <c r="A1156" s="423"/>
      <c r="B1156" s="424"/>
      <c r="C1156" s="425"/>
      <c r="D1156" s="425"/>
      <c r="E1156" s="425"/>
      <c r="F1156" s="425"/>
      <c r="G1156" s="425"/>
      <c r="I1156" s="426"/>
      <c r="J1156" s="426"/>
      <c r="K1156" s="426"/>
      <c r="L1156" s="426"/>
      <c r="M1156" s="426"/>
      <c r="N1156" s="426"/>
      <c r="O1156" s="427"/>
      <c r="P1156" s="428"/>
      <c r="R1156" s="429"/>
      <c r="S1156" s="430"/>
      <c r="W1156" s="367"/>
      <c r="X1156" s="520" t="s">
        <v>2102</v>
      </c>
      <c r="Y1156" s="246">
        <v>904</v>
      </c>
      <c r="Z1156" s="235" t="s">
        <v>566</v>
      </c>
      <c r="AA1156" s="235" t="s">
        <v>1746</v>
      </c>
      <c r="AB1156" s="442" t="s">
        <v>1805</v>
      </c>
      <c r="AC1156" s="238"/>
      <c r="AD1156" s="292">
        <f t="shared" ref="AD1156:AF1160" si="322">AD1157</f>
        <v>4.5</v>
      </c>
      <c r="AE1156" s="475">
        <f t="shared" si="322"/>
        <v>4.5</v>
      </c>
      <c r="AF1156" s="475">
        <f t="shared" si="322"/>
        <v>4.5</v>
      </c>
      <c r="AG1156" s="553"/>
      <c r="AH1156" s="553"/>
      <c r="AI1156" s="455"/>
    </row>
    <row r="1157" spans="1:35" s="363" customFormat="1" ht="47.25" x14ac:dyDescent="0.25">
      <c r="A1157" s="423"/>
      <c r="B1157" s="424"/>
      <c r="C1157" s="425"/>
      <c r="D1157" s="425"/>
      <c r="E1157" s="425"/>
      <c r="F1157" s="425"/>
      <c r="G1157" s="425"/>
      <c r="I1157" s="426"/>
      <c r="J1157" s="426"/>
      <c r="K1157" s="426"/>
      <c r="L1157" s="426"/>
      <c r="M1157" s="426"/>
      <c r="N1157" s="426"/>
      <c r="O1157" s="427"/>
      <c r="P1157" s="428"/>
      <c r="R1157" s="429"/>
      <c r="S1157" s="430"/>
      <c r="W1157" s="367"/>
      <c r="X1157" s="520" t="s">
        <v>2103</v>
      </c>
      <c r="Y1157" s="246">
        <v>904</v>
      </c>
      <c r="Z1157" s="235" t="s">
        <v>566</v>
      </c>
      <c r="AA1157" s="235" t="s">
        <v>1746</v>
      </c>
      <c r="AB1157" s="442" t="s">
        <v>2104</v>
      </c>
      <c r="AC1157" s="238"/>
      <c r="AD1157" s="292">
        <f t="shared" si="322"/>
        <v>4.5</v>
      </c>
      <c r="AE1157" s="475">
        <f t="shared" si="322"/>
        <v>4.5</v>
      </c>
      <c r="AF1157" s="475">
        <f t="shared" si="322"/>
        <v>4.5</v>
      </c>
      <c r="AG1157" s="553"/>
      <c r="AH1157" s="553"/>
      <c r="AI1157" s="455"/>
    </row>
    <row r="1158" spans="1:35" s="363" customFormat="1" ht="31.5" x14ac:dyDescent="0.25">
      <c r="A1158" s="423"/>
      <c r="B1158" s="424"/>
      <c r="C1158" s="425"/>
      <c r="D1158" s="425"/>
      <c r="E1158" s="425"/>
      <c r="F1158" s="425"/>
      <c r="G1158" s="425"/>
      <c r="I1158" s="426"/>
      <c r="J1158" s="426"/>
      <c r="K1158" s="426"/>
      <c r="L1158" s="426"/>
      <c r="M1158" s="426"/>
      <c r="N1158" s="426"/>
      <c r="O1158" s="427"/>
      <c r="P1158" s="428"/>
      <c r="R1158" s="429"/>
      <c r="S1158" s="430"/>
      <c r="W1158" s="367"/>
      <c r="X1158" s="528" t="s">
        <v>2105</v>
      </c>
      <c r="Y1158" s="246">
        <v>904</v>
      </c>
      <c r="Z1158" s="235" t="s">
        <v>566</v>
      </c>
      <c r="AA1158" s="235" t="s">
        <v>1746</v>
      </c>
      <c r="AB1158" s="442" t="s">
        <v>2106</v>
      </c>
      <c r="AC1158" s="238"/>
      <c r="AD1158" s="292">
        <f t="shared" si="322"/>
        <v>4.5</v>
      </c>
      <c r="AE1158" s="475">
        <f t="shared" si="322"/>
        <v>4.5</v>
      </c>
      <c r="AF1158" s="475">
        <f t="shared" si="322"/>
        <v>4.5</v>
      </c>
      <c r="AG1158" s="553"/>
      <c r="AH1158" s="553"/>
      <c r="AI1158" s="455"/>
    </row>
    <row r="1159" spans="1:35" s="363" customFormat="1" ht="94.5" x14ac:dyDescent="0.25">
      <c r="A1159" s="423"/>
      <c r="B1159" s="424"/>
      <c r="C1159" s="425"/>
      <c r="D1159" s="425"/>
      <c r="E1159" s="425"/>
      <c r="F1159" s="425"/>
      <c r="G1159" s="425"/>
      <c r="I1159" s="426"/>
      <c r="J1159" s="426"/>
      <c r="K1159" s="426"/>
      <c r="L1159" s="426"/>
      <c r="M1159" s="426"/>
      <c r="N1159" s="426"/>
      <c r="O1159" s="427"/>
      <c r="P1159" s="428"/>
      <c r="R1159" s="429"/>
      <c r="S1159" s="430"/>
      <c r="W1159" s="367"/>
      <c r="X1159" s="528" t="s">
        <v>2242</v>
      </c>
      <c r="Y1159" s="246">
        <v>904</v>
      </c>
      <c r="Z1159" s="235" t="s">
        <v>566</v>
      </c>
      <c r="AA1159" s="235" t="s">
        <v>1746</v>
      </c>
      <c r="AB1159" s="471" t="s">
        <v>2107</v>
      </c>
      <c r="AC1159" s="238"/>
      <c r="AD1159" s="292">
        <f t="shared" si="322"/>
        <v>4.5</v>
      </c>
      <c r="AE1159" s="475">
        <f t="shared" si="322"/>
        <v>4.5</v>
      </c>
      <c r="AF1159" s="475">
        <f t="shared" si="322"/>
        <v>4.5</v>
      </c>
      <c r="AG1159" s="553"/>
      <c r="AH1159" s="553"/>
      <c r="AI1159" s="455"/>
    </row>
    <row r="1160" spans="1:35" s="363" customFormat="1" x14ac:dyDescent="0.25">
      <c r="A1160" s="423"/>
      <c r="B1160" s="424"/>
      <c r="C1160" s="425"/>
      <c r="D1160" s="425"/>
      <c r="E1160" s="425"/>
      <c r="F1160" s="425"/>
      <c r="G1160" s="425"/>
      <c r="I1160" s="426"/>
      <c r="J1160" s="426"/>
      <c r="K1160" s="426"/>
      <c r="L1160" s="426"/>
      <c r="M1160" s="426"/>
      <c r="N1160" s="426"/>
      <c r="O1160" s="427"/>
      <c r="P1160" s="428"/>
      <c r="R1160" s="429"/>
      <c r="S1160" s="430"/>
      <c r="W1160" s="367"/>
      <c r="X1160" s="519" t="s">
        <v>1781</v>
      </c>
      <c r="Y1160" s="246">
        <v>904</v>
      </c>
      <c r="Z1160" s="235" t="s">
        <v>566</v>
      </c>
      <c r="AA1160" s="235" t="s">
        <v>1746</v>
      </c>
      <c r="AB1160" s="471" t="s">
        <v>2107</v>
      </c>
      <c r="AC1160" s="238">
        <v>200</v>
      </c>
      <c r="AD1160" s="292">
        <f t="shared" si="322"/>
        <v>4.5</v>
      </c>
      <c r="AE1160" s="475">
        <f t="shared" si="322"/>
        <v>4.5</v>
      </c>
      <c r="AF1160" s="475">
        <f t="shared" si="322"/>
        <v>4.5</v>
      </c>
      <c r="AG1160" s="553"/>
      <c r="AH1160" s="553"/>
      <c r="AI1160" s="455"/>
    </row>
    <row r="1161" spans="1:35" s="363" customFormat="1" ht="31.5" x14ac:dyDescent="0.25">
      <c r="A1161" s="423"/>
      <c r="B1161" s="424"/>
      <c r="C1161" s="425"/>
      <c r="D1161" s="425"/>
      <c r="E1161" s="425"/>
      <c r="F1161" s="425"/>
      <c r="G1161" s="425"/>
      <c r="I1161" s="426"/>
      <c r="J1161" s="426"/>
      <c r="K1161" s="426"/>
      <c r="L1161" s="426"/>
      <c r="M1161" s="426"/>
      <c r="N1161" s="426"/>
      <c r="O1161" s="427"/>
      <c r="P1161" s="428"/>
      <c r="R1161" s="429"/>
      <c r="S1161" s="430"/>
      <c r="W1161" s="367"/>
      <c r="X1161" s="519" t="s">
        <v>1273</v>
      </c>
      <c r="Y1161" s="246">
        <v>904</v>
      </c>
      <c r="Z1161" s="235" t="s">
        <v>566</v>
      </c>
      <c r="AA1161" s="235" t="s">
        <v>1746</v>
      </c>
      <c r="AB1161" s="471" t="s">
        <v>2107</v>
      </c>
      <c r="AC1161" s="238">
        <v>240</v>
      </c>
      <c r="AD1161" s="292">
        <v>4.5</v>
      </c>
      <c r="AE1161" s="475">
        <v>4.5</v>
      </c>
      <c r="AF1161" s="475">
        <v>4.5</v>
      </c>
      <c r="AG1161" s="553"/>
      <c r="AH1161" s="553"/>
      <c r="AI1161" s="455"/>
    </row>
    <row r="1162" spans="1:35" ht="31.5" x14ac:dyDescent="0.25">
      <c r="X1162" s="548" t="s">
        <v>2048</v>
      </c>
      <c r="Y1162" s="246">
        <v>904</v>
      </c>
      <c r="Z1162" s="235" t="s">
        <v>566</v>
      </c>
      <c r="AA1162" s="235" t="s">
        <v>1746</v>
      </c>
      <c r="AB1162" s="442" t="s">
        <v>1756</v>
      </c>
      <c r="AC1162" s="238"/>
      <c r="AD1162" s="292">
        <f>AD1166+AD1163</f>
        <v>7286.9</v>
      </c>
      <c r="AE1162" s="475">
        <f>AE1166+AE1163</f>
        <v>7286.9</v>
      </c>
      <c r="AF1162" s="475">
        <f>AF1166+AF1163</f>
        <v>7286.9</v>
      </c>
      <c r="AG1162" s="553"/>
      <c r="AH1162" s="553"/>
      <c r="AI1162" s="455"/>
    </row>
    <row r="1163" spans="1:35" x14ac:dyDescent="0.25">
      <c r="X1163" s="531" t="s">
        <v>2045</v>
      </c>
      <c r="Y1163" s="246">
        <v>904</v>
      </c>
      <c r="Z1163" s="235" t="s">
        <v>566</v>
      </c>
      <c r="AA1163" s="235" t="s">
        <v>1746</v>
      </c>
      <c r="AB1163" s="442" t="s">
        <v>2055</v>
      </c>
      <c r="AC1163" s="593"/>
      <c r="AD1163" s="292">
        <f t="shared" ref="AD1163:AF1164" si="323">AD1164</f>
        <v>2069</v>
      </c>
      <c r="AE1163" s="475">
        <f t="shared" si="323"/>
        <v>1880</v>
      </c>
      <c r="AF1163" s="475">
        <f t="shared" si="323"/>
        <v>1880</v>
      </c>
      <c r="AG1163" s="553"/>
      <c r="AH1163" s="553"/>
      <c r="AI1163" s="455"/>
    </row>
    <row r="1164" spans="1:35" ht="47.25" x14ac:dyDescent="0.25">
      <c r="X1164" s="519" t="s">
        <v>921</v>
      </c>
      <c r="Y1164" s="246">
        <v>904</v>
      </c>
      <c r="Z1164" s="235" t="s">
        <v>566</v>
      </c>
      <c r="AA1164" s="235" t="s">
        <v>1746</v>
      </c>
      <c r="AB1164" s="442" t="s">
        <v>2055</v>
      </c>
      <c r="AC1164" s="238">
        <v>100</v>
      </c>
      <c r="AD1164" s="292">
        <f t="shared" si="323"/>
        <v>2069</v>
      </c>
      <c r="AE1164" s="475">
        <f t="shared" si="323"/>
        <v>1880</v>
      </c>
      <c r="AF1164" s="475">
        <f t="shared" si="323"/>
        <v>1880</v>
      </c>
      <c r="AG1164" s="553"/>
      <c r="AH1164" s="553"/>
      <c r="AI1164" s="455"/>
    </row>
    <row r="1165" spans="1:35" x14ac:dyDescent="0.25">
      <c r="X1165" s="519" t="s">
        <v>1747</v>
      </c>
      <c r="Y1165" s="246">
        <v>904</v>
      </c>
      <c r="Z1165" s="235" t="s">
        <v>566</v>
      </c>
      <c r="AA1165" s="235" t="s">
        <v>1746</v>
      </c>
      <c r="AB1165" s="442" t="s">
        <v>2055</v>
      </c>
      <c r="AC1165" s="238">
        <v>120</v>
      </c>
      <c r="AD1165" s="292">
        <f>1880+88+101</f>
        <v>2069</v>
      </c>
      <c r="AE1165" s="475">
        <v>1880</v>
      </c>
      <c r="AF1165" s="475">
        <v>1880</v>
      </c>
      <c r="AG1165" s="553"/>
      <c r="AH1165" s="553"/>
      <c r="AI1165" s="455"/>
    </row>
    <row r="1166" spans="1:35" x14ac:dyDescent="0.25">
      <c r="A1166" s="237"/>
      <c r="B1166" s="237"/>
      <c r="C1166" s="237"/>
      <c r="D1166" s="237"/>
      <c r="E1166" s="237"/>
      <c r="F1166" s="237"/>
      <c r="G1166" s="237"/>
      <c r="H1166" s="237"/>
      <c r="I1166" s="237"/>
      <c r="J1166" s="237"/>
      <c r="K1166" s="237"/>
      <c r="L1166" s="237"/>
      <c r="M1166" s="237"/>
      <c r="N1166" s="237"/>
      <c r="O1166" s="237"/>
      <c r="P1166" s="237"/>
      <c r="R1166" s="237"/>
      <c r="S1166" s="237"/>
      <c r="W1166" s="237"/>
      <c r="X1166" s="531" t="s">
        <v>2046</v>
      </c>
      <c r="Y1166" s="246">
        <v>904</v>
      </c>
      <c r="Z1166" s="235" t="s">
        <v>566</v>
      </c>
      <c r="AA1166" s="235" t="s">
        <v>1746</v>
      </c>
      <c r="AB1166" s="442" t="s">
        <v>2047</v>
      </c>
      <c r="AC1166" s="238"/>
      <c r="AD1166" s="292">
        <f>AD1167+AD1175+AD1172</f>
        <v>5217.8999999999996</v>
      </c>
      <c r="AE1166" s="475">
        <f>AE1167+AE1175+AE1172</f>
        <v>5406.9</v>
      </c>
      <c r="AF1166" s="475">
        <f>AF1167+AF1175+AF1172</f>
        <v>5406.9</v>
      </c>
      <c r="AG1166" s="553"/>
      <c r="AH1166" s="553"/>
      <c r="AI1166" s="455"/>
    </row>
    <row r="1167" spans="1:35" x14ac:dyDescent="0.25">
      <c r="A1167" s="237"/>
      <c r="B1167" s="237"/>
      <c r="C1167" s="237"/>
      <c r="D1167" s="237"/>
      <c r="E1167" s="237"/>
      <c r="F1167" s="237"/>
      <c r="G1167" s="237"/>
      <c r="H1167" s="237"/>
      <c r="I1167" s="237"/>
      <c r="J1167" s="237"/>
      <c r="K1167" s="237"/>
      <c r="L1167" s="237"/>
      <c r="M1167" s="237"/>
      <c r="N1167" s="237"/>
      <c r="O1167" s="237"/>
      <c r="P1167" s="237"/>
      <c r="R1167" s="237"/>
      <c r="S1167" s="237"/>
      <c r="W1167" s="237"/>
      <c r="X1167" s="519" t="s">
        <v>2049</v>
      </c>
      <c r="Y1167" s="246">
        <v>904</v>
      </c>
      <c r="Z1167" s="235" t="s">
        <v>566</v>
      </c>
      <c r="AA1167" s="235" t="s">
        <v>1746</v>
      </c>
      <c r="AB1167" s="442" t="s">
        <v>2050</v>
      </c>
      <c r="AC1167" s="238"/>
      <c r="AD1167" s="292">
        <f>AD1168+AD1170</f>
        <v>862.1</v>
      </c>
      <c r="AE1167" s="292">
        <f t="shared" ref="AE1167:AF1167" si="324">AE1168+AE1170</f>
        <v>988.1</v>
      </c>
      <c r="AF1167" s="292">
        <f t="shared" si="324"/>
        <v>988.1</v>
      </c>
      <c r="AG1167" s="553"/>
      <c r="AH1167" s="553"/>
      <c r="AI1167" s="455"/>
    </row>
    <row r="1168" spans="1:35" x14ac:dyDescent="0.25">
      <c r="A1168" s="237"/>
      <c r="B1168" s="237"/>
      <c r="C1168" s="237"/>
      <c r="D1168" s="237"/>
      <c r="E1168" s="237"/>
      <c r="F1168" s="237"/>
      <c r="G1168" s="237"/>
      <c r="H1168" s="237"/>
      <c r="I1168" s="237"/>
      <c r="J1168" s="237"/>
      <c r="K1168" s="237"/>
      <c r="L1168" s="237"/>
      <c r="M1168" s="237"/>
      <c r="N1168" s="237"/>
      <c r="O1168" s="237"/>
      <c r="P1168" s="237"/>
      <c r="R1168" s="237"/>
      <c r="S1168" s="237"/>
      <c r="W1168" s="237"/>
      <c r="X1168" s="519" t="s">
        <v>1781</v>
      </c>
      <c r="Y1168" s="246">
        <v>904</v>
      </c>
      <c r="Z1168" s="235" t="s">
        <v>566</v>
      </c>
      <c r="AA1168" s="235" t="s">
        <v>1746</v>
      </c>
      <c r="AB1168" s="442" t="s">
        <v>2050</v>
      </c>
      <c r="AC1168" s="238">
        <v>200</v>
      </c>
      <c r="AD1168" s="292">
        <f t="shared" ref="AD1168:AF1168" si="325">AD1169</f>
        <v>847.9</v>
      </c>
      <c r="AE1168" s="475">
        <f t="shared" si="325"/>
        <v>988.1</v>
      </c>
      <c r="AF1168" s="475">
        <f t="shared" si="325"/>
        <v>988.1</v>
      </c>
      <c r="AG1168" s="553"/>
      <c r="AH1168" s="553"/>
      <c r="AI1168" s="455"/>
    </row>
    <row r="1169" spans="1:35" ht="31.5" x14ac:dyDescent="0.25">
      <c r="A1169" s="237"/>
      <c r="B1169" s="237"/>
      <c r="C1169" s="237"/>
      <c r="D1169" s="237"/>
      <c r="E1169" s="237"/>
      <c r="F1169" s="237"/>
      <c r="G1169" s="237"/>
      <c r="H1169" s="237"/>
      <c r="I1169" s="237"/>
      <c r="J1169" s="237"/>
      <c r="K1169" s="237"/>
      <c r="L1169" s="237"/>
      <c r="M1169" s="237"/>
      <c r="N1169" s="237"/>
      <c r="O1169" s="237"/>
      <c r="P1169" s="237"/>
      <c r="R1169" s="237"/>
      <c r="S1169" s="237"/>
      <c r="W1169" s="237"/>
      <c r="X1169" s="519" t="s">
        <v>1273</v>
      </c>
      <c r="Y1169" s="246">
        <v>904</v>
      </c>
      <c r="Z1169" s="235" t="s">
        <v>566</v>
      </c>
      <c r="AA1169" s="235" t="s">
        <v>1746</v>
      </c>
      <c r="AB1169" s="442" t="s">
        <v>2050</v>
      </c>
      <c r="AC1169" s="238">
        <v>240</v>
      </c>
      <c r="AD1169" s="292">
        <f>988.1-70-13.2-1-56</f>
        <v>847.9</v>
      </c>
      <c r="AE1169" s="475">
        <v>988.1</v>
      </c>
      <c r="AF1169" s="475">
        <v>988.1</v>
      </c>
      <c r="AG1169" s="553"/>
      <c r="AH1169" s="553"/>
      <c r="AI1169" s="455"/>
    </row>
    <row r="1170" spans="1:35" x14ac:dyDescent="0.25">
      <c r="A1170" s="237"/>
      <c r="B1170" s="237"/>
      <c r="C1170" s="237"/>
      <c r="D1170" s="237"/>
      <c r="E1170" s="237"/>
      <c r="F1170" s="237"/>
      <c r="G1170" s="237"/>
      <c r="H1170" s="237"/>
      <c r="I1170" s="237"/>
      <c r="J1170" s="237"/>
      <c r="K1170" s="237"/>
      <c r="L1170" s="237"/>
      <c r="M1170" s="237"/>
      <c r="N1170" s="237"/>
      <c r="O1170" s="237"/>
      <c r="P1170" s="237"/>
      <c r="R1170" s="237"/>
      <c r="S1170" s="237"/>
      <c r="W1170" s="237"/>
      <c r="X1170" s="519" t="s">
        <v>923</v>
      </c>
      <c r="Y1170" s="246">
        <v>904</v>
      </c>
      <c r="Z1170" s="235" t="s">
        <v>566</v>
      </c>
      <c r="AA1170" s="235" t="s">
        <v>1746</v>
      </c>
      <c r="AB1170" s="442" t="s">
        <v>2050</v>
      </c>
      <c r="AC1170" s="238">
        <v>800</v>
      </c>
      <c r="AD1170" s="292">
        <f>AD1171</f>
        <v>14.2</v>
      </c>
      <c r="AE1170" s="292">
        <f t="shared" ref="AE1170:AF1170" si="326">AE1171</f>
        <v>0</v>
      </c>
      <c r="AF1170" s="292">
        <f t="shared" si="326"/>
        <v>0</v>
      </c>
      <c r="AG1170" s="553"/>
      <c r="AH1170" s="553"/>
      <c r="AI1170" s="455"/>
    </row>
    <row r="1171" spans="1:35" x14ac:dyDescent="0.25">
      <c r="A1171" s="237"/>
      <c r="B1171" s="237"/>
      <c r="C1171" s="237"/>
      <c r="D1171" s="237"/>
      <c r="E1171" s="237"/>
      <c r="F1171" s="237"/>
      <c r="G1171" s="237"/>
      <c r="H1171" s="237"/>
      <c r="I1171" s="237"/>
      <c r="J1171" s="237"/>
      <c r="K1171" s="237"/>
      <c r="L1171" s="237"/>
      <c r="M1171" s="237"/>
      <c r="N1171" s="237"/>
      <c r="O1171" s="237"/>
      <c r="P1171" s="237"/>
      <c r="R1171" s="237"/>
      <c r="S1171" s="237"/>
      <c r="W1171" s="237"/>
      <c r="X1171" s="519" t="s">
        <v>1319</v>
      </c>
      <c r="Y1171" s="246">
        <v>904</v>
      </c>
      <c r="Z1171" s="235" t="s">
        <v>566</v>
      </c>
      <c r="AA1171" s="235" t="s">
        <v>1746</v>
      </c>
      <c r="AB1171" s="442" t="s">
        <v>2050</v>
      </c>
      <c r="AC1171" s="238">
        <v>850</v>
      </c>
      <c r="AD1171" s="292">
        <f>13.2+1</f>
        <v>14.2</v>
      </c>
      <c r="AE1171" s="475">
        <v>0</v>
      </c>
      <c r="AF1171" s="475">
        <v>0</v>
      </c>
      <c r="AG1171" s="553"/>
      <c r="AH1171" s="553"/>
      <c r="AI1171" s="455"/>
    </row>
    <row r="1172" spans="1:35" ht="31.5" x14ac:dyDescent="0.25">
      <c r="A1172" s="237"/>
      <c r="B1172" s="237"/>
      <c r="C1172" s="237"/>
      <c r="D1172" s="237"/>
      <c r="E1172" s="237"/>
      <c r="F1172" s="237"/>
      <c r="G1172" s="237"/>
      <c r="H1172" s="237"/>
      <c r="I1172" s="237"/>
      <c r="J1172" s="237"/>
      <c r="K1172" s="237"/>
      <c r="L1172" s="237"/>
      <c r="M1172" s="237"/>
      <c r="N1172" s="237"/>
      <c r="O1172" s="237"/>
      <c r="P1172" s="237"/>
      <c r="R1172" s="237"/>
      <c r="S1172" s="237"/>
      <c r="W1172" s="237"/>
      <c r="X1172" s="519" t="s">
        <v>2051</v>
      </c>
      <c r="Y1172" s="246">
        <v>904</v>
      </c>
      <c r="Z1172" s="235" t="s">
        <v>566</v>
      </c>
      <c r="AA1172" s="235" t="s">
        <v>1746</v>
      </c>
      <c r="AB1172" s="442" t="s">
        <v>2052</v>
      </c>
      <c r="AC1172" s="238"/>
      <c r="AD1172" s="292">
        <f t="shared" ref="AD1172:AF1173" si="327">AD1173</f>
        <v>1560.2</v>
      </c>
      <c r="AE1172" s="475">
        <f t="shared" si="327"/>
        <v>1411.2</v>
      </c>
      <c r="AF1172" s="475">
        <f t="shared" si="327"/>
        <v>1411.2</v>
      </c>
      <c r="AG1172" s="553"/>
      <c r="AH1172" s="553"/>
      <c r="AI1172" s="455"/>
    </row>
    <row r="1173" spans="1:35" ht="47.25" x14ac:dyDescent="0.25">
      <c r="A1173" s="237"/>
      <c r="B1173" s="237"/>
      <c r="C1173" s="237"/>
      <c r="D1173" s="237"/>
      <c r="E1173" s="237"/>
      <c r="F1173" s="237"/>
      <c r="G1173" s="237"/>
      <c r="H1173" s="237"/>
      <c r="I1173" s="237"/>
      <c r="J1173" s="237"/>
      <c r="K1173" s="237"/>
      <c r="L1173" s="237"/>
      <c r="M1173" s="237"/>
      <c r="N1173" s="237"/>
      <c r="O1173" s="237"/>
      <c r="P1173" s="237"/>
      <c r="R1173" s="237"/>
      <c r="S1173" s="237"/>
      <c r="W1173" s="237"/>
      <c r="X1173" s="519" t="s">
        <v>921</v>
      </c>
      <c r="Y1173" s="246">
        <v>904</v>
      </c>
      <c r="Z1173" s="235" t="s">
        <v>566</v>
      </c>
      <c r="AA1173" s="235" t="s">
        <v>1746</v>
      </c>
      <c r="AB1173" s="442" t="s">
        <v>2052</v>
      </c>
      <c r="AC1173" s="238">
        <v>100</v>
      </c>
      <c r="AD1173" s="292">
        <f t="shared" si="327"/>
        <v>1560.2</v>
      </c>
      <c r="AE1173" s="475">
        <f t="shared" si="327"/>
        <v>1411.2</v>
      </c>
      <c r="AF1173" s="475">
        <f t="shared" si="327"/>
        <v>1411.2</v>
      </c>
      <c r="AG1173" s="553"/>
      <c r="AH1173" s="553"/>
      <c r="AI1173" s="455"/>
    </row>
    <row r="1174" spans="1:35" x14ac:dyDescent="0.25">
      <c r="A1174" s="237"/>
      <c r="B1174" s="237"/>
      <c r="C1174" s="237"/>
      <c r="D1174" s="237"/>
      <c r="E1174" s="237"/>
      <c r="F1174" s="237"/>
      <c r="G1174" s="237"/>
      <c r="H1174" s="237"/>
      <c r="I1174" s="237"/>
      <c r="J1174" s="237"/>
      <c r="K1174" s="237"/>
      <c r="L1174" s="237"/>
      <c r="M1174" s="237"/>
      <c r="N1174" s="237"/>
      <c r="O1174" s="237"/>
      <c r="P1174" s="237"/>
      <c r="R1174" s="237"/>
      <c r="S1174" s="237"/>
      <c r="W1174" s="237"/>
      <c r="X1174" s="519" t="s">
        <v>1747</v>
      </c>
      <c r="Y1174" s="246">
        <v>904</v>
      </c>
      <c r="Z1174" s="235" t="s">
        <v>566</v>
      </c>
      <c r="AA1174" s="235" t="s">
        <v>1746</v>
      </c>
      <c r="AB1174" s="442" t="s">
        <v>2052</v>
      </c>
      <c r="AC1174" s="238">
        <v>120</v>
      </c>
      <c r="AD1174" s="292">
        <f>1411.2+70+79</f>
        <v>1560.2</v>
      </c>
      <c r="AE1174" s="475">
        <v>1411.2</v>
      </c>
      <c r="AF1174" s="475">
        <v>1411.2</v>
      </c>
      <c r="AG1174" s="553"/>
      <c r="AH1174" s="553"/>
      <c r="AI1174" s="455"/>
    </row>
    <row r="1175" spans="1:35" ht="31.5" x14ac:dyDescent="0.25">
      <c r="A1175" s="237"/>
      <c r="B1175" s="237"/>
      <c r="C1175" s="237"/>
      <c r="D1175" s="237"/>
      <c r="E1175" s="237"/>
      <c r="F1175" s="237"/>
      <c r="G1175" s="237"/>
      <c r="H1175" s="237"/>
      <c r="I1175" s="237"/>
      <c r="J1175" s="237"/>
      <c r="K1175" s="237"/>
      <c r="L1175" s="237"/>
      <c r="M1175" s="237"/>
      <c r="N1175" s="237"/>
      <c r="O1175" s="237"/>
      <c r="P1175" s="237"/>
      <c r="R1175" s="237"/>
      <c r="S1175" s="237"/>
      <c r="W1175" s="237"/>
      <c r="X1175" s="519" t="s">
        <v>2054</v>
      </c>
      <c r="Y1175" s="246">
        <v>904</v>
      </c>
      <c r="Z1175" s="235" t="s">
        <v>566</v>
      </c>
      <c r="AA1175" s="235" t="s">
        <v>1746</v>
      </c>
      <c r="AB1175" s="442" t="s">
        <v>2053</v>
      </c>
      <c r="AC1175" s="238"/>
      <c r="AD1175" s="292">
        <f t="shared" ref="AD1175:AF1176" si="328">AD1176</f>
        <v>2795.6</v>
      </c>
      <c r="AE1175" s="475">
        <f t="shared" si="328"/>
        <v>3007.6</v>
      </c>
      <c r="AF1175" s="475">
        <f t="shared" si="328"/>
        <v>3007.6</v>
      </c>
      <c r="AG1175" s="553"/>
      <c r="AH1175" s="553"/>
      <c r="AI1175" s="455"/>
    </row>
    <row r="1176" spans="1:35" ht="47.25" x14ac:dyDescent="0.25">
      <c r="A1176" s="237"/>
      <c r="B1176" s="237"/>
      <c r="C1176" s="237"/>
      <c r="D1176" s="237"/>
      <c r="E1176" s="237"/>
      <c r="F1176" s="237"/>
      <c r="G1176" s="237"/>
      <c r="H1176" s="237"/>
      <c r="I1176" s="237"/>
      <c r="J1176" s="237"/>
      <c r="K1176" s="237"/>
      <c r="L1176" s="237"/>
      <c r="M1176" s="237"/>
      <c r="N1176" s="237"/>
      <c r="O1176" s="237"/>
      <c r="P1176" s="237"/>
      <c r="R1176" s="237"/>
      <c r="S1176" s="237"/>
      <c r="W1176" s="237"/>
      <c r="X1176" s="519" t="s">
        <v>921</v>
      </c>
      <c r="Y1176" s="246">
        <v>904</v>
      </c>
      <c r="Z1176" s="235" t="s">
        <v>566</v>
      </c>
      <c r="AA1176" s="235" t="s">
        <v>1746</v>
      </c>
      <c r="AB1176" s="442" t="s">
        <v>2053</v>
      </c>
      <c r="AC1176" s="238">
        <v>100</v>
      </c>
      <c r="AD1176" s="292">
        <f t="shared" si="328"/>
        <v>2795.6</v>
      </c>
      <c r="AE1176" s="475">
        <f t="shared" si="328"/>
        <v>3007.6</v>
      </c>
      <c r="AF1176" s="475">
        <f t="shared" si="328"/>
        <v>3007.6</v>
      </c>
      <c r="AG1176" s="553"/>
      <c r="AH1176" s="553"/>
      <c r="AI1176" s="455"/>
    </row>
    <row r="1177" spans="1:35" x14ac:dyDescent="0.25">
      <c r="A1177" s="237"/>
      <c r="B1177" s="237"/>
      <c r="C1177" s="237"/>
      <c r="D1177" s="237"/>
      <c r="E1177" s="237"/>
      <c r="F1177" s="237"/>
      <c r="G1177" s="237"/>
      <c r="H1177" s="237"/>
      <c r="I1177" s="237"/>
      <c r="J1177" s="237"/>
      <c r="K1177" s="237"/>
      <c r="L1177" s="237"/>
      <c r="M1177" s="237"/>
      <c r="N1177" s="237"/>
      <c r="O1177" s="237"/>
      <c r="P1177" s="237"/>
      <c r="R1177" s="237"/>
      <c r="S1177" s="237"/>
      <c r="W1177" s="237"/>
      <c r="X1177" s="519" t="s">
        <v>1747</v>
      </c>
      <c r="Y1177" s="246">
        <v>904</v>
      </c>
      <c r="Z1177" s="235" t="s">
        <v>566</v>
      </c>
      <c r="AA1177" s="235" t="s">
        <v>1746</v>
      </c>
      <c r="AB1177" s="442" t="s">
        <v>2053</v>
      </c>
      <c r="AC1177" s="238">
        <v>120</v>
      </c>
      <c r="AD1177" s="292">
        <f>3007.6-88-124</f>
        <v>2795.6</v>
      </c>
      <c r="AE1177" s="475">
        <v>3007.6</v>
      </c>
      <c r="AF1177" s="475">
        <v>3007.6</v>
      </c>
      <c r="AG1177" s="553"/>
      <c r="AH1177" s="553"/>
      <c r="AI1177" s="455"/>
    </row>
    <row r="1178" spans="1:35" x14ac:dyDescent="0.25">
      <c r="A1178" s="237"/>
      <c r="B1178" s="237"/>
      <c r="C1178" s="237"/>
      <c r="D1178" s="237"/>
      <c r="E1178" s="237"/>
      <c r="F1178" s="237"/>
      <c r="G1178" s="237"/>
      <c r="H1178" s="237"/>
      <c r="I1178" s="237"/>
      <c r="J1178" s="237"/>
      <c r="K1178" s="237"/>
      <c r="L1178" s="237"/>
      <c r="M1178" s="237"/>
      <c r="N1178" s="237"/>
      <c r="O1178" s="237"/>
      <c r="P1178" s="237"/>
      <c r="R1178" s="237"/>
      <c r="S1178" s="237"/>
      <c r="W1178" s="237"/>
      <c r="X1178" s="558" t="s">
        <v>1745</v>
      </c>
      <c r="Y1178" s="574" t="s">
        <v>1506</v>
      </c>
      <c r="Z1178" s="247" t="s">
        <v>768</v>
      </c>
      <c r="AA1178" s="248"/>
      <c r="AB1178" s="271"/>
      <c r="AC1178" s="575"/>
      <c r="AD1178" s="733">
        <f t="shared" ref="AD1178:AF1184" si="329">AD1179</f>
        <v>515.29999999999995</v>
      </c>
      <c r="AE1178" s="478">
        <f t="shared" si="329"/>
        <v>515.29999999999995</v>
      </c>
      <c r="AF1178" s="478">
        <f t="shared" si="329"/>
        <v>515.29999999999995</v>
      </c>
      <c r="AG1178" s="640"/>
      <c r="AH1178" s="640"/>
      <c r="AI1178" s="455"/>
    </row>
    <row r="1179" spans="1:35" x14ac:dyDescent="0.25">
      <c r="A1179" s="237"/>
      <c r="B1179" s="237"/>
      <c r="C1179" s="237"/>
      <c r="D1179" s="237"/>
      <c r="E1179" s="237"/>
      <c r="F1179" s="237"/>
      <c r="G1179" s="237"/>
      <c r="H1179" s="237"/>
      <c r="I1179" s="237"/>
      <c r="J1179" s="237"/>
      <c r="K1179" s="237"/>
      <c r="L1179" s="237"/>
      <c r="M1179" s="237"/>
      <c r="N1179" s="237"/>
      <c r="O1179" s="237"/>
      <c r="P1179" s="237"/>
      <c r="R1179" s="237"/>
      <c r="S1179" s="237"/>
      <c r="W1179" s="237"/>
      <c r="X1179" s="519" t="s">
        <v>1312</v>
      </c>
      <c r="Y1179" s="246">
        <v>904</v>
      </c>
      <c r="Z1179" s="235">
        <v>10</v>
      </c>
      <c r="AA1179" s="235" t="s">
        <v>566</v>
      </c>
      <c r="AB1179" s="249"/>
      <c r="AC1179" s="588"/>
      <c r="AD1179" s="292">
        <f t="shared" si="329"/>
        <v>515.29999999999995</v>
      </c>
      <c r="AE1179" s="475">
        <f t="shared" si="329"/>
        <v>515.29999999999995</v>
      </c>
      <c r="AF1179" s="475">
        <f t="shared" si="329"/>
        <v>515.29999999999995</v>
      </c>
      <c r="AG1179" s="553"/>
      <c r="AH1179" s="553"/>
      <c r="AI1179" s="455"/>
    </row>
    <row r="1180" spans="1:35" x14ac:dyDescent="0.25">
      <c r="A1180" s="237"/>
      <c r="B1180" s="237"/>
      <c r="C1180" s="237"/>
      <c r="D1180" s="237"/>
      <c r="E1180" s="237"/>
      <c r="F1180" s="237"/>
      <c r="G1180" s="237"/>
      <c r="H1180" s="237"/>
      <c r="I1180" s="237"/>
      <c r="J1180" s="237"/>
      <c r="K1180" s="237"/>
      <c r="L1180" s="237"/>
      <c r="M1180" s="237"/>
      <c r="N1180" s="237"/>
      <c r="O1180" s="237"/>
      <c r="P1180" s="237"/>
      <c r="R1180" s="237"/>
      <c r="S1180" s="237"/>
      <c r="W1180" s="237"/>
      <c r="X1180" s="548" t="s">
        <v>2074</v>
      </c>
      <c r="Y1180" s="246">
        <v>904</v>
      </c>
      <c r="Z1180" s="235">
        <v>10</v>
      </c>
      <c r="AA1180" s="235" t="s">
        <v>566</v>
      </c>
      <c r="AB1180" s="442" t="s">
        <v>1768</v>
      </c>
      <c r="AC1180" s="588"/>
      <c r="AD1180" s="292">
        <f t="shared" si="329"/>
        <v>515.29999999999995</v>
      </c>
      <c r="AE1180" s="475">
        <f t="shared" si="329"/>
        <v>515.29999999999995</v>
      </c>
      <c r="AF1180" s="475">
        <f t="shared" si="329"/>
        <v>515.29999999999995</v>
      </c>
      <c r="AG1180" s="553"/>
      <c r="AH1180" s="553"/>
      <c r="AI1180" s="455"/>
    </row>
    <row r="1181" spans="1:35" x14ac:dyDescent="0.25">
      <c r="A1181" s="237"/>
      <c r="B1181" s="237"/>
      <c r="C1181" s="237"/>
      <c r="D1181" s="237"/>
      <c r="E1181" s="237"/>
      <c r="F1181" s="237"/>
      <c r="G1181" s="237"/>
      <c r="H1181" s="237"/>
      <c r="I1181" s="237"/>
      <c r="J1181" s="237"/>
      <c r="K1181" s="237"/>
      <c r="L1181" s="237"/>
      <c r="M1181" s="237"/>
      <c r="N1181" s="237"/>
      <c r="O1181" s="237"/>
      <c r="P1181" s="237"/>
      <c r="R1181" s="237"/>
      <c r="S1181" s="237"/>
      <c r="W1181" s="237"/>
      <c r="X1181" s="524" t="s">
        <v>2075</v>
      </c>
      <c r="Y1181" s="246">
        <v>904</v>
      </c>
      <c r="Z1181" s="235">
        <v>10</v>
      </c>
      <c r="AA1181" s="235" t="s">
        <v>566</v>
      </c>
      <c r="AB1181" s="442" t="s">
        <v>1779</v>
      </c>
      <c r="AC1181" s="588"/>
      <c r="AD1181" s="292">
        <f>AD1182</f>
        <v>515.29999999999995</v>
      </c>
      <c r="AE1181" s="475">
        <f>AE1182</f>
        <v>515.29999999999995</v>
      </c>
      <c r="AF1181" s="475">
        <f>AF1182</f>
        <v>515.29999999999995</v>
      </c>
      <c r="AG1181" s="553"/>
      <c r="AH1181" s="553"/>
      <c r="AI1181" s="455"/>
    </row>
    <row r="1182" spans="1:35" ht="31.5" x14ac:dyDescent="0.25">
      <c r="A1182" s="237"/>
      <c r="B1182" s="237"/>
      <c r="C1182" s="237"/>
      <c r="D1182" s="237"/>
      <c r="E1182" s="237"/>
      <c r="F1182" s="237"/>
      <c r="G1182" s="237"/>
      <c r="H1182" s="237"/>
      <c r="I1182" s="237"/>
      <c r="J1182" s="237"/>
      <c r="K1182" s="237"/>
      <c r="L1182" s="237"/>
      <c r="M1182" s="237"/>
      <c r="N1182" s="237"/>
      <c r="O1182" s="237"/>
      <c r="P1182" s="237"/>
      <c r="R1182" s="237"/>
      <c r="S1182" s="237"/>
      <c r="W1182" s="237"/>
      <c r="X1182" s="548" t="s">
        <v>2081</v>
      </c>
      <c r="Y1182" s="246">
        <v>904</v>
      </c>
      <c r="Z1182" s="235">
        <v>10</v>
      </c>
      <c r="AA1182" s="235" t="s">
        <v>566</v>
      </c>
      <c r="AB1182" s="442" t="s">
        <v>2082</v>
      </c>
      <c r="AC1182" s="588"/>
      <c r="AD1182" s="292">
        <f t="shared" si="329"/>
        <v>515.29999999999995</v>
      </c>
      <c r="AE1182" s="475">
        <f t="shared" si="329"/>
        <v>515.29999999999995</v>
      </c>
      <c r="AF1182" s="475">
        <f t="shared" si="329"/>
        <v>515.29999999999995</v>
      </c>
      <c r="AG1182" s="553"/>
      <c r="AH1182" s="553"/>
      <c r="AI1182" s="455"/>
    </row>
    <row r="1183" spans="1:35" ht="31.5" x14ac:dyDescent="0.25">
      <c r="A1183" s="237"/>
      <c r="B1183" s="237"/>
      <c r="C1183" s="237"/>
      <c r="D1183" s="237"/>
      <c r="E1183" s="237"/>
      <c r="F1183" s="237"/>
      <c r="G1183" s="237"/>
      <c r="H1183" s="237"/>
      <c r="I1183" s="237"/>
      <c r="J1183" s="237"/>
      <c r="K1183" s="237"/>
      <c r="L1183" s="237"/>
      <c r="M1183" s="237"/>
      <c r="N1183" s="237"/>
      <c r="O1183" s="237"/>
      <c r="P1183" s="237"/>
      <c r="R1183" s="237"/>
      <c r="S1183" s="237"/>
      <c r="W1183" s="237"/>
      <c r="X1183" s="529" t="s">
        <v>2083</v>
      </c>
      <c r="Y1183" s="246">
        <v>904</v>
      </c>
      <c r="Z1183" s="235">
        <v>10</v>
      </c>
      <c r="AA1183" s="235" t="s">
        <v>566</v>
      </c>
      <c r="AB1183" s="442" t="s">
        <v>2084</v>
      </c>
      <c r="AC1183" s="588"/>
      <c r="AD1183" s="292">
        <f t="shared" si="329"/>
        <v>515.29999999999995</v>
      </c>
      <c r="AE1183" s="475">
        <f t="shared" si="329"/>
        <v>515.29999999999995</v>
      </c>
      <c r="AF1183" s="475">
        <f t="shared" si="329"/>
        <v>515.29999999999995</v>
      </c>
      <c r="AG1183" s="553"/>
      <c r="AH1183" s="553"/>
      <c r="AI1183" s="455"/>
    </row>
    <row r="1184" spans="1:35" x14ac:dyDescent="0.25">
      <c r="A1184" s="237"/>
      <c r="B1184" s="237"/>
      <c r="C1184" s="237"/>
      <c r="D1184" s="237"/>
      <c r="E1184" s="237"/>
      <c r="F1184" s="237"/>
      <c r="G1184" s="237"/>
      <c r="H1184" s="237"/>
      <c r="I1184" s="237"/>
      <c r="J1184" s="237"/>
      <c r="K1184" s="237"/>
      <c r="L1184" s="237"/>
      <c r="M1184" s="237"/>
      <c r="N1184" s="237"/>
      <c r="O1184" s="237"/>
      <c r="P1184" s="237"/>
      <c r="R1184" s="237"/>
      <c r="S1184" s="237"/>
      <c r="W1184" s="237"/>
      <c r="X1184" s="519" t="s">
        <v>1754</v>
      </c>
      <c r="Y1184" s="246">
        <v>904</v>
      </c>
      <c r="Z1184" s="235">
        <v>10</v>
      </c>
      <c r="AA1184" s="235" t="s">
        <v>566</v>
      </c>
      <c r="AB1184" s="442" t="s">
        <v>2084</v>
      </c>
      <c r="AC1184" s="238">
        <v>300</v>
      </c>
      <c r="AD1184" s="292">
        <f t="shared" si="329"/>
        <v>515.29999999999995</v>
      </c>
      <c r="AE1184" s="475">
        <f t="shared" si="329"/>
        <v>515.29999999999995</v>
      </c>
      <c r="AF1184" s="475">
        <f t="shared" si="329"/>
        <v>515.29999999999995</v>
      </c>
      <c r="AG1184" s="553"/>
      <c r="AH1184" s="553"/>
      <c r="AI1184" s="455"/>
    </row>
    <row r="1185" spans="1:35" x14ac:dyDescent="0.25">
      <c r="A1185" s="237"/>
      <c r="B1185" s="237"/>
      <c r="C1185" s="237"/>
      <c r="D1185" s="237"/>
      <c r="E1185" s="237"/>
      <c r="F1185" s="237"/>
      <c r="G1185" s="237"/>
      <c r="H1185" s="237"/>
      <c r="I1185" s="237"/>
      <c r="J1185" s="237"/>
      <c r="K1185" s="237"/>
      <c r="L1185" s="237"/>
      <c r="M1185" s="237"/>
      <c r="N1185" s="237"/>
      <c r="O1185" s="237"/>
      <c r="P1185" s="237"/>
      <c r="R1185" s="237"/>
      <c r="S1185" s="237"/>
      <c r="W1185" s="237"/>
      <c r="X1185" s="519" t="s">
        <v>868</v>
      </c>
      <c r="Y1185" s="246">
        <v>904</v>
      </c>
      <c r="Z1185" s="235">
        <v>10</v>
      </c>
      <c r="AA1185" s="235" t="s">
        <v>566</v>
      </c>
      <c r="AB1185" s="442" t="s">
        <v>2084</v>
      </c>
      <c r="AC1185" s="238">
        <v>320</v>
      </c>
      <c r="AD1185" s="292">
        <v>515.29999999999995</v>
      </c>
      <c r="AE1185" s="475">
        <v>515.29999999999995</v>
      </c>
      <c r="AF1185" s="475">
        <v>515.29999999999995</v>
      </c>
      <c r="AG1185" s="553"/>
      <c r="AH1185" s="553"/>
      <c r="AI1185" s="455"/>
    </row>
    <row r="1186" spans="1:35" x14ac:dyDescent="0.25">
      <c r="A1186" s="237"/>
      <c r="B1186" s="237"/>
      <c r="C1186" s="237"/>
      <c r="D1186" s="237"/>
      <c r="E1186" s="237"/>
      <c r="F1186" s="237"/>
      <c r="G1186" s="237"/>
      <c r="H1186" s="237"/>
      <c r="I1186" s="237"/>
      <c r="J1186" s="237"/>
      <c r="K1186" s="237"/>
      <c r="L1186" s="237"/>
      <c r="M1186" s="237"/>
      <c r="N1186" s="237"/>
      <c r="O1186" s="237"/>
      <c r="P1186" s="237"/>
      <c r="R1186" s="237"/>
      <c r="S1186" s="237"/>
      <c r="W1186" s="237"/>
      <c r="X1186" s="558" t="s">
        <v>1831</v>
      </c>
      <c r="Y1186" s="574">
        <v>905</v>
      </c>
      <c r="Z1186" s="235"/>
      <c r="AA1186" s="235"/>
      <c r="AB1186" s="249"/>
      <c r="AC1186" s="238"/>
      <c r="AD1186" s="733">
        <f>AD1187+AD1206</f>
        <v>4808.7</v>
      </c>
      <c r="AE1186" s="478">
        <f>AE1187+AE1206</f>
        <v>4808.7</v>
      </c>
      <c r="AF1186" s="478">
        <f>AF1187+AF1206</f>
        <v>4808.7</v>
      </c>
      <c r="AG1186" s="640"/>
      <c r="AH1186" s="640"/>
      <c r="AI1186" s="455"/>
    </row>
    <row r="1187" spans="1:35" x14ac:dyDescent="0.25">
      <c r="A1187" s="237"/>
      <c r="B1187" s="237"/>
      <c r="C1187" s="237"/>
      <c r="D1187" s="237"/>
      <c r="E1187" s="237"/>
      <c r="F1187" s="237"/>
      <c r="G1187" s="237"/>
      <c r="H1187" s="237"/>
      <c r="I1187" s="237"/>
      <c r="J1187" s="237"/>
      <c r="K1187" s="237"/>
      <c r="L1187" s="237"/>
      <c r="M1187" s="237"/>
      <c r="N1187" s="237"/>
      <c r="O1187" s="237"/>
      <c r="P1187" s="237"/>
      <c r="R1187" s="237"/>
      <c r="S1187" s="237"/>
      <c r="W1187" s="237"/>
      <c r="X1187" s="558" t="s">
        <v>482</v>
      </c>
      <c r="Y1187" s="574">
        <v>905</v>
      </c>
      <c r="Z1187" s="262" t="s">
        <v>566</v>
      </c>
      <c r="AA1187" s="235"/>
      <c r="AB1187" s="249"/>
      <c r="AC1187" s="238"/>
      <c r="AD1187" s="733">
        <f>AD1188</f>
        <v>4405</v>
      </c>
      <c r="AE1187" s="478">
        <f>AE1188</f>
        <v>4405</v>
      </c>
      <c r="AF1187" s="478">
        <f>AF1188</f>
        <v>4405</v>
      </c>
      <c r="AG1187" s="640"/>
      <c r="AH1187" s="640"/>
      <c r="AI1187" s="455"/>
    </row>
    <row r="1188" spans="1:35" x14ac:dyDescent="0.25">
      <c r="A1188" s="237"/>
      <c r="B1188" s="237"/>
      <c r="C1188" s="237"/>
      <c r="D1188" s="237"/>
      <c r="E1188" s="237"/>
      <c r="F1188" s="237"/>
      <c r="G1188" s="237"/>
      <c r="H1188" s="237"/>
      <c r="I1188" s="237"/>
      <c r="J1188" s="237"/>
      <c r="K1188" s="237"/>
      <c r="L1188" s="237"/>
      <c r="M1188" s="237"/>
      <c r="N1188" s="237"/>
      <c r="O1188" s="237"/>
      <c r="P1188" s="237"/>
      <c r="R1188" s="237"/>
      <c r="S1188" s="237"/>
      <c r="W1188" s="237"/>
      <c r="X1188" s="519" t="s">
        <v>937</v>
      </c>
      <c r="Y1188" s="598">
        <v>905</v>
      </c>
      <c r="Z1188" s="235" t="s">
        <v>566</v>
      </c>
      <c r="AA1188" s="235" t="s">
        <v>205</v>
      </c>
      <c r="AB1188" s="249"/>
      <c r="AC1188" s="238"/>
      <c r="AD1188" s="292">
        <f>AD1189+AD1195</f>
        <v>4405</v>
      </c>
      <c r="AE1188" s="475">
        <f>AE1189+AE1195</f>
        <v>4405</v>
      </c>
      <c r="AF1188" s="475">
        <f>AF1189+AF1195</f>
        <v>4405</v>
      </c>
      <c r="AG1188" s="553"/>
      <c r="AH1188" s="553"/>
      <c r="AI1188" s="455"/>
    </row>
    <row r="1189" spans="1:35" ht="31.5" x14ac:dyDescent="0.25">
      <c r="A1189" s="237"/>
      <c r="B1189" s="237"/>
      <c r="C1189" s="237"/>
      <c r="D1189" s="237"/>
      <c r="E1189" s="237"/>
      <c r="F1189" s="237"/>
      <c r="G1189" s="237"/>
      <c r="H1189" s="237"/>
      <c r="I1189" s="237"/>
      <c r="J1189" s="237"/>
      <c r="K1189" s="237"/>
      <c r="L1189" s="237"/>
      <c r="M1189" s="237"/>
      <c r="N1189" s="237"/>
      <c r="O1189" s="237"/>
      <c r="P1189" s="237"/>
      <c r="R1189" s="237"/>
      <c r="S1189" s="237"/>
      <c r="W1189" s="237"/>
      <c r="X1189" s="520" t="s">
        <v>2102</v>
      </c>
      <c r="Y1189" s="598">
        <v>905</v>
      </c>
      <c r="Z1189" s="235" t="s">
        <v>566</v>
      </c>
      <c r="AA1189" s="235" t="s">
        <v>205</v>
      </c>
      <c r="AB1189" s="442" t="s">
        <v>1805</v>
      </c>
      <c r="AC1189" s="238"/>
      <c r="AD1189" s="292">
        <f t="shared" ref="AD1189:AF1193" si="330">AD1190</f>
        <v>1</v>
      </c>
      <c r="AE1189" s="475">
        <f t="shared" si="330"/>
        <v>1</v>
      </c>
      <c r="AF1189" s="475">
        <f t="shared" si="330"/>
        <v>1</v>
      </c>
      <c r="AG1189" s="553"/>
      <c r="AH1189" s="553"/>
      <c r="AI1189" s="455"/>
    </row>
    <row r="1190" spans="1:35" ht="47.25" x14ac:dyDescent="0.25">
      <c r="A1190" s="237"/>
      <c r="B1190" s="237"/>
      <c r="C1190" s="237"/>
      <c r="D1190" s="237"/>
      <c r="E1190" s="237"/>
      <c r="F1190" s="237"/>
      <c r="G1190" s="237"/>
      <c r="H1190" s="237"/>
      <c r="I1190" s="237"/>
      <c r="J1190" s="237"/>
      <c r="K1190" s="237"/>
      <c r="L1190" s="237"/>
      <c r="M1190" s="237"/>
      <c r="N1190" s="237"/>
      <c r="O1190" s="237"/>
      <c r="P1190" s="237"/>
      <c r="R1190" s="237"/>
      <c r="S1190" s="237"/>
      <c r="W1190" s="237"/>
      <c r="X1190" s="520" t="s">
        <v>2103</v>
      </c>
      <c r="Y1190" s="598">
        <v>905</v>
      </c>
      <c r="Z1190" s="235" t="s">
        <v>566</v>
      </c>
      <c r="AA1190" s="235" t="s">
        <v>205</v>
      </c>
      <c r="AB1190" s="442" t="s">
        <v>2104</v>
      </c>
      <c r="AC1190" s="238"/>
      <c r="AD1190" s="292">
        <f t="shared" si="330"/>
        <v>1</v>
      </c>
      <c r="AE1190" s="475">
        <f t="shared" si="330"/>
        <v>1</v>
      </c>
      <c r="AF1190" s="475">
        <f t="shared" si="330"/>
        <v>1</v>
      </c>
      <c r="AG1190" s="553"/>
      <c r="AH1190" s="553"/>
      <c r="AI1190" s="455"/>
    </row>
    <row r="1191" spans="1:35" ht="31.5" x14ac:dyDescent="0.25">
      <c r="A1191" s="237"/>
      <c r="B1191" s="237"/>
      <c r="C1191" s="237"/>
      <c r="D1191" s="237"/>
      <c r="E1191" s="237"/>
      <c r="F1191" s="237"/>
      <c r="G1191" s="237"/>
      <c r="H1191" s="237"/>
      <c r="I1191" s="237"/>
      <c r="J1191" s="237"/>
      <c r="K1191" s="237"/>
      <c r="L1191" s="237"/>
      <c r="M1191" s="237"/>
      <c r="N1191" s="237"/>
      <c r="O1191" s="237"/>
      <c r="P1191" s="237"/>
      <c r="R1191" s="237"/>
      <c r="S1191" s="237"/>
      <c r="W1191" s="237"/>
      <c r="X1191" s="528" t="s">
        <v>2105</v>
      </c>
      <c r="Y1191" s="598">
        <v>905</v>
      </c>
      <c r="Z1191" s="235" t="s">
        <v>566</v>
      </c>
      <c r="AA1191" s="235" t="s">
        <v>205</v>
      </c>
      <c r="AB1191" s="442" t="s">
        <v>2106</v>
      </c>
      <c r="AC1191" s="238"/>
      <c r="AD1191" s="292">
        <f t="shared" si="330"/>
        <v>1</v>
      </c>
      <c r="AE1191" s="475">
        <f t="shared" si="330"/>
        <v>1</v>
      </c>
      <c r="AF1191" s="475">
        <f t="shared" si="330"/>
        <v>1</v>
      </c>
      <c r="AG1191" s="553"/>
      <c r="AH1191" s="553"/>
      <c r="AI1191" s="455"/>
    </row>
    <row r="1192" spans="1:35" ht="94.5" x14ac:dyDescent="0.25">
      <c r="A1192" s="237"/>
      <c r="B1192" s="237"/>
      <c r="C1192" s="237"/>
      <c r="D1192" s="237"/>
      <c r="E1192" s="237"/>
      <c r="F1192" s="237"/>
      <c r="G1192" s="237"/>
      <c r="H1192" s="237"/>
      <c r="I1192" s="237"/>
      <c r="J1192" s="237"/>
      <c r="K1192" s="237"/>
      <c r="L1192" s="237"/>
      <c r="M1192" s="237"/>
      <c r="N1192" s="237"/>
      <c r="O1192" s="237"/>
      <c r="P1192" s="237"/>
      <c r="R1192" s="237"/>
      <c r="S1192" s="237"/>
      <c r="W1192" s="237"/>
      <c r="X1192" s="528" t="s">
        <v>2242</v>
      </c>
      <c r="Y1192" s="598">
        <v>905</v>
      </c>
      <c r="Z1192" s="235" t="s">
        <v>566</v>
      </c>
      <c r="AA1192" s="235" t="s">
        <v>205</v>
      </c>
      <c r="AB1192" s="471" t="s">
        <v>2107</v>
      </c>
      <c r="AC1192" s="238"/>
      <c r="AD1192" s="292">
        <f t="shared" si="330"/>
        <v>1</v>
      </c>
      <c r="AE1192" s="475">
        <f t="shared" si="330"/>
        <v>1</v>
      </c>
      <c r="AF1192" s="475">
        <f t="shared" si="330"/>
        <v>1</v>
      </c>
      <c r="AG1192" s="553"/>
      <c r="AH1192" s="553"/>
      <c r="AI1192" s="455"/>
    </row>
    <row r="1193" spans="1:35" x14ac:dyDescent="0.25">
      <c r="A1193" s="237"/>
      <c r="B1193" s="237"/>
      <c r="C1193" s="237"/>
      <c r="D1193" s="237"/>
      <c r="E1193" s="237"/>
      <c r="F1193" s="237"/>
      <c r="G1193" s="237"/>
      <c r="H1193" s="237"/>
      <c r="I1193" s="237"/>
      <c r="J1193" s="237"/>
      <c r="K1193" s="237"/>
      <c r="L1193" s="237"/>
      <c r="M1193" s="237"/>
      <c r="N1193" s="237"/>
      <c r="O1193" s="237"/>
      <c r="P1193" s="237"/>
      <c r="R1193" s="237"/>
      <c r="S1193" s="237"/>
      <c r="W1193" s="237"/>
      <c r="X1193" s="519" t="s">
        <v>1781</v>
      </c>
      <c r="Y1193" s="598">
        <v>905</v>
      </c>
      <c r="Z1193" s="235" t="s">
        <v>566</v>
      </c>
      <c r="AA1193" s="235" t="s">
        <v>205</v>
      </c>
      <c r="AB1193" s="471" t="s">
        <v>2107</v>
      </c>
      <c r="AC1193" s="238">
        <v>200</v>
      </c>
      <c r="AD1193" s="292">
        <f t="shared" si="330"/>
        <v>1</v>
      </c>
      <c r="AE1193" s="475">
        <f t="shared" si="330"/>
        <v>1</v>
      </c>
      <c r="AF1193" s="475">
        <f t="shared" si="330"/>
        <v>1</v>
      </c>
      <c r="AG1193" s="553"/>
      <c r="AH1193" s="553"/>
      <c r="AI1193" s="455"/>
    </row>
    <row r="1194" spans="1:35" ht="31.5" x14ac:dyDescent="0.25">
      <c r="A1194" s="237"/>
      <c r="B1194" s="237"/>
      <c r="C1194" s="237"/>
      <c r="D1194" s="237"/>
      <c r="E1194" s="237"/>
      <c r="F1194" s="237"/>
      <c r="G1194" s="237"/>
      <c r="H1194" s="237"/>
      <c r="I1194" s="237"/>
      <c r="J1194" s="237"/>
      <c r="K1194" s="237"/>
      <c r="L1194" s="237"/>
      <c r="M1194" s="237"/>
      <c r="N1194" s="237"/>
      <c r="O1194" s="237"/>
      <c r="P1194" s="237"/>
      <c r="R1194" s="237"/>
      <c r="S1194" s="237"/>
      <c r="W1194" s="237"/>
      <c r="X1194" s="519" t="s">
        <v>1273</v>
      </c>
      <c r="Y1194" s="598">
        <v>905</v>
      </c>
      <c r="Z1194" s="235" t="s">
        <v>566</v>
      </c>
      <c r="AA1194" s="235" t="s">
        <v>205</v>
      </c>
      <c r="AB1194" s="471" t="s">
        <v>2107</v>
      </c>
      <c r="AC1194" s="238">
        <v>240</v>
      </c>
      <c r="AD1194" s="292">
        <v>1</v>
      </c>
      <c r="AE1194" s="475">
        <v>1</v>
      </c>
      <c r="AF1194" s="475">
        <v>1</v>
      </c>
      <c r="AG1194" s="553"/>
      <c r="AH1194" s="553"/>
      <c r="AI1194" s="455"/>
    </row>
    <row r="1195" spans="1:35" ht="31.5" x14ac:dyDescent="0.25">
      <c r="A1195" s="237"/>
      <c r="B1195" s="237"/>
      <c r="C1195" s="237"/>
      <c r="D1195" s="237"/>
      <c r="E1195" s="237"/>
      <c r="F1195" s="237"/>
      <c r="G1195" s="237"/>
      <c r="H1195" s="237"/>
      <c r="I1195" s="237"/>
      <c r="J1195" s="237"/>
      <c r="K1195" s="237"/>
      <c r="L1195" s="237"/>
      <c r="M1195" s="237"/>
      <c r="N1195" s="237"/>
      <c r="O1195" s="237"/>
      <c r="P1195" s="237"/>
      <c r="R1195" s="237"/>
      <c r="S1195" s="237"/>
      <c r="W1195" s="237"/>
      <c r="X1195" s="548" t="s">
        <v>2048</v>
      </c>
      <c r="Y1195" s="598">
        <v>905</v>
      </c>
      <c r="Z1195" s="235" t="s">
        <v>566</v>
      </c>
      <c r="AA1195" s="235" t="s">
        <v>205</v>
      </c>
      <c r="AB1195" s="442" t="s">
        <v>1756</v>
      </c>
      <c r="AC1195" s="238"/>
      <c r="AD1195" s="292">
        <f>AD1196</f>
        <v>4404</v>
      </c>
      <c r="AE1195" s="475">
        <f>AE1196</f>
        <v>4404</v>
      </c>
      <c r="AF1195" s="475">
        <f>AF1196</f>
        <v>4404</v>
      </c>
      <c r="AG1195" s="553"/>
      <c r="AH1195" s="553"/>
      <c r="AI1195" s="455"/>
    </row>
    <row r="1196" spans="1:35" x14ac:dyDescent="0.25">
      <c r="A1196" s="237"/>
      <c r="B1196" s="237"/>
      <c r="C1196" s="237"/>
      <c r="D1196" s="237"/>
      <c r="E1196" s="237"/>
      <c r="F1196" s="237"/>
      <c r="G1196" s="237"/>
      <c r="H1196" s="237"/>
      <c r="I1196" s="237"/>
      <c r="J1196" s="237"/>
      <c r="K1196" s="237"/>
      <c r="L1196" s="237"/>
      <c r="M1196" s="237"/>
      <c r="N1196" s="237"/>
      <c r="O1196" s="237"/>
      <c r="P1196" s="237"/>
      <c r="R1196" s="237"/>
      <c r="S1196" s="237"/>
      <c r="W1196" s="237"/>
      <c r="X1196" s="531" t="s">
        <v>2056</v>
      </c>
      <c r="Y1196" s="598">
        <v>905</v>
      </c>
      <c r="Z1196" s="235" t="s">
        <v>566</v>
      </c>
      <c r="AA1196" s="235" t="s">
        <v>205</v>
      </c>
      <c r="AB1196" s="442" t="s">
        <v>2057</v>
      </c>
      <c r="AC1196" s="238"/>
      <c r="AD1196" s="292">
        <f>AD1197+AD1200+AD1203</f>
        <v>4404</v>
      </c>
      <c r="AE1196" s="475">
        <f>AE1197+AE1200+AE1203</f>
        <v>4404</v>
      </c>
      <c r="AF1196" s="475">
        <f>AF1197+AF1200+AF1203</f>
        <v>4404</v>
      </c>
      <c r="AG1196" s="553"/>
      <c r="AH1196" s="553"/>
      <c r="AI1196" s="455"/>
    </row>
    <row r="1197" spans="1:35" ht="31.5" x14ac:dyDescent="0.25">
      <c r="A1197" s="237"/>
      <c r="B1197" s="237"/>
      <c r="C1197" s="237"/>
      <c r="D1197" s="237"/>
      <c r="E1197" s="237"/>
      <c r="F1197" s="237"/>
      <c r="G1197" s="237"/>
      <c r="H1197" s="237"/>
      <c r="I1197" s="237"/>
      <c r="J1197" s="237"/>
      <c r="K1197" s="237"/>
      <c r="L1197" s="237"/>
      <c r="M1197" s="237"/>
      <c r="N1197" s="237"/>
      <c r="O1197" s="237"/>
      <c r="P1197" s="237"/>
      <c r="R1197" s="237"/>
      <c r="S1197" s="237"/>
      <c r="W1197" s="237"/>
      <c r="X1197" s="519" t="s">
        <v>2058</v>
      </c>
      <c r="Y1197" s="598">
        <v>905</v>
      </c>
      <c r="Z1197" s="235" t="s">
        <v>566</v>
      </c>
      <c r="AA1197" s="235" t="s">
        <v>205</v>
      </c>
      <c r="AB1197" s="442" t="s">
        <v>2059</v>
      </c>
      <c r="AC1197" s="238"/>
      <c r="AD1197" s="292">
        <f t="shared" ref="AD1197:AF1198" si="331">AD1198</f>
        <v>415.1</v>
      </c>
      <c r="AE1197" s="475">
        <f t="shared" si="331"/>
        <v>415.1</v>
      </c>
      <c r="AF1197" s="475">
        <f t="shared" si="331"/>
        <v>415.1</v>
      </c>
      <c r="AG1197" s="553"/>
      <c r="AH1197" s="553"/>
      <c r="AI1197" s="455"/>
    </row>
    <row r="1198" spans="1:35" x14ac:dyDescent="0.25">
      <c r="A1198" s="237"/>
      <c r="B1198" s="237"/>
      <c r="C1198" s="237"/>
      <c r="D1198" s="237"/>
      <c r="E1198" s="237"/>
      <c r="F1198" s="237"/>
      <c r="G1198" s="237"/>
      <c r="H1198" s="237"/>
      <c r="I1198" s="237"/>
      <c r="J1198" s="237"/>
      <c r="K1198" s="237"/>
      <c r="L1198" s="237"/>
      <c r="M1198" s="237"/>
      <c r="N1198" s="237"/>
      <c r="O1198" s="237"/>
      <c r="P1198" s="237"/>
      <c r="R1198" s="237"/>
      <c r="S1198" s="237"/>
      <c r="W1198" s="237"/>
      <c r="X1198" s="519" t="s">
        <v>1781</v>
      </c>
      <c r="Y1198" s="598">
        <v>905</v>
      </c>
      <c r="Z1198" s="235" t="s">
        <v>566</v>
      </c>
      <c r="AA1198" s="235" t="s">
        <v>205</v>
      </c>
      <c r="AB1198" s="442" t="s">
        <v>2059</v>
      </c>
      <c r="AC1198" s="238">
        <v>200</v>
      </c>
      <c r="AD1198" s="292">
        <f t="shared" si="331"/>
        <v>415.1</v>
      </c>
      <c r="AE1198" s="475">
        <f t="shared" si="331"/>
        <v>415.1</v>
      </c>
      <c r="AF1198" s="475">
        <f t="shared" si="331"/>
        <v>415.1</v>
      </c>
      <c r="AG1198" s="553"/>
      <c r="AH1198" s="553"/>
      <c r="AI1198" s="455"/>
    </row>
    <row r="1199" spans="1:35" ht="31.5" x14ac:dyDescent="0.25">
      <c r="A1199" s="237"/>
      <c r="B1199" s="237"/>
      <c r="C1199" s="237"/>
      <c r="D1199" s="237"/>
      <c r="E1199" s="237"/>
      <c r="F1199" s="237"/>
      <c r="G1199" s="237"/>
      <c r="H1199" s="237"/>
      <c r="I1199" s="237"/>
      <c r="J1199" s="237"/>
      <c r="K1199" s="237"/>
      <c r="L1199" s="237"/>
      <c r="M1199" s="237"/>
      <c r="N1199" s="237"/>
      <c r="O1199" s="237"/>
      <c r="P1199" s="237"/>
      <c r="R1199" s="237"/>
      <c r="S1199" s="237"/>
      <c r="W1199" s="237"/>
      <c r="X1199" s="519" t="s">
        <v>1273</v>
      </c>
      <c r="Y1199" s="598">
        <v>905</v>
      </c>
      <c r="Z1199" s="235" t="s">
        <v>566</v>
      </c>
      <c r="AA1199" s="235" t="s">
        <v>205</v>
      </c>
      <c r="AB1199" s="442" t="s">
        <v>2059</v>
      </c>
      <c r="AC1199" s="238">
        <v>240</v>
      </c>
      <c r="AD1199" s="292">
        <v>415.1</v>
      </c>
      <c r="AE1199" s="475">
        <v>415.1</v>
      </c>
      <c r="AF1199" s="475">
        <v>415.1</v>
      </c>
      <c r="AG1199" s="553"/>
      <c r="AH1199" s="553"/>
      <c r="AI1199" s="455"/>
    </row>
    <row r="1200" spans="1:35" ht="47.25" x14ac:dyDescent="0.25">
      <c r="A1200" s="237"/>
      <c r="B1200" s="237"/>
      <c r="C1200" s="237"/>
      <c r="D1200" s="237"/>
      <c r="E1200" s="237"/>
      <c r="F1200" s="237"/>
      <c r="G1200" s="237"/>
      <c r="H1200" s="237"/>
      <c r="I1200" s="237"/>
      <c r="J1200" s="237"/>
      <c r="K1200" s="237"/>
      <c r="L1200" s="237"/>
      <c r="M1200" s="237"/>
      <c r="N1200" s="237"/>
      <c r="O1200" s="237"/>
      <c r="P1200" s="237"/>
      <c r="R1200" s="237"/>
      <c r="S1200" s="237"/>
      <c r="W1200" s="237"/>
      <c r="X1200" s="514" t="s">
        <v>2256</v>
      </c>
      <c r="Y1200" s="598">
        <v>905</v>
      </c>
      <c r="Z1200" s="235" t="s">
        <v>566</v>
      </c>
      <c r="AA1200" s="235" t="s">
        <v>205</v>
      </c>
      <c r="AB1200" s="442" t="s">
        <v>2060</v>
      </c>
      <c r="AC1200" s="238"/>
      <c r="AD1200" s="292">
        <f t="shared" ref="AD1200:AF1201" si="332">AD1201</f>
        <v>1879.2</v>
      </c>
      <c r="AE1200" s="475">
        <f t="shared" si="332"/>
        <v>1879.2</v>
      </c>
      <c r="AF1200" s="475">
        <f t="shared" si="332"/>
        <v>1879.2</v>
      </c>
      <c r="AG1200" s="553"/>
      <c r="AH1200" s="553"/>
      <c r="AI1200" s="455"/>
    </row>
    <row r="1201" spans="1:35" ht="47.25" x14ac:dyDescent="0.25">
      <c r="A1201" s="237"/>
      <c r="B1201" s="237"/>
      <c r="C1201" s="237"/>
      <c r="D1201" s="237"/>
      <c r="E1201" s="237"/>
      <c r="F1201" s="237"/>
      <c r="G1201" s="237"/>
      <c r="H1201" s="237"/>
      <c r="I1201" s="237"/>
      <c r="J1201" s="237"/>
      <c r="K1201" s="237"/>
      <c r="L1201" s="237"/>
      <c r="M1201" s="237"/>
      <c r="N1201" s="237"/>
      <c r="O1201" s="237"/>
      <c r="P1201" s="237"/>
      <c r="R1201" s="237"/>
      <c r="S1201" s="237"/>
      <c r="W1201" s="237"/>
      <c r="X1201" s="519" t="s">
        <v>921</v>
      </c>
      <c r="Y1201" s="598">
        <v>905</v>
      </c>
      <c r="Z1201" s="235" t="s">
        <v>566</v>
      </c>
      <c r="AA1201" s="235" t="s">
        <v>205</v>
      </c>
      <c r="AB1201" s="442" t="s">
        <v>2060</v>
      </c>
      <c r="AC1201" s="238">
        <v>100</v>
      </c>
      <c r="AD1201" s="292">
        <f t="shared" si="332"/>
        <v>1879.2</v>
      </c>
      <c r="AE1201" s="475">
        <f t="shared" si="332"/>
        <v>1879.2</v>
      </c>
      <c r="AF1201" s="475">
        <f t="shared" si="332"/>
        <v>1879.2</v>
      </c>
      <c r="AG1201" s="553"/>
      <c r="AH1201" s="553"/>
      <c r="AI1201" s="455"/>
    </row>
    <row r="1202" spans="1:35" x14ac:dyDescent="0.25">
      <c r="A1202" s="237"/>
      <c r="B1202" s="237"/>
      <c r="C1202" s="237"/>
      <c r="D1202" s="237"/>
      <c r="E1202" s="237"/>
      <c r="F1202" s="237"/>
      <c r="G1202" s="237"/>
      <c r="H1202" s="237"/>
      <c r="I1202" s="237"/>
      <c r="J1202" s="237"/>
      <c r="K1202" s="237"/>
      <c r="L1202" s="237"/>
      <c r="M1202" s="237"/>
      <c r="N1202" s="237"/>
      <c r="O1202" s="237"/>
      <c r="P1202" s="237"/>
      <c r="R1202" s="237"/>
      <c r="S1202" s="237"/>
      <c r="W1202" s="237"/>
      <c r="X1202" s="519" t="s">
        <v>1747</v>
      </c>
      <c r="Y1202" s="598">
        <v>905</v>
      </c>
      <c r="Z1202" s="235" t="s">
        <v>566</v>
      </c>
      <c r="AA1202" s="235" t="s">
        <v>205</v>
      </c>
      <c r="AB1202" s="442" t="s">
        <v>2060</v>
      </c>
      <c r="AC1202" s="238">
        <v>120</v>
      </c>
      <c r="AD1202" s="292">
        <v>1879.2</v>
      </c>
      <c r="AE1202" s="475">
        <v>1879.2</v>
      </c>
      <c r="AF1202" s="475">
        <v>1879.2</v>
      </c>
      <c r="AG1202" s="553"/>
      <c r="AH1202" s="553"/>
      <c r="AI1202" s="455"/>
    </row>
    <row r="1203" spans="1:35" ht="47.25" x14ac:dyDescent="0.25">
      <c r="A1203" s="237"/>
      <c r="B1203" s="237"/>
      <c r="C1203" s="237"/>
      <c r="D1203" s="237"/>
      <c r="E1203" s="237"/>
      <c r="F1203" s="237"/>
      <c r="G1203" s="237"/>
      <c r="H1203" s="237"/>
      <c r="I1203" s="237"/>
      <c r="J1203" s="237"/>
      <c r="K1203" s="237"/>
      <c r="L1203" s="237"/>
      <c r="M1203" s="237"/>
      <c r="N1203" s="237"/>
      <c r="O1203" s="237"/>
      <c r="P1203" s="237"/>
      <c r="R1203" s="237"/>
      <c r="S1203" s="237"/>
      <c r="W1203" s="237"/>
      <c r="X1203" s="523" t="s">
        <v>2061</v>
      </c>
      <c r="Y1203" s="598">
        <v>905</v>
      </c>
      <c r="Z1203" s="235" t="s">
        <v>566</v>
      </c>
      <c r="AA1203" s="235" t="s">
        <v>205</v>
      </c>
      <c r="AB1203" s="442" t="s">
        <v>2062</v>
      </c>
      <c r="AC1203" s="238"/>
      <c r="AD1203" s="734">
        <f t="shared" ref="AD1203:AF1204" si="333">AD1204</f>
        <v>2109.6999999999998</v>
      </c>
      <c r="AE1203" s="488">
        <f t="shared" si="333"/>
        <v>2109.6999999999998</v>
      </c>
      <c r="AF1203" s="488">
        <f t="shared" si="333"/>
        <v>2109.6999999999998</v>
      </c>
      <c r="AG1203" s="641"/>
      <c r="AH1203" s="641"/>
      <c r="AI1203" s="455"/>
    </row>
    <row r="1204" spans="1:35" ht="47.25" x14ac:dyDescent="0.25">
      <c r="A1204" s="237"/>
      <c r="B1204" s="237"/>
      <c r="C1204" s="237"/>
      <c r="D1204" s="237"/>
      <c r="E1204" s="237"/>
      <c r="F1204" s="237"/>
      <c r="G1204" s="237"/>
      <c r="H1204" s="237"/>
      <c r="I1204" s="237"/>
      <c r="J1204" s="237"/>
      <c r="K1204" s="237"/>
      <c r="L1204" s="237"/>
      <c r="M1204" s="237"/>
      <c r="N1204" s="237"/>
      <c r="O1204" s="237"/>
      <c r="P1204" s="237"/>
      <c r="R1204" s="237"/>
      <c r="S1204" s="237"/>
      <c r="W1204" s="237"/>
      <c r="X1204" s="519" t="s">
        <v>921</v>
      </c>
      <c r="Y1204" s="598">
        <v>905</v>
      </c>
      <c r="Z1204" s="235" t="s">
        <v>566</v>
      </c>
      <c r="AA1204" s="235" t="s">
        <v>205</v>
      </c>
      <c r="AB1204" s="442" t="s">
        <v>2062</v>
      </c>
      <c r="AC1204" s="238">
        <v>100</v>
      </c>
      <c r="AD1204" s="734">
        <f t="shared" si="333"/>
        <v>2109.6999999999998</v>
      </c>
      <c r="AE1204" s="488">
        <f t="shared" si="333"/>
        <v>2109.6999999999998</v>
      </c>
      <c r="AF1204" s="488">
        <f t="shared" si="333"/>
        <v>2109.6999999999998</v>
      </c>
      <c r="AG1204" s="641"/>
      <c r="AH1204" s="641"/>
      <c r="AI1204" s="455"/>
    </row>
    <row r="1205" spans="1:35" x14ac:dyDescent="0.25">
      <c r="A1205" s="237"/>
      <c r="B1205" s="237"/>
      <c r="C1205" s="237"/>
      <c r="D1205" s="237"/>
      <c r="E1205" s="237"/>
      <c r="F1205" s="237"/>
      <c r="G1205" s="237"/>
      <c r="H1205" s="237"/>
      <c r="I1205" s="237"/>
      <c r="J1205" s="237"/>
      <c r="K1205" s="237"/>
      <c r="L1205" s="237"/>
      <c r="M1205" s="237"/>
      <c r="N1205" s="237"/>
      <c r="O1205" s="237"/>
      <c r="P1205" s="237"/>
      <c r="R1205" s="237"/>
      <c r="S1205" s="237"/>
      <c r="W1205" s="237"/>
      <c r="X1205" s="519" t="s">
        <v>1747</v>
      </c>
      <c r="Y1205" s="598">
        <v>905</v>
      </c>
      <c r="Z1205" s="235" t="s">
        <v>566</v>
      </c>
      <c r="AA1205" s="235" t="s">
        <v>205</v>
      </c>
      <c r="AB1205" s="442" t="s">
        <v>2062</v>
      </c>
      <c r="AC1205" s="238">
        <v>120</v>
      </c>
      <c r="AD1205" s="734">
        <v>2109.6999999999998</v>
      </c>
      <c r="AE1205" s="488">
        <v>2109.6999999999998</v>
      </c>
      <c r="AF1205" s="488">
        <v>2109.6999999999998</v>
      </c>
      <c r="AG1205" s="641"/>
      <c r="AH1205" s="641"/>
      <c r="AI1205" s="455"/>
    </row>
    <row r="1206" spans="1:35" x14ac:dyDescent="0.25">
      <c r="A1206" s="237"/>
      <c r="B1206" s="237"/>
      <c r="C1206" s="237"/>
      <c r="D1206" s="237"/>
      <c r="E1206" s="237"/>
      <c r="F1206" s="237"/>
      <c r="G1206" s="237"/>
      <c r="H1206" s="237"/>
      <c r="I1206" s="237"/>
      <c r="J1206" s="237"/>
      <c r="K1206" s="237"/>
      <c r="L1206" s="237"/>
      <c r="M1206" s="237"/>
      <c r="N1206" s="237"/>
      <c r="O1206" s="237"/>
      <c r="P1206" s="237"/>
      <c r="R1206" s="237"/>
      <c r="S1206" s="237"/>
      <c r="W1206" s="237"/>
      <c r="X1206" s="558" t="s">
        <v>1745</v>
      </c>
      <c r="Y1206" s="660">
        <v>905</v>
      </c>
      <c r="Z1206" s="247" t="s">
        <v>768</v>
      </c>
      <c r="AA1206" s="248"/>
      <c r="AB1206" s="271"/>
      <c r="AC1206" s="575"/>
      <c r="AD1206" s="733">
        <f t="shared" ref="AD1206:AF1212" si="334">AD1207</f>
        <v>403.7</v>
      </c>
      <c r="AE1206" s="478">
        <f t="shared" si="334"/>
        <v>403.7</v>
      </c>
      <c r="AF1206" s="478">
        <f t="shared" si="334"/>
        <v>403.7</v>
      </c>
      <c r="AG1206" s="641"/>
      <c r="AH1206" s="641"/>
      <c r="AI1206" s="455"/>
    </row>
    <row r="1207" spans="1:35" x14ac:dyDescent="0.25">
      <c r="A1207" s="237"/>
      <c r="B1207" s="237"/>
      <c r="C1207" s="237"/>
      <c r="D1207" s="237"/>
      <c r="E1207" s="237"/>
      <c r="F1207" s="237"/>
      <c r="G1207" s="237"/>
      <c r="H1207" s="237"/>
      <c r="I1207" s="237"/>
      <c r="J1207" s="237"/>
      <c r="K1207" s="237"/>
      <c r="L1207" s="237"/>
      <c r="M1207" s="237"/>
      <c r="N1207" s="237"/>
      <c r="O1207" s="237"/>
      <c r="P1207" s="237"/>
      <c r="R1207" s="237"/>
      <c r="S1207" s="237"/>
      <c r="W1207" s="237"/>
      <c r="X1207" s="519" t="s">
        <v>1312</v>
      </c>
      <c r="Y1207" s="598">
        <v>905</v>
      </c>
      <c r="Z1207" s="235">
        <v>10</v>
      </c>
      <c r="AA1207" s="235" t="s">
        <v>566</v>
      </c>
      <c r="AB1207" s="249"/>
      <c r="AC1207" s="588"/>
      <c r="AD1207" s="292">
        <f t="shared" si="334"/>
        <v>403.7</v>
      </c>
      <c r="AE1207" s="475">
        <f t="shared" si="334"/>
        <v>403.7</v>
      </c>
      <c r="AF1207" s="475">
        <f t="shared" si="334"/>
        <v>403.7</v>
      </c>
      <c r="AG1207" s="641"/>
      <c r="AH1207" s="641"/>
      <c r="AI1207" s="455"/>
    </row>
    <row r="1208" spans="1:35" x14ac:dyDescent="0.25">
      <c r="A1208" s="237"/>
      <c r="B1208" s="237"/>
      <c r="C1208" s="237"/>
      <c r="D1208" s="237"/>
      <c r="E1208" s="237"/>
      <c r="F1208" s="237"/>
      <c r="G1208" s="237"/>
      <c r="H1208" s="237"/>
      <c r="I1208" s="237"/>
      <c r="J1208" s="237"/>
      <c r="K1208" s="237"/>
      <c r="L1208" s="237"/>
      <c r="M1208" s="237"/>
      <c r="N1208" s="237"/>
      <c r="O1208" s="237"/>
      <c r="P1208" s="237"/>
      <c r="R1208" s="237"/>
      <c r="S1208" s="237"/>
      <c r="W1208" s="237"/>
      <c r="X1208" s="548" t="s">
        <v>2074</v>
      </c>
      <c r="Y1208" s="598">
        <v>905</v>
      </c>
      <c r="Z1208" s="235">
        <v>10</v>
      </c>
      <c r="AA1208" s="235" t="s">
        <v>566</v>
      </c>
      <c r="AB1208" s="442" t="s">
        <v>1768</v>
      </c>
      <c r="AC1208" s="588"/>
      <c r="AD1208" s="292">
        <f t="shared" si="334"/>
        <v>403.7</v>
      </c>
      <c r="AE1208" s="475">
        <f t="shared" si="334"/>
        <v>403.7</v>
      </c>
      <c r="AF1208" s="475">
        <f t="shared" si="334"/>
        <v>403.7</v>
      </c>
      <c r="AG1208" s="641"/>
      <c r="AH1208" s="641"/>
      <c r="AI1208" s="455"/>
    </row>
    <row r="1209" spans="1:35" x14ac:dyDescent="0.25">
      <c r="A1209" s="237"/>
      <c r="B1209" s="237"/>
      <c r="C1209" s="237"/>
      <c r="D1209" s="237"/>
      <c r="E1209" s="237"/>
      <c r="F1209" s="237"/>
      <c r="G1209" s="237"/>
      <c r="H1209" s="237"/>
      <c r="I1209" s="237"/>
      <c r="J1209" s="237"/>
      <c r="K1209" s="237"/>
      <c r="L1209" s="237"/>
      <c r="M1209" s="237"/>
      <c r="N1209" s="237"/>
      <c r="O1209" s="237"/>
      <c r="P1209" s="237"/>
      <c r="R1209" s="237"/>
      <c r="S1209" s="237"/>
      <c r="W1209" s="237"/>
      <c r="X1209" s="524" t="s">
        <v>2075</v>
      </c>
      <c r="Y1209" s="598">
        <v>905</v>
      </c>
      <c r="Z1209" s="235">
        <v>10</v>
      </c>
      <c r="AA1209" s="235" t="s">
        <v>566</v>
      </c>
      <c r="AB1209" s="442" t="s">
        <v>1779</v>
      </c>
      <c r="AC1209" s="588"/>
      <c r="AD1209" s="292">
        <f t="shared" si="334"/>
        <v>403.7</v>
      </c>
      <c r="AE1209" s="475">
        <f t="shared" si="334"/>
        <v>403.7</v>
      </c>
      <c r="AF1209" s="475">
        <f t="shared" si="334"/>
        <v>403.7</v>
      </c>
      <c r="AG1209" s="641"/>
      <c r="AH1209" s="641"/>
      <c r="AI1209" s="455"/>
    </row>
    <row r="1210" spans="1:35" ht="31.5" x14ac:dyDescent="0.25">
      <c r="A1210" s="237"/>
      <c r="B1210" s="237"/>
      <c r="C1210" s="237"/>
      <c r="D1210" s="237"/>
      <c r="E1210" s="237"/>
      <c r="F1210" s="237"/>
      <c r="G1210" s="237"/>
      <c r="H1210" s="237"/>
      <c r="I1210" s="237"/>
      <c r="J1210" s="237"/>
      <c r="K1210" s="237"/>
      <c r="L1210" s="237"/>
      <c r="M1210" s="237"/>
      <c r="N1210" s="237"/>
      <c r="O1210" s="237"/>
      <c r="P1210" s="237"/>
      <c r="R1210" s="237"/>
      <c r="S1210" s="237"/>
      <c r="W1210" s="237"/>
      <c r="X1210" s="548" t="s">
        <v>2081</v>
      </c>
      <c r="Y1210" s="598">
        <v>905</v>
      </c>
      <c r="Z1210" s="235">
        <v>10</v>
      </c>
      <c r="AA1210" s="235" t="s">
        <v>566</v>
      </c>
      <c r="AB1210" s="442" t="s">
        <v>2082</v>
      </c>
      <c r="AC1210" s="588"/>
      <c r="AD1210" s="292">
        <f t="shared" si="334"/>
        <v>403.7</v>
      </c>
      <c r="AE1210" s="475">
        <f t="shared" si="334"/>
        <v>403.7</v>
      </c>
      <c r="AF1210" s="475">
        <f t="shared" si="334"/>
        <v>403.7</v>
      </c>
      <c r="AG1210" s="641"/>
      <c r="AH1210" s="641"/>
      <c r="AI1210" s="455"/>
    </row>
    <row r="1211" spans="1:35" ht="31.5" x14ac:dyDescent="0.25">
      <c r="A1211" s="237"/>
      <c r="B1211" s="237"/>
      <c r="C1211" s="237"/>
      <c r="D1211" s="237"/>
      <c r="E1211" s="237"/>
      <c r="F1211" s="237"/>
      <c r="G1211" s="237"/>
      <c r="H1211" s="237"/>
      <c r="I1211" s="237"/>
      <c r="J1211" s="237"/>
      <c r="K1211" s="237"/>
      <c r="L1211" s="237"/>
      <c r="M1211" s="237"/>
      <c r="N1211" s="237"/>
      <c r="O1211" s="237"/>
      <c r="P1211" s="237"/>
      <c r="R1211" s="237"/>
      <c r="S1211" s="237"/>
      <c r="W1211" s="237"/>
      <c r="X1211" s="529" t="s">
        <v>2083</v>
      </c>
      <c r="Y1211" s="599">
        <v>905</v>
      </c>
      <c r="Z1211" s="235">
        <v>10</v>
      </c>
      <c r="AA1211" s="235" t="s">
        <v>566</v>
      </c>
      <c r="AB1211" s="442" t="s">
        <v>2084</v>
      </c>
      <c r="AC1211" s="588"/>
      <c r="AD1211" s="292">
        <f t="shared" si="334"/>
        <v>403.7</v>
      </c>
      <c r="AE1211" s="475">
        <f t="shared" si="334"/>
        <v>403.7</v>
      </c>
      <c r="AF1211" s="475">
        <f t="shared" si="334"/>
        <v>403.7</v>
      </c>
      <c r="AG1211" s="641"/>
      <c r="AH1211" s="641"/>
      <c r="AI1211" s="455"/>
    </row>
    <row r="1212" spans="1:35" x14ac:dyDescent="0.25">
      <c r="A1212" s="237"/>
      <c r="B1212" s="237"/>
      <c r="C1212" s="237"/>
      <c r="D1212" s="237"/>
      <c r="E1212" s="237"/>
      <c r="F1212" s="237"/>
      <c r="G1212" s="237"/>
      <c r="H1212" s="237"/>
      <c r="I1212" s="237"/>
      <c r="J1212" s="237"/>
      <c r="K1212" s="237"/>
      <c r="L1212" s="237"/>
      <c r="M1212" s="237"/>
      <c r="N1212" s="237"/>
      <c r="O1212" s="237"/>
      <c r="P1212" s="237"/>
      <c r="R1212" s="237"/>
      <c r="S1212" s="237"/>
      <c r="W1212" s="237"/>
      <c r="X1212" s="519" t="s">
        <v>1754</v>
      </c>
      <c r="Y1212" s="598">
        <v>905</v>
      </c>
      <c r="Z1212" s="235">
        <v>10</v>
      </c>
      <c r="AA1212" s="235" t="s">
        <v>566</v>
      </c>
      <c r="AB1212" s="442" t="s">
        <v>2084</v>
      </c>
      <c r="AC1212" s="238">
        <v>300</v>
      </c>
      <c r="AD1212" s="292">
        <f t="shared" si="334"/>
        <v>403.7</v>
      </c>
      <c r="AE1212" s="475">
        <f t="shared" si="334"/>
        <v>403.7</v>
      </c>
      <c r="AF1212" s="475">
        <f t="shared" si="334"/>
        <v>403.7</v>
      </c>
      <c r="AG1212" s="641"/>
      <c r="AH1212" s="641"/>
      <c r="AI1212" s="455"/>
    </row>
    <row r="1213" spans="1:35" ht="17.25" thickBot="1" x14ac:dyDescent="0.3">
      <c r="A1213" s="237"/>
      <c r="B1213" s="237"/>
      <c r="C1213" s="237"/>
      <c r="D1213" s="237"/>
      <c r="E1213" s="237"/>
      <c r="F1213" s="237"/>
      <c r="G1213" s="237"/>
      <c r="H1213" s="237"/>
      <c r="I1213" s="237"/>
      <c r="J1213" s="237"/>
      <c r="K1213" s="237"/>
      <c r="L1213" s="237"/>
      <c r="M1213" s="237"/>
      <c r="N1213" s="237"/>
      <c r="O1213" s="237"/>
      <c r="P1213" s="237"/>
      <c r="R1213" s="237"/>
      <c r="S1213" s="237"/>
      <c r="W1213" s="237"/>
      <c r="X1213" s="519" t="s">
        <v>868</v>
      </c>
      <c r="Y1213" s="599">
        <v>905</v>
      </c>
      <c r="Z1213" s="235">
        <v>10</v>
      </c>
      <c r="AA1213" s="235" t="s">
        <v>566</v>
      </c>
      <c r="AB1213" s="442" t="s">
        <v>2084</v>
      </c>
      <c r="AC1213" s="238">
        <v>320</v>
      </c>
      <c r="AD1213" s="292">
        <v>403.7</v>
      </c>
      <c r="AE1213" s="475">
        <v>403.7</v>
      </c>
      <c r="AF1213" s="475">
        <v>403.7</v>
      </c>
      <c r="AG1213" s="641"/>
      <c r="AH1213" s="641"/>
      <c r="AI1213" s="455"/>
    </row>
    <row r="1214" spans="1:35" ht="20.45" customHeight="1" thickBot="1" x14ac:dyDescent="0.3">
      <c r="A1214" s="237"/>
      <c r="B1214" s="237"/>
      <c r="C1214" s="237"/>
      <c r="D1214" s="237"/>
      <c r="E1214" s="237"/>
      <c r="F1214" s="237"/>
      <c r="G1214" s="237"/>
      <c r="H1214" s="237"/>
      <c r="I1214" s="237"/>
      <c r="J1214" s="237"/>
      <c r="K1214" s="237"/>
      <c r="L1214" s="237"/>
      <c r="M1214" s="237"/>
      <c r="N1214" s="237"/>
      <c r="O1214" s="237"/>
      <c r="P1214" s="237"/>
      <c r="R1214" s="237"/>
      <c r="S1214" s="237"/>
      <c r="W1214" s="237"/>
      <c r="X1214" s="568" t="s">
        <v>1313</v>
      </c>
      <c r="Y1214" s="601"/>
      <c r="Z1214" s="493"/>
      <c r="AA1214" s="493"/>
      <c r="AB1214" s="490"/>
      <c r="AC1214" s="497"/>
      <c r="AD1214" s="484">
        <f>AD1147+AD901+AD705+AD644+AD606+AD555+AD18+AD1186</f>
        <v>3811600.8</v>
      </c>
      <c r="AE1214" s="485">
        <f>AE1147+AE901+AE705+AE644+AE606+AE555+AE18+AE1186</f>
        <v>2395728.3000000003</v>
      </c>
      <c r="AF1214" s="485">
        <f>AF1147+AF901+AF705+AF644+AF606+AF555+AF18+AF1186</f>
        <v>1711223.7000000002</v>
      </c>
      <c r="AG1214" s="640"/>
      <c r="AH1214" s="640"/>
      <c r="AI1214" s="455"/>
    </row>
    <row r="1215" spans="1:35" x14ac:dyDescent="0.25">
      <c r="A1215" s="237"/>
      <c r="B1215" s="237"/>
      <c r="C1215" s="237"/>
      <c r="D1215" s="237"/>
      <c r="E1215" s="237"/>
      <c r="F1215" s="237"/>
      <c r="G1215" s="237"/>
      <c r="H1215" s="237"/>
      <c r="I1215" s="237"/>
      <c r="J1215" s="237"/>
      <c r="K1215" s="237"/>
      <c r="L1215" s="237"/>
      <c r="M1215" s="237"/>
      <c r="N1215" s="237"/>
      <c r="O1215" s="237"/>
      <c r="P1215" s="237"/>
      <c r="R1215" s="237"/>
      <c r="S1215" s="237"/>
      <c r="W1215" s="237"/>
      <c r="AB1215" s="279"/>
    </row>
    <row r="1216" spans="1:35" x14ac:dyDescent="0.25">
      <c r="A1216" s="237"/>
      <c r="B1216" s="237"/>
      <c r="C1216" s="237"/>
      <c r="D1216" s="237"/>
      <c r="E1216" s="237"/>
      <c r="F1216" s="237"/>
      <c r="G1216" s="237"/>
      <c r="H1216" s="237"/>
      <c r="I1216" s="237"/>
      <c r="J1216" s="237"/>
      <c r="K1216" s="237"/>
      <c r="L1216" s="237"/>
      <c r="M1216" s="237"/>
      <c r="N1216" s="237"/>
      <c r="O1216" s="237"/>
      <c r="P1216" s="237"/>
      <c r="R1216" s="237"/>
      <c r="S1216" s="237"/>
      <c r="W1216" s="237"/>
    </row>
    <row r="1217" spans="1:34" ht="15.75" x14ac:dyDescent="0.25">
      <c r="A1217" s="237"/>
      <c r="B1217" s="237"/>
      <c r="C1217" s="237"/>
      <c r="D1217" s="237"/>
      <c r="E1217" s="237"/>
      <c r="F1217" s="237"/>
      <c r="G1217" s="237"/>
      <c r="H1217" s="237"/>
      <c r="I1217" s="237"/>
      <c r="J1217" s="237"/>
      <c r="K1217" s="237"/>
      <c r="L1217" s="237"/>
      <c r="M1217" s="237"/>
      <c r="N1217" s="237"/>
      <c r="O1217" s="237"/>
      <c r="P1217" s="237"/>
      <c r="R1217" s="237"/>
      <c r="S1217" s="237"/>
      <c r="W1217" s="237"/>
      <c r="X1217" s="502"/>
      <c r="Y1217" s="507"/>
      <c r="Z1217" s="533"/>
      <c r="AA1217" s="533"/>
      <c r="AB1217" s="434"/>
      <c r="AC1217" s="533"/>
      <c r="AD1217" s="237"/>
      <c r="AE1217" s="237"/>
      <c r="AF1217" s="237"/>
      <c r="AG1217" s="237"/>
      <c r="AH1217" s="237"/>
    </row>
    <row r="1218" spans="1:34" ht="15.75" x14ac:dyDescent="0.25">
      <c r="A1218" s="237"/>
      <c r="B1218" s="237"/>
      <c r="C1218" s="237"/>
      <c r="D1218" s="237"/>
      <c r="E1218" s="237"/>
      <c r="F1218" s="237"/>
      <c r="G1218" s="237"/>
      <c r="H1218" s="237"/>
      <c r="I1218" s="237"/>
      <c r="J1218" s="237"/>
      <c r="K1218" s="237"/>
      <c r="L1218" s="237"/>
      <c r="M1218" s="237"/>
      <c r="N1218" s="237"/>
      <c r="O1218" s="237"/>
      <c r="P1218" s="237"/>
      <c r="R1218" s="237"/>
      <c r="S1218" s="237"/>
      <c r="W1218" s="237"/>
      <c r="X1218" s="502"/>
      <c r="Y1218" s="507"/>
      <c r="Z1218" s="533"/>
      <c r="AA1218" s="533"/>
      <c r="AB1218" s="434"/>
      <c r="AC1218" s="533"/>
      <c r="AD1218" s="824"/>
      <c r="AE1218" s="824"/>
      <c r="AF1218" s="824"/>
      <c r="AG1218" s="237"/>
      <c r="AH1218" s="237"/>
    </row>
    <row r="1219" spans="1:34" ht="15.75" x14ac:dyDescent="0.25">
      <c r="A1219" s="237"/>
      <c r="B1219" s="237"/>
      <c r="C1219" s="237"/>
      <c r="D1219" s="237"/>
      <c r="E1219" s="237"/>
      <c r="F1219" s="237"/>
      <c r="G1219" s="237"/>
      <c r="H1219" s="237"/>
      <c r="I1219" s="237"/>
      <c r="J1219" s="237"/>
      <c r="K1219" s="237"/>
      <c r="L1219" s="237"/>
      <c r="M1219" s="237"/>
      <c r="N1219" s="237"/>
      <c r="O1219" s="237"/>
      <c r="P1219" s="237"/>
      <c r="R1219" s="237"/>
      <c r="S1219" s="237"/>
      <c r="W1219" s="237"/>
      <c r="X1219" s="502"/>
      <c r="Y1219" s="507"/>
      <c r="Z1219" s="533"/>
      <c r="AA1219" s="533"/>
      <c r="AB1219" s="434"/>
      <c r="AC1219" s="533"/>
      <c r="AD1219" s="237"/>
      <c r="AE1219" s="237"/>
      <c r="AF1219" s="237"/>
      <c r="AG1219" s="237"/>
      <c r="AH1219" s="237"/>
    </row>
    <row r="1220" spans="1:34" ht="15.75" x14ac:dyDescent="0.25">
      <c r="A1220" s="237"/>
      <c r="B1220" s="237"/>
      <c r="C1220" s="237"/>
      <c r="D1220" s="237"/>
      <c r="E1220" s="237"/>
      <c r="F1220" s="237"/>
      <c r="G1220" s="237"/>
      <c r="H1220" s="237"/>
      <c r="I1220" s="237"/>
      <c r="J1220" s="237"/>
      <c r="K1220" s="237"/>
      <c r="L1220" s="237"/>
      <c r="M1220" s="237"/>
      <c r="N1220" s="237"/>
      <c r="O1220" s="237"/>
      <c r="P1220" s="237"/>
      <c r="R1220" s="237"/>
      <c r="S1220" s="237"/>
      <c r="W1220" s="237"/>
      <c r="X1220" s="502"/>
      <c r="Y1220" s="507"/>
      <c r="Z1220" s="533"/>
      <c r="AA1220" s="533"/>
      <c r="AB1220" s="434"/>
      <c r="AC1220" s="533"/>
      <c r="AD1220" s="237"/>
      <c r="AE1220" s="237"/>
      <c r="AF1220" s="237"/>
      <c r="AG1220" s="237"/>
      <c r="AH1220" s="237"/>
    </row>
    <row r="1221" spans="1:34" ht="15.75" x14ac:dyDescent="0.25">
      <c r="A1221" s="237"/>
      <c r="B1221" s="237"/>
      <c r="C1221" s="237"/>
      <c r="D1221" s="237"/>
      <c r="E1221" s="237"/>
      <c r="F1221" s="237"/>
      <c r="G1221" s="237"/>
      <c r="H1221" s="237"/>
      <c r="I1221" s="237"/>
      <c r="J1221" s="237"/>
      <c r="K1221" s="237"/>
      <c r="L1221" s="237"/>
      <c r="M1221" s="237"/>
      <c r="N1221" s="237"/>
      <c r="O1221" s="237"/>
      <c r="P1221" s="237"/>
      <c r="R1221" s="237"/>
      <c r="S1221" s="237"/>
      <c r="W1221" s="237"/>
      <c r="X1221" s="502"/>
      <c r="Y1221" s="507"/>
      <c r="Z1221" s="533"/>
      <c r="AA1221" s="533"/>
      <c r="AB1221" s="434"/>
      <c r="AC1221" s="533"/>
      <c r="AD1221" s="237"/>
      <c r="AE1221" s="237"/>
      <c r="AF1221" s="237"/>
      <c r="AG1221" s="237"/>
      <c r="AH1221" s="237"/>
    </row>
    <row r="1222" spans="1:34" ht="15.75" x14ac:dyDescent="0.25">
      <c r="A1222" s="237"/>
      <c r="B1222" s="237"/>
      <c r="C1222" s="237"/>
      <c r="D1222" s="237"/>
      <c r="E1222" s="237"/>
      <c r="F1222" s="237"/>
      <c r="G1222" s="237"/>
      <c r="H1222" s="237"/>
      <c r="I1222" s="237"/>
      <c r="J1222" s="237"/>
      <c r="K1222" s="237"/>
      <c r="L1222" s="237"/>
      <c r="M1222" s="237"/>
      <c r="N1222" s="237"/>
      <c r="O1222" s="237"/>
      <c r="P1222" s="237"/>
      <c r="R1222" s="237"/>
      <c r="S1222" s="237"/>
      <c r="W1222" s="237"/>
      <c r="X1222" s="502"/>
      <c r="Y1222" s="507"/>
      <c r="Z1222" s="533"/>
      <c r="AA1222" s="533"/>
      <c r="AB1222" s="434"/>
      <c r="AC1222" s="533"/>
      <c r="AD1222" s="237"/>
      <c r="AE1222" s="237"/>
      <c r="AF1222" s="237"/>
      <c r="AG1222" s="237"/>
      <c r="AH1222" s="237"/>
    </row>
    <row r="1223" spans="1:34" ht="15.75" x14ac:dyDescent="0.25">
      <c r="A1223" s="237"/>
      <c r="B1223" s="237"/>
      <c r="C1223" s="237"/>
      <c r="D1223" s="237"/>
      <c r="E1223" s="237"/>
      <c r="F1223" s="237"/>
      <c r="G1223" s="237"/>
      <c r="H1223" s="237"/>
      <c r="I1223" s="237"/>
      <c r="J1223" s="237"/>
      <c r="K1223" s="237"/>
      <c r="L1223" s="237"/>
      <c r="M1223" s="237"/>
      <c r="N1223" s="237"/>
      <c r="O1223" s="237"/>
      <c r="P1223" s="237"/>
      <c r="R1223" s="237"/>
      <c r="S1223" s="237"/>
      <c r="W1223" s="237"/>
      <c r="X1223" s="502"/>
      <c r="Y1223" s="507"/>
      <c r="Z1223" s="533"/>
      <c r="AA1223" s="533"/>
      <c r="AB1223" s="434"/>
      <c r="AC1223" s="533"/>
      <c r="AD1223" s="237"/>
      <c r="AE1223" s="237"/>
      <c r="AF1223" s="237"/>
      <c r="AG1223" s="237"/>
      <c r="AH1223" s="237"/>
    </row>
    <row r="1224" spans="1:34" ht="15.75" x14ac:dyDescent="0.25">
      <c r="A1224" s="237"/>
      <c r="B1224" s="237"/>
      <c r="C1224" s="237"/>
      <c r="D1224" s="237"/>
      <c r="E1224" s="237"/>
      <c r="F1224" s="237"/>
      <c r="G1224" s="237"/>
      <c r="H1224" s="237"/>
      <c r="I1224" s="237"/>
      <c r="J1224" s="237"/>
      <c r="K1224" s="237"/>
      <c r="L1224" s="237"/>
      <c r="M1224" s="237"/>
      <c r="N1224" s="237"/>
      <c r="O1224" s="237"/>
      <c r="P1224" s="237"/>
      <c r="R1224" s="237"/>
      <c r="S1224" s="237"/>
      <c r="W1224" s="237"/>
      <c r="X1224" s="502"/>
      <c r="Y1224" s="507"/>
      <c r="Z1224" s="533"/>
      <c r="AA1224" s="533"/>
      <c r="AB1224" s="434"/>
      <c r="AC1224" s="533"/>
      <c r="AD1224" s="237"/>
      <c r="AE1224" s="237"/>
      <c r="AF1224" s="237"/>
      <c r="AG1224" s="237"/>
      <c r="AH1224" s="237"/>
    </row>
    <row r="1225" spans="1:34" ht="15.75" x14ac:dyDescent="0.25">
      <c r="A1225" s="237"/>
      <c r="B1225" s="237"/>
      <c r="C1225" s="237"/>
      <c r="D1225" s="237"/>
      <c r="E1225" s="237"/>
      <c r="F1225" s="237"/>
      <c r="G1225" s="237"/>
      <c r="H1225" s="237"/>
      <c r="I1225" s="237"/>
      <c r="J1225" s="237"/>
      <c r="K1225" s="237"/>
      <c r="L1225" s="237"/>
      <c r="M1225" s="237"/>
      <c r="N1225" s="237"/>
      <c r="O1225" s="237"/>
      <c r="P1225" s="237"/>
      <c r="R1225" s="237"/>
      <c r="S1225" s="237"/>
      <c r="W1225" s="237"/>
      <c r="X1225" s="502"/>
      <c r="Y1225" s="507"/>
      <c r="Z1225" s="533"/>
      <c r="AA1225" s="533"/>
      <c r="AB1225" s="434"/>
      <c r="AC1225" s="533"/>
      <c r="AD1225" s="237"/>
      <c r="AE1225" s="237"/>
      <c r="AF1225" s="237"/>
      <c r="AG1225" s="237"/>
      <c r="AH1225" s="237"/>
    </row>
    <row r="1226" spans="1:34" ht="15.75" x14ac:dyDescent="0.25">
      <c r="A1226" s="237"/>
      <c r="B1226" s="237"/>
      <c r="C1226" s="237"/>
      <c r="D1226" s="237"/>
      <c r="E1226" s="237"/>
      <c r="F1226" s="237"/>
      <c r="G1226" s="237"/>
      <c r="H1226" s="237"/>
      <c r="I1226" s="237"/>
      <c r="J1226" s="237"/>
      <c r="K1226" s="237"/>
      <c r="L1226" s="237"/>
      <c r="M1226" s="237"/>
      <c r="N1226" s="237"/>
      <c r="O1226" s="237"/>
      <c r="P1226" s="237"/>
      <c r="R1226" s="237"/>
      <c r="S1226" s="237"/>
      <c r="W1226" s="237"/>
      <c r="X1226" s="502"/>
      <c r="Y1226" s="507"/>
      <c r="Z1226" s="533"/>
      <c r="AA1226" s="533"/>
      <c r="AB1226" s="434"/>
      <c r="AC1226" s="533"/>
      <c r="AD1226" s="237"/>
      <c r="AE1226" s="237"/>
      <c r="AF1226" s="237"/>
      <c r="AG1226" s="237"/>
      <c r="AH1226" s="237"/>
    </row>
    <row r="1227" spans="1:34" ht="15.75" x14ac:dyDescent="0.25">
      <c r="A1227" s="237"/>
      <c r="B1227" s="237"/>
      <c r="C1227" s="237"/>
      <c r="D1227" s="237"/>
      <c r="E1227" s="237"/>
      <c r="F1227" s="237"/>
      <c r="G1227" s="237"/>
      <c r="H1227" s="237"/>
      <c r="I1227" s="237"/>
      <c r="J1227" s="237"/>
      <c r="K1227" s="237"/>
      <c r="L1227" s="237"/>
      <c r="M1227" s="237"/>
      <c r="N1227" s="237"/>
      <c r="O1227" s="237"/>
      <c r="P1227" s="237"/>
      <c r="R1227" s="237"/>
      <c r="S1227" s="237"/>
      <c r="W1227" s="237"/>
      <c r="X1227" s="502"/>
      <c r="Y1227" s="507"/>
      <c r="Z1227" s="533"/>
      <c r="AA1227" s="533"/>
      <c r="AB1227" s="434"/>
      <c r="AC1227" s="533"/>
      <c r="AD1227" s="237"/>
      <c r="AE1227" s="237"/>
      <c r="AF1227" s="237"/>
      <c r="AG1227" s="237"/>
      <c r="AH1227" s="237"/>
    </row>
    <row r="1228" spans="1:34" ht="15.75" x14ac:dyDescent="0.25">
      <c r="A1228" s="237"/>
      <c r="B1228" s="237"/>
      <c r="C1228" s="237"/>
      <c r="D1228" s="237"/>
      <c r="E1228" s="237"/>
      <c r="F1228" s="237"/>
      <c r="G1228" s="237"/>
      <c r="H1228" s="237"/>
      <c r="I1228" s="237"/>
      <c r="J1228" s="237"/>
      <c r="K1228" s="237"/>
      <c r="L1228" s="237"/>
      <c r="M1228" s="237"/>
      <c r="N1228" s="237"/>
      <c r="O1228" s="237"/>
      <c r="P1228" s="237"/>
      <c r="R1228" s="237"/>
      <c r="S1228" s="237"/>
      <c r="W1228" s="237"/>
      <c r="X1228" s="502"/>
      <c r="Y1228" s="507"/>
      <c r="Z1228" s="533"/>
      <c r="AA1228" s="533"/>
      <c r="AB1228" s="434"/>
      <c r="AC1228" s="533"/>
      <c r="AD1228" s="237"/>
      <c r="AE1228" s="237"/>
      <c r="AF1228" s="237"/>
      <c r="AG1228" s="237"/>
      <c r="AH1228" s="237"/>
    </row>
    <row r="1229" spans="1:34" ht="15.75" x14ac:dyDescent="0.25">
      <c r="A1229" s="237"/>
      <c r="B1229" s="237"/>
      <c r="C1229" s="237"/>
      <c r="D1229" s="237"/>
      <c r="E1229" s="237"/>
      <c r="F1229" s="237"/>
      <c r="G1229" s="237"/>
      <c r="H1229" s="237"/>
      <c r="I1229" s="237"/>
      <c r="J1229" s="237"/>
      <c r="K1229" s="237"/>
      <c r="L1229" s="237"/>
      <c r="M1229" s="237"/>
      <c r="N1229" s="237"/>
      <c r="O1229" s="237"/>
      <c r="P1229" s="237"/>
      <c r="R1229" s="237"/>
      <c r="S1229" s="237"/>
      <c r="W1229" s="237"/>
      <c r="X1229" s="502"/>
      <c r="Y1229" s="507"/>
      <c r="Z1229" s="533"/>
      <c r="AA1229" s="533"/>
      <c r="AB1229" s="434"/>
      <c r="AC1229" s="533"/>
      <c r="AD1229" s="237"/>
      <c r="AE1229" s="237"/>
      <c r="AF1229" s="237"/>
      <c r="AG1229" s="237"/>
      <c r="AH1229" s="237"/>
    </row>
    <row r="1230" spans="1:34" ht="15.75" x14ac:dyDescent="0.25">
      <c r="A1230" s="237"/>
      <c r="B1230" s="237"/>
      <c r="C1230" s="237"/>
      <c r="D1230" s="237"/>
      <c r="E1230" s="237"/>
      <c r="F1230" s="237"/>
      <c r="G1230" s="237"/>
      <c r="H1230" s="237"/>
      <c r="I1230" s="237"/>
      <c r="J1230" s="237"/>
      <c r="K1230" s="237"/>
      <c r="L1230" s="237"/>
      <c r="M1230" s="237"/>
      <c r="N1230" s="237"/>
      <c r="O1230" s="237"/>
      <c r="P1230" s="237"/>
      <c r="R1230" s="237"/>
      <c r="S1230" s="237"/>
      <c r="W1230" s="237"/>
      <c r="X1230" s="502"/>
      <c r="Y1230" s="507"/>
      <c r="Z1230" s="533"/>
      <c r="AA1230" s="533"/>
      <c r="AB1230" s="434"/>
      <c r="AC1230" s="533"/>
      <c r="AD1230" s="237"/>
      <c r="AE1230" s="237"/>
      <c r="AF1230" s="237"/>
      <c r="AG1230" s="237"/>
      <c r="AH1230" s="237"/>
    </row>
    <row r="1231" spans="1:34" ht="15.75" x14ac:dyDescent="0.25">
      <c r="A1231" s="237"/>
      <c r="B1231" s="237"/>
      <c r="C1231" s="237"/>
      <c r="D1231" s="237"/>
      <c r="E1231" s="237"/>
      <c r="F1231" s="237"/>
      <c r="G1231" s="237"/>
      <c r="H1231" s="237"/>
      <c r="I1231" s="237"/>
      <c r="J1231" s="237"/>
      <c r="K1231" s="237"/>
      <c r="L1231" s="237"/>
      <c r="M1231" s="237"/>
      <c r="N1231" s="237"/>
      <c r="O1231" s="237"/>
      <c r="P1231" s="237"/>
      <c r="R1231" s="237"/>
      <c r="S1231" s="237"/>
      <c r="W1231" s="237"/>
      <c r="X1231" s="502"/>
      <c r="Y1231" s="507"/>
      <c r="Z1231" s="533"/>
      <c r="AA1231" s="533"/>
      <c r="AB1231" s="434"/>
      <c r="AC1231" s="533"/>
      <c r="AD1231" s="237"/>
      <c r="AE1231" s="237"/>
      <c r="AF1231" s="237"/>
      <c r="AG1231" s="237"/>
      <c r="AH1231" s="237"/>
    </row>
    <row r="1232" spans="1:34" ht="15.75" x14ac:dyDescent="0.25">
      <c r="A1232" s="237"/>
      <c r="B1232" s="237"/>
      <c r="C1232" s="237"/>
      <c r="D1232" s="237"/>
      <c r="E1232" s="237"/>
      <c r="F1232" s="237"/>
      <c r="G1232" s="237"/>
      <c r="H1232" s="237"/>
      <c r="I1232" s="237"/>
      <c r="J1232" s="237"/>
      <c r="K1232" s="237"/>
      <c r="L1232" s="237"/>
      <c r="M1232" s="237"/>
      <c r="N1232" s="237"/>
      <c r="O1232" s="237"/>
      <c r="P1232" s="237"/>
      <c r="R1232" s="237"/>
      <c r="S1232" s="237"/>
      <c r="W1232" s="237"/>
      <c r="X1232" s="502"/>
      <c r="Y1232" s="507"/>
      <c r="Z1232" s="533"/>
      <c r="AA1232" s="533"/>
      <c r="AB1232" s="434"/>
      <c r="AC1232" s="533"/>
      <c r="AD1232" s="237"/>
      <c r="AE1232" s="237"/>
      <c r="AF1232" s="237"/>
      <c r="AG1232" s="237"/>
      <c r="AH1232" s="237"/>
    </row>
    <row r="1233" spans="1:34" x14ac:dyDescent="0.25">
      <c r="A1233" s="237"/>
      <c r="B1233" s="237"/>
      <c r="C1233" s="237"/>
      <c r="D1233" s="237"/>
      <c r="E1233" s="237"/>
      <c r="F1233" s="237"/>
      <c r="G1233" s="237"/>
      <c r="H1233" s="237"/>
      <c r="I1233" s="237"/>
      <c r="J1233" s="237"/>
      <c r="K1233" s="237"/>
      <c r="L1233" s="237"/>
      <c r="M1233" s="237"/>
      <c r="N1233" s="237"/>
      <c r="O1233" s="237"/>
      <c r="P1233" s="237"/>
      <c r="R1233" s="237"/>
      <c r="S1233" s="237"/>
      <c r="W1233" s="237"/>
      <c r="X1233" s="502"/>
      <c r="Y1233" s="507"/>
      <c r="Z1233" s="533"/>
      <c r="AA1233" s="533"/>
      <c r="AB1233" s="434"/>
      <c r="AC1233" s="533"/>
      <c r="AD1233" s="449"/>
      <c r="AE1233" s="449"/>
      <c r="AF1233" s="449"/>
      <c r="AG1233" s="449"/>
      <c r="AH1233" s="449"/>
    </row>
    <row r="1234" spans="1:34" x14ac:dyDescent="0.25">
      <c r="A1234" s="237"/>
      <c r="B1234" s="237"/>
      <c r="C1234" s="237"/>
      <c r="D1234" s="237"/>
      <c r="E1234" s="237"/>
      <c r="F1234" s="237"/>
      <c r="G1234" s="237"/>
      <c r="H1234" s="237"/>
      <c r="I1234" s="237"/>
      <c r="J1234" s="237"/>
      <c r="K1234" s="237"/>
      <c r="L1234" s="237"/>
      <c r="M1234" s="237"/>
      <c r="N1234" s="237"/>
      <c r="O1234" s="237"/>
      <c r="P1234" s="237"/>
      <c r="R1234" s="237"/>
      <c r="S1234" s="237"/>
      <c r="W1234" s="237"/>
      <c r="X1234" s="502"/>
      <c r="Y1234" s="507"/>
      <c r="Z1234" s="533"/>
      <c r="AA1234" s="533"/>
      <c r="AB1234" s="434"/>
      <c r="AC1234" s="533"/>
      <c r="AD1234" s="449"/>
      <c r="AE1234" s="449"/>
      <c r="AF1234" s="449"/>
      <c r="AG1234" s="449"/>
      <c r="AH1234" s="449"/>
    </row>
    <row r="1235" spans="1:34" x14ac:dyDescent="0.25">
      <c r="A1235" s="237"/>
      <c r="B1235" s="237"/>
      <c r="C1235" s="237"/>
      <c r="D1235" s="237"/>
      <c r="E1235" s="237"/>
      <c r="F1235" s="237"/>
      <c r="G1235" s="237"/>
      <c r="H1235" s="237"/>
      <c r="I1235" s="237"/>
      <c r="J1235" s="237"/>
      <c r="K1235" s="237"/>
      <c r="L1235" s="237"/>
      <c r="M1235" s="237"/>
      <c r="N1235" s="237"/>
      <c r="O1235" s="237"/>
      <c r="P1235" s="237"/>
      <c r="R1235" s="237"/>
      <c r="S1235" s="237"/>
      <c r="W1235" s="237"/>
      <c r="X1235" s="502"/>
      <c r="Y1235" s="507"/>
      <c r="Z1235" s="533"/>
      <c r="AA1235" s="533"/>
      <c r="AB1235" s="434"/>
      <c r="AC1235" s="533"/>
      <c r="AD1235" s="449"/>
      <c r="AE1235" s="449"/>
      <c r="AF1235" s="449"/>
      <c r="AG1235" s="449"/>
      <c r="AH1235" s="449"/>
    </row>
    <row r="1236" spans="1:34" x14ac:dyDescent="0.25">
      <c r="A1236" s="237"/>
      <c r="B1236" s="237"/>
      <c r="C1236" s="237"/>
      <c r="D1236" s="237"/>
      <c r="E1236" s="237"/>
      <c r="F1236" s="237"/>
      <c r="G1236" s="237"/>
      <c r="H1236" s="237"/>
      <c r="I1236" s="237"/>
      <c r="J1236" s="237"/>
      <c r="K1236" s="237"/>
      <c r="L1236" s="237"/>
      <c r="M1236" s="237"/>
      <c r="N1236" s="237"/>
      <c r="O1236" s="237"/>
      <c r="P1236" s="237"/>
      <c r="R1236" s="237"/>
      <c r="S1236" s="237"/>
      <c r="W1236" s="237"/>
      <c r="X1236" s="502"/>
      <c r="Y1236" s="507"/>
      <c r="Z1236" s="533"/>
      <c r="AA1236" s="533"/>
      <c r="AB1236" s="434"/>
      <c r="AC1236" s="533"/>
      <c r="AD1236" s="449"/>
      <c r="AE1236" s="449"/>
      <c r="AF1236" s="449"/>
      <c r="AG1236" s="449"/>
      <c r="AH1236" s="449"/>
    </row>
    <row r="1237" spans="1:34" x14ac:dyDescent="0.25">
      <c r="A1237" s="237"/>
      <c r="B1237" s="237"/>
      <c r="C1237" s="237"/>
      <c r="D1237" s="237"/>
      <c r="E1237" s="237"/>
      <c r="F1237" s="237"/>
      <c r="G1237" s="237"/>
      <c r="H1237" s="237"/>
      <c r="I1237" s="237"/>
      <c r="J1237" s="237"/>
      <c r="K1237" s="237"/>
      <c r="L1237" s="237"/>
      <c r="M1237" s="237"/>
      <c r="N1237" s="237"/>
      <c r="O1237" s="237"/>
      <c r="P1237" s="237"/>
      <c r="R1237" s="237"/>
      <c r="S1237" s="237"/>
      <c r="W1237" s="237"/>
      <c r="X1237" s="502"/>
      <c r="Y1237" s="507"/>
      <c r="Z1237" s="533"/>
      <c r="AA1237" s="533"/>
      <c r="AB1237" s="434"/>
      <c r="AC1237" s="533"/>
      <c r="AD1237" s="449"/>
      <c r="AE1237" s="449"/>
      <c r="AF1237" s="449"/>
      <c r="AG1237" s="449"/>
      <c r="AH1237" s="449"/>
    </row>
    <row r="1238" spans="1:34" x14ac:dyDescent="0.25">
      <c r="A1238" s="237"/>
      <c r="B1238" s="237"/>
      <c r="C1238" s="237"/>
      <c r="D1238" s="237"/>
      <c r="E1238" s="237"/>
      <c r="F1238" s="237"/>
      <c r="G1238" s="237"/>
      <c r="H1238" s="237"/>
      <c r="I1238" s="237"/>
      <c r="J1238" s="237"/>
      <c r="K1238" s="237"/>
      <c r="L1238" s="237"/>
      <c r="M1238" s="237"/>
      <c r="N1238" s="237"/>
      <c r="O1238" s="237"/>
      <c r="P1238" s="237"/>
      <c r="R1238" s="237"/>
      <c r="S1238" s="237"/>
      <c r="W1238" s="237"/>
      <c r="X1238" s="502"/>
      <c r="Y1238" s="507"/>
      <c r="Z1238" s="533"/>
      <c r="AA1238" s="533"/>
      <c r="AB1238" s="434"/>
      <c r="AC1238" s="533"/>
      <c r="AD1238" s="449"/>
      <c r="AE1238" s="449"/>
      <c r="AF1238" s="449"/>
      <c r="AG1238" s="449"/>
      <c r="AH1238" s="449"/>
    </row>
    <row r="1239" spans="1:34" x14ac:dyDescent="0.25">
      <c r="A1239" s="237"/>
      <c r="B1239" s="237"/>
      <c r="C1239" s="237"/>
      <c r="D1239" s="237"/>
      <c r="E1239" s="237"/>
      <c r="F1239" s="237"/>
      <c r="G1239" s="237"/>
      <c r="H1239" s="237"/>
      <c r="I1239" s="237"/>
      <c r="J1239" s="237"/>
      <c r="K1239" s="237"/>
      <c r="L1239" s="237"/>
      <c r="M1239" s="237"/>
      <c r="N1239" s="237"/>
      <c r="O1239" s="237"/>
      <c r="P1239" s="237"/>
      <c r="R1239" s="237"/>
      <c r="S1239" s="237"/>
      <c r="W1239" s="237"/>
      <c r="X1239" s="502"/>
      <c r="Y1239" s="507"/>
      <c r="Z1239" s="533"/>
      <c r="AA1239" s="533"/>
      <c r="AB1239" s="434"/>
      <c r="AC1239" s="533"/>
      <c r="AD1239" s="449"/>
      <c r="AE1239" s="449"/>
      <c r="AF1239" s="449"/>
      <c r="AG1239" s="449"/>
      <c r="AH1239" s="449"/>
    </row>
    <row r="1240" spans="1:34" x14ac:dyDescent="0.25">
      <c r="A1240" s="237"/>
      <c r="B1240" s="237"/>
      <c r="C1240" s="237"/>
      <c r="D1240" s="237"/>
      <c r="E1240" s="237"/>
      <c r="F1240" s="237"/>
      <c r="G1240" s="237"/>
      <c r="H1240" s="237"/>
      <c r="I1240" s="237"/>
      <c r="J1240" s="237"/>
      <c r="K1240" s="237"/>
      <c r="L1240" s="237"/>
      <c r="M1240" s="237"/>
      <c r="N1240" s="237"/>
      <c r="O1240" s="237"/>
      <c r="P1240" s="237"/>
      <c r="R1240" s="237"/>
      <c r="S1240" s="237"/>
      <c r="W1240" s="237"/>
      <c r="X1240" s="502"/>
      <c r="Y1240" s="507"/>
      <c r="Z1240" s="533"/>
      <c r="AA1240" s="533"/>
      <c r="AB1240" s="434"/>
      <c r="AC1240" s="533"/>
      <c r="AD1240" s="449"/>
      <c r="AE1240" s="449"/>
      <c r="AF1240" s="449"/>
      <c r="AG1240" s="449"/>
      <c r="AH1240" s="449"/>
    </row>
    <row r="1241" spans="1:34" x14ac:dyDescent="0.25">
      <c r="A1241" s="237"/>
      <c r="B1241" s="237"/>
      <c r="C1241" s="237"/>
      <c r="D1241" s="237"/>
      <c r="E1241" s="237"/>
      <c r="F1241" s="237"/>
      <c r="G1241" s="237"/>
      <c r="H1241" s="237"/>
      <c r="I1241" s="237"/>
      <c r="J1241" s="237"/>
      <c r="K1241" s="237"/>
      <c r="L1241" s="237"/>
      <c r="M1241" s="237"/>
      <c r="N1241" s="237"/>
      <c r="O1241" s="237"/>
      <c r="P1241" s="237"/>
      <c r="R1241" s="237"/>
      <c r="S1241" s="237"/>
      <c r="W1241" s="237"/>
      <c r="X1241" s="502"/>
      <c r="Y1241" s="507"/>
      <c r="Z1241" s="533"/>
      <c r="AA1241" s="533"/>
      <c r="AB1241" s="434"/>
      <c r="AC1241" s="533"/>
      <c r="AD1241" s="449"/>
      <c r="AE1241" s="449"/>
      <c r="AF1241" s="449"/>
      <c r="AG1241" s="449"/>
      <c r="AH1241" s="449"/>
    </row>
    <row r="1242" spans="1:34" x14ac:dyDescent="0.25">
      <c r="A1242" s="237"/>
      <c r="B1242" s="237"/>
      <c r="C1242" s="237"/>
      <c r="D1242" s="237"/>
      <c r="E1242" s="237"/>
      <c r="F1242" s="237"/>
      <c r="G1242" s="237"/>
      <c r="H1242" s="237"/>
      <c r="I1242" s="237"/>
      <c r="J1242" s="237"/>
      <c r="K1242" s="237"/>
      <c r="L1242" s="237"/>
      <c r="M1242" s="237"/>
      <c r="N1242" s="237"/>
      <c r="O1242" s="237"/>
      <c r="P1242" s="237"/>
      <c r="R1242" s="237"/>
      <c r="S1242" s="237"/>
      <c r="W1242" s="237"/>
      <c r="X1242" s="502"/>
      <c r="Y1242" s="507"/>
      <c r="Z1242" s="533"/>
      <c r="AA1242" s="533"/>
      <c r="AB1242" s="434"/>
      <c r="AC1242" s="533"/>
      <c r="AD1242" s="449"/>
      <c r="AE1242" s="449"/>
      <c r="AF1242" s="449"/>
      <c r="AG1242" s="449"/>
      <c r="AH1242" s="449"/>
    </row>
    <row r="1243" spans="1:34" x14ac:dyDescent="0.25">
      <c r="A1243" s="237"/>
      <c r="B1243" s="237"/>
      <c r="C1243" s="237"/>
      <c r="D1243" s="237"/>
      <c r="E1243" s="237"/>
      <c r="F1243" s="237"/>
      <c r="G1243" s="237"/>
      <c r="H1243" s="237"/>
      <c r="I1243" s="237"/>
      <c r="J1243" s="237"/>
      <c r="K1243" s="237"/>
      <c r="L1243" s="237"/>
      <c r="M1243" s="237"/>
      <c r="N1243" s="237"/>
      <c r="O1243" s="237"/>
      <c r="P1243" s="237"/>
      <c r="R1243" s="237"/>
      <c r="S1243" s="237"/>
      <c r="W1243" s="237"/>
      <c r="X1243" s="502"/>
      <c r="Y1243" s="507"/>
      <c r="Z1243" s="533"/>
      <c r="AA1243" s="533"/>
      <c r="AB1243" s="434"/>
      <c r="AC1243" s="533"/>
      <c r="AD1243" s="449"/>
      <c r="AE1243" s="449"/>
      <c r="AF1243" s="449"/>
      <c r="AG1243" s="449"/>
      <c r="AH1243" s="449"/>
    </row>
    <row r="1244" spans="1:34" x14ac:dyDescent="0.25">
      <c r="A1244" s="237"/>
      <c r="B1244" s="237"/>
      <c r="C1244" s="237"/>
      <c r="D1244" s="237"/>
      <c r="E1244" s="237"/>
      <c r="F1244" s="237"/>
      <c r="G1244" s="237"/>
      <c r="H1244" s="237"/>
      <c r="I1244" s="237"/>
      <c r="J1244" s="237"/>
      <c r="K1244" s="237"/>
      <c r="L1244" s="237"/>
      <c r="M1244" s="237"/>
      <c r="N1244" s="237"/>
      <c r="O1244" s="237"/>
      <c r="P1244" s="237"/>
      <c r="R1244" s="237"/>
      <c r="S1244" s="237"/>
      <c r="W1244" s="237"/>
      <c r="X1244" s="502"/>
      <c r="Y1244" s="507"/>
      <c r="Z1244" s="533"/>
      <c r="AA1244" s="533"/>
      <c r="AB1244" s="434"/>
      <c r="AC1244" s="533"/>
      <c r="AD1244" s="449"/>
      <c r="AE1244" s="449"/>
      <c r="AF1244" s="449"/>
      <c r="AG1244" s="449"/>
      <c r="AH1244" s="449"/>
    </row>
    <row r="1245" spans="1:34" x14ac:dyDescent="0.25">
      <c r="A1245" s="237"/>
      <c r="B1245" s="237"/>
      <c r="C1245" s="237"/>
      <c r="D1245" s="237"/>
      <c r="E1245" s="237"/>
      <c r="F1245" s="237"/>
      <c r="G1245" s="237"/>
      <c r="H1245" s="237"/>
      <c r="I1245" s="237"/>
      <c r="J1245" s="237"/>
      <c r="K1245" s="237"/>
      <c r="L1245" s="237"/>
      <c r="M1245" s="237"/>
      <c r="N1245" s="237"/>
      <c r="O1245" s="237"/>
      <c r="P1245" s="237"/>
      <c r="R1245" s="237"/>
      <c r="S1245" s="237"/>
      <c r="W1245" s="237"/>
      <c r="X1245" s="502"/>
      <c r="Y1245" s="507"/>
      <c r="Z1245" s="533"/>
      <c r="AA1245" s="533"/>
      <c r="AB1245" s="434"/>
      <c r="AC1245" s="533"/>
      <c r="AD1245" s="449"/>
      <c r="AE1245" s="449"/>
      <c r="AF1245" s="449"/>
      <c r="AG1245" s="449"/>
      <c r="AH1245" s="449"/>
    </row>
    <row r="1246" spans="1:34" x14ac:dyDescent="0.25">
      <c r="A1246" s="237"/>
      <c r="B1246" s="237"/>
      <c r="C1246" s="237"/>
      <c r="D1246" s="237"/>
      <c r="E1246" s="237"/>
      <c r="F1246" s="237"/>
      <c r="G1246" s="237"/>
      <c r="H1246" s="237"/>
      <c r="I1246" s="237"/>
      <c r="J1246" s="237"/>
      <c r="K1246" s="237"/>
      <c r="L1246" s="237"/>
      <c r="M1246" s="237"/>
      <c r="N1246" s="237"/>
      <c r="O1246" s="237"/>
      <c r="P1246" s="237"/>
      <c r="R1246" s="237"/>
      <c r="S1246" s="237"/>
      <c r="W1246" s="237"/>
      <c r="X1246" s="502"/>
      <c r="Y1246" s="507"/>
      <c r="Z1246" s="533"/>
      <c r="AA1246" s="533"/>
      <c r="AB1246" s="434"/>
      <c r="AC1246" s="533"/>
      <c r="AD1246" s="449"/>
      <c r="AE1246" s="449"/>
      <c r="AF1246" s="449"/>
      <c r="AG1246" s="449"/>
      <c r="AH1246" s="449"/>
    </row>
    <row r="1247" spans="1:34" x14ac:dyDescent="0.25">
      <c r="A1247" s="237"/>
      <c r="B1247" s="237"/>
      <c r="C1247" s="237"/>
      <c r="D1247" s="237"/>
      <c r="E1247" s="237"/>
      <c r="F1247" s="237"/>
      <c r="G1247" s="237"/>
      <c r="H1247" s="237"/>
      <c r="I1247" s="237"/>
      <c r="J1247" s="237"/>
      <c r="K1247" s="237"/>
      <c r="L1247" s="237"/>
      <c r="M1247" s="237"/>
      <c r="N1247" s="237"/>
      <c r="O1247" s="237"/>
      <c r="P1247" s="237"/>
      <c r="R1247" s="237"/>
      <c r="S1247" s="237"/>
      <c r="W1247" s="237"/>
      <c r="X1247" s="502"/>
      <c r="Y1247" s="507"/>
      <c r="Z1247" s="533"/>
      <c r="AA1247" s="533"/>
      <c r="AB1247" s="434"/>
      <c r="AC1247" s="533"/>
      <c r="AD1247" s="449"/>
      <c r="AE1247" s="449"/>
      <c r="AF1247" s="449"/>
      <c r="AG1247" s="449"/>
      <c r="AH1247" s="449"/>
    </row>
    <row r="1248" spans="1:34" x14ac:dyDescent="0.25">
      <c r="A1248" s="237"/>
      <c r="B1248" s="237"/>
      <c r="C1248" s="237"/>
      <c r="D1248" s="237"/>
      <c r="E1248" s="237"/>
      <c r="F1248" s="237"/>
      <c r="G1248" s="237"/>
      <c r="H1248" s="237"/>
      <c r="I1248" s="237"/>
      <c r="J1248" s="237"/>
      <c r="K1248" s="237"/>
      <c r="L1248" s="237"/>
      <c r="M1248" s="237"/>
      <c r="N1248" s="237"/>
      <c r="O1248" s="237"/>
      <c r="P1248" s="237"/>
      <c r="R1248" s="237"/>
      <c r="S1248" s="237"/>
      <c r="W1248" s="237"/>
      <c r="X1248" s="502"/>
      <c r="Y1248" s="507"/>
      <c r="Z1248" s="533"/>
      <c r="AA1248" s="533"/>
      <c r="AB1248" s="434"/>
      <c r="AC1248" s="533"/>
      <c r="AD1248" s="449"/>
      <c r="AE1248" s="449"/>
      <c r="AF1248" s="449"/>
      <c r="AG1248" s="449"/>
      <c r="AH1248" s="449"/>
    </row>
    <row r="1249" spans="1:34" x14ac:dyDescent="0.25">
      <c r="A1249" s="237"/>
      <c r="B1249" s="237"/>
      <c r="C1249" s="237"/>
      <c r="D1249" s="237"/>
      <c r="E1249" s="237"/>
      <c r="F1249" s="237"/>
      <c r="G1249" s="237"/>
      <c r="H1249" s="237"/>
      <c r="I1249" s="237"/>
      <c r="J1249" s="237"/>
      <c r="K1249" s="237"/>
      <c r="L1249" s="237"/>
      <c r="M1249" s="237"/>
      <c r="N1249" s="237"/>
      <c r="O1249" s="237"/>
      <c r="P1249" s="237"/>
      <c r="R1249" s="237"/>
      <c r="S1249" s="237"/>
      <c r="W1249" s="237"/>
      <c r="X1249" s="502"/>
      <c r="Y1249" s="507"/>
      <c r="Z1249" s="533"/>
      <c r="AA1249" s="533"/>
      <c r="AB1249" s="434"/>
      <c r="AC1249" s="533"/>
      <c r="AD1249" s="449"/>
      <c r="AE1249" s="449"/>
      <c r="AF1249" s="449"/>
      <c r="AG1249" s="449"/>
      <c r="AH1249" s="449"/>
    </row>
    <row r="1250" spans="1:34" x14ac:dyDescent="0.25">
      <c r="A1250" s="237"/>
      <c r="B1250" s="237"/>
      <c r="C1250" s="237"/>
      <c r="D1250" s="237"/>
      <c r="E1250" s="237"/>
      <c r="F1250" s="237"/>
      <c r="G1250" s="237"/>
      <c r="H1250" s="237"/>
      <c r="I1250" s="237"/>
      <c r="J1250" s="237"/>
      <c r="K1250" s="237"/>
      <c r="L1250" s="237"/>
      <c r="M1250" s="237"/>
      <c r="N1250" s="237"/>
      <c r="O1250" s="237"/>
      <c r="P1250" s="237"/>
      <c r="R1250" s="237"/>
      <c r="S1250" s="237"/>
      <c r="W1250" s="237"/>
      <c r="X1250" s="502"/>
      <c r="Y1250" s="507"/>
      <c r="Z1250" s="533"/>
      <c r="AA1250" s="533"/>
      <c r="AB1250" s="434"/>
      <c r="AC1250" s="533"/>
      <c r="AD1250" s="449"/>
      <c r="AE1250" s="449"/>
      <c r="AF1250" s="449"/>
      <c r="AG1250" s="449"/>
      <c r="AH1250" s="449"/>
    </row>
    <row r="1251" spans="1:34" x14ac:dyDescent="0.25">
      <c r="A1251" s="237"/>
      <c r="B1251" s="237"/>
      <c r="C1251" s="237"/>
      <c r="D1251" s="237"/>
      <c r="E1251" s="237"/>
      <c r="F1251" s="237"/>
      <c r="G1251" s="237"/>
      <c r="H1251" s="237"/>
      <c r="I1251" s="237"/>
      <c r="J1251" s="237"/>
      <c r="K1251" s="237"/>
      <c r="L1251" s="237"/>
      <c r="M1251" s="237"/>
      <c r="N1251" s="237"/>
      <c r="O1251" s="237"/>
      <c r="P1251" s="237"/>
      <c r="R1251" s="237"/>
      <c r="S1251" s="237"/>
      <c r="W1251" s="237"/>
      <c r="X1251" s="502"/>
      <c r="Y1251" s="507"/>
      <c r="Z1251" s="533"/>
      <c r="AA1251" s="533"/>
      <c r="AB1251" s="434"/>
      <c r="AC1251" s="533"/>
      <c r="AD1251" s="449"/>
      <c r="AE1251" s="449"/>
      <c r="AF1251" s="449"/>
      <c r="AG1251" s="449"/>
      <c r="AH1251" s="449"/>
    </row>
    <row r="1252" spans="1:34" x14ac:dyDescent="0.25">
      <c r="A1252" s="237"/>
      <c r="B1252" s="237"/>
      <c r="C1252" s="237"/>
      <c r="D1252" s="237"/>
      <c r="E1252" s="237"/>
      <c r="F1252" s="237"/>
      <c r="G1252" s="237"/>
      <c r="H1252" s="237"/>
      <c r="I1252" s="237"/>
      <c r="J1252" s="237"/>
      <c r="K1252" s="237"/>
      <c r="L1252" s="237"/>
      <c r="M1252" s="237"/>
      <c r="N1252" s="237"/>
      <c r="O1252" s="237"/>
      <c r="P1252" s="237"/>
      <c r="R1252" s="237"/>
      <c r="S1252" s="237"/>
      <c r="W1252" s="237"/>
      <c r="X1252" s="502"/>
      <c r="Y1252" s="507"/>
      <c r="Z1252" s="533"/>
      <c r="AA1252" s="533"/>
      <c r="AB1252" s="434"/>
      <c r="AC1252" s="533"/>
      <c r="AD1252" s="449"/>
      <c r="AE1252" s="449"/>
      <c r="AF1252" s="449"/>
      <c r="AG1252" s="449"/>
      <c r="AH1252" s="449"/>
    </row>
    <row r="1253" spans="1:34" x14ac:dyDescent="0.25">
      <c r="A1253" s="237"/>
      <c r="B1253" s="237"/>
      <c r="C1253" s="237"/>
      <c r="D1253" s="237"/>
      <c r="E1253" s="237"/>
      <c r="F1253" s="237"/>
      <c r="G1253" s="237"/>
      <c r="H1253" s="237"/>
      <c r="I1253" s="237"/>
      <c r="J1253" s="237"/>
      <c r="K1253" s="237"/>
      <c r="L1253" s="237"/>
      <c r="M1253" s="237"/>
      <c r="N1253" s="237"/>
      <c r="O1253" s="237"/>
      <c r="P1253" s="237"/>
      <c r="R1253" s="237"/>
      <c r="S1253" s="237"/>
      <c r="W1253" s="237"/>
      <c r="X1253" s="502"/>
      <c r="Y1253" s="507"/>
      <c r="Z1253" s="533"/>
      <c r="AA1253" s="533"/>
      <c r="AB1253" s="434"/>
      <c r="AC1253" s="533"/>
      <c r="AD1253" s="449"/>
      <c r="AE1253" s="449"/>
      <c r="AF1253" s="449"/>
      <c r="AG1253" s="449"/>
      <c r="AH1253" s="449"/>
    </row>
    <row r="1254" spans="1:34" x14ac:dyDescent="0.25">
      <c r="A1254" s="237"/>
      <c r="B1254" s="237"/>
      <c r="C1254" s="237"/>
      <c r="D1254" s="237"/>
      <c r="E1254" s="237"/>
      <c r="F1254" s="237"/>
      <c r="G1254" s="237"/>
      <c r="H1254" s="237"/>
      <c r="I1254" s="237"/>
      <c r="J1254" s="237"/>
      <c r="K1254" s="237"/>
      <c r="L1254" s="237"/>
      <c r="M1254" s="237"/>
      <c r="N1254" s="237"/>
      <c r="O1254" s="237"/>
      <c r="P1254" s="237"/>
      <c r="R1254" s="237"/>
      <c r="S1254" s="237"/>
      <c r="W1254" s="237"/>
      <c r="X1254" s="502"/>
      <c r="Y1254" s="507"/>
      <c r="Z1254" s="533"/>
      <c r="AA1254" s="533"/>
      <c r="AB1254" s="434"/>
      <c r="AC1254" s="533"/>
      <c r="AD1254" s="449"/>
      <c r="AE1254" s="449"/>
      <c r="AF1254" s="449"/>
      <c r="AG1254" s="449"/>
      <c r="AH1254" s="449"/>
    </row>
    <row r="1255" spans="1:34" x14ac:dyDescent="0.25">
      <c r="A1255" s="237"/>
      <c r="B1255" s="237"/>
      <c r="C1255" s="237"/>
      <c r="D1255" s="237"/>
      <c r="E1255" s="237"/>
      <c r="F1255" s="237"/>
      <c r="G1255" s="237"/>
      <c r="H1255" s="237"/>
      <c r="I1255" s="237"/>
      <c r="J1255" s="237"/>
      <c r="K1255" s="237"/>
      <c r="L1255" s="237"/>
      <c r="M1255" s="237"/>
      <c r="N1255" s="237"/>
      <c r="O1255" s="237"/>
      <c r="P1255" s="237"/>
      <c r="R1255" s="237"/>
      <c r="S1255" s="237"/>
      <c r="W1255" s="237"/>
      <c r="X1255" s="502"/>
      <c r="Y1255" s="507"/>
      <c r="Z1255" s="533"/>
      <c r="AA1255" s="533"/>
      <c r="AB1255" s="434"/>
      <c r="AC1255" s="533"/>
      <c r="AD1255" s="449"/>
      <c r="AE1255" s="449"/>
      <c r="AF1255" s="449"/>
      <c r="AG1255" s="449"/>
      <c r="AH1255" s="449"/>
    </row>
    <row r="1256" spans="1:34" x14ac:dyDescent="0.25">
      <c r="A1256" s="237"/>
      <c r="B1256" s="237"/>
      <c r="C1256" s="237"/>
      <c r="D1256" s="237"/>
      <c r="E1256" s="237"/>
      <c r="F1256" s="237"/>
      <c r="G1256" s="237"/>
      <c r="H1256" s="237"/>
      <c r="I1256" s="237"/>
      <c r="J1256" s="237"/>
      <c r="K1256" s="237"/>
      <c r="L1256" s="237"/>
      <c r="M1256" s="237"/>
      <c r="N1256" s="237"/>
      <c r="O1256" s="237"/>
      <c r="P1256" s="237"/>
      <c r="R1256" s="237"/>
      <c r="S1256" s="237"/>
      <c r="W1256" s="237"/>
      <c r="X1256" s="502"/>
      <c r="Y1256" s="507"/>
      <c r="Z1256" s="533"/>
      <c r="AA1256" s="533"/>
      <c r="AB1256" s="434"/>
      <c r="AC1256" s="533"/>
      <c r="AD1256" s="449"/>
      <c r="AE1256" s="449"/>
      <c r="AF1256" s="449"/>
      <c r="AG1256" s="449"/>
      <c r="AH1256" s="449"/>
    </row>
    <row r="1257" spans="1:34" x14ac:dyDescent="0.25">
      <c r="A1257" s="237"/>
      <c r="B1257" s="237"/>
      <c r="C1257" s="237"/>
      <c r="D1257" s="237"/>
      <c r="E1257" s="237"/>
      <c r="F1257" s="237"/>
      <c r="G1257" s="237"/>
      <c r="H1257" s="237"/>
      <c r="I1257" s="237"/>
      <c r="J1257" s="237"/>
      <c r="K1257" s="237"/>
      <c r="L1257" s="237"/>
      <c r="M1257" s="237"/>
      <c r="N1257" s="237"/>
      <c r="O1257" s="237"/>
      <c r="P1257" s="237"/>
      <c r="R1257" s="237"/>
      <c r="S1257" s="237"/>
      <c r="W1257" s="237"/>
      <c r="X1257" s="502"/>
      <c r="Y1257" s="507"/>
      <c r="Z1257" s="533"/>
      <c r="AA1257" s="533"/>
      <c r="AB1257" s="434"/>
      <c r="AC1257" s="533"/>
      <c r="AD1257" s="449"/>
      <c r="AE1257" s="449"/>
      <c r="AF1257" s="449"/>
      <c r="AG1257" s="449"/>
      <c r="AH1257" s="449"/>
    </row>
    <row r="1258" spans="1:34" x14ac:dyDescent="0.25">
      <c r="A1258" s="237"/>
      <c r="B1258" s="237"/>
      <c r="C1258" s="237"/>
      <c r="D1258" s="237"/>
      <c r="E1258" s="237"/>
      <c r="F1258" s="237"/>
      <c r="G1258" s="237"/>
      <c r="H1258" s="237"/>
      <c r="I1258" s="237"/>
      <c r="J1258" s="237"/>
      <c r="K1258" s="237"/>
      <c r="L1258" s="237"/>
      <c r="M1258" s="237"/>
      <c r="N1258" s="237"/>
      <c r="O1258" s="237"/>
      <c r="P1258" s="237"/>
      <c r="R1258" s="237"/>
      <c r="S1258" s="237"/>
      <c r="W1258" s="237"/>
      <c r="X1258" s="502"/>
      <c r="Y1258" s="507"/>
      <c r="Z1258" s="533"/>
      <c r="AA1258" s="533"/>
      <c r="AB1258" s="434"/>
      <c r="AC1258" s="533"/>
      <c r="AD1258" s="449"/>
      <c r="AE1258" s="449"/>
      <c r="AF1258" s="449"/>
      <c r="AG1258" s="449"/>
      <c r="AH1258" s="449"/>
    </row>
    <row r="1259" spans="1:34" x14ac:dyDescent="0.25">
      <c r="A1259" s="237"/>
      <c r="B1259" s="237"/>
      <c r="C1259" s="237"/>
      <c r="D1259" s="237"/>
      <c r="E1259" s="237"/>
      <c r="F1259" s="237"/>
      <c r="G1259" s="237"/>
      <c r="H1259" s="237"/>
      <c r="I1259" s="237"/>
      <c r="J1259" s="237"/>
      <c r="K1259" s="237"/>
      <c r="L1259" s="237"/>
      <c r="M1259" s="237"/>
      <c r="N1259" s="237"/>
      <c r="O1259" s="237"/>
      <c r="P1259" s="237"/>
      <c r="R1259" s="237"/>
      <c r="S1259" s="237"/>
      <c r="W1259" s="237"/>
      <c r="X1259" s="502"/>
      <c r="Y1259" s="507"/>
      <c r="Z1259" s="533"/>
      <c r="AA1259" s="533"/>
      <c r="AB1259" s="434"/>
      <c r="AC1259" s="533"/>
      <c r="AD1259" s="449"/>
      <c r="AE1259" s="449"/>
      <c r="AF1259" s="449"/>
      <c r="AG1259" s="449"/>
      <c r="AH1259" s="449"/>
    </row>
    <row r="1260" spans="1:34" x14ac:dyDescent="0.25">
      <c r="A1260" s="237"/>
      <c r="B1260" s="237"/>
      <c r="C1260" s="237"/>
      <c r="D1260" s="237"/>
      <c r="E1260" s="237"/>
      <c r="F1260" s="237"/>
      <c r="G1260" s="237"/>
      <c r="H1260" s="237"/>
      <c r="I1260" s="237"/>
      <c r="J1260" s="237"/>
      <c r="K1260" s="237"/>
      <c r="L1260" s="237"/>
      <c r="M1260" s="237"/>
      <c r="N1260" s="237"/>
      <c r="O1260" s="237"/>
      <c r="P1260" s="237"/>
      <c r="R1260" s="237"/>
      <c r="S1260" s="237"/>
      <c r="W1260" s="237"/>
      <c r="X1260" s="502"/>
      <c r="Y1260" s="507"/>
      <c r="Z1260" s="533"/>
      <c r="AA1260" s="533"/>
      <c r="AB1260" s="434"/>
      <c r="AC1260" s="533"/>
      <c r="AD1260" s="449"/>
      <c r="AE1260" s="449"/>
      <c r="AF1260" s="449"/>
      <c r="AG1260" s="449"/>
      <c r="AH1260" s="449"/>
    </row>
    <row r="1261" spans="1:34" x14ac:dyDescent="0.25">
      <c r="A1261" s="237"/>
      <c r="B1261" s="237"/>
      <c r="C1261" s="237"/>
      <c r="D1261" s="237"/>
      <c r="E1261" s="237"/>
      <c r="F1261" s="237"/>
      <c r="G1261" s="237"/>
      <c r="H1261" s="237"/>
      <c r="I1261" s="237"/>
      <c r="J1261" s="237"/>
      <c r="K1261" s="237"/>
      <c r="L1261" s="237"/>
      <c r="M1261" s="237"/>
      <c r="N1261" s="237"/>
      <c r="O1261" s="237"/>
      <c r="P1261" s="237"/>
      <c r="R1261" s="237"/>
      <c r="S1261" s="237"/>
      <c r="W1261" s="237"/>
      <c r="X1261" s="502"/>
      <c r="Y1261" s="507"/>
      <c r="Z1261" s="533"/>
      <c r="AA1261" s="533"/>
      <c r="AB1261" s="434"/>
      <c r="AC1261" s="533"/>
      <c r="AD1261" s="449"/>
      <c r="AE1261" s="449"/>
      <c r="AF1261" s="449"/>
      <c r="AG1261" s="449"/>
      <c r="AH1261" s="449"/>
    </row>
    <row r="1262" spans="1:34" x14ac:dyDescent="0.25">
      <c r="A1262" s="237"/>
      <c r="B1262" s="237"/>
      <c r="C1262" s="237"/>
      <c r="D1262" s="237"/>
      <c r="E1262" s="237"/>
      <c r="F1262" s="237"/>
      <c r="G1262" s="237"/>
      <c r="H1262" s="237"/>
      <c r="I1262" s="237"/>
      <c r="J1262" s="237"/>
      <c r="K1262" s="237"/>
      <c r="L1262" s="237"/>
      <c r="M1262" s="237"/>
      <c r="N1262" s="237"/>
      <c r="O1262" s="237"/>
      <c r="P1262" s="237"/>
      <c r="R1262" s="237"/>
      <c r="S1262" s="237"/>
      <c r="W1262" s="237"/>
      <c r="X1262" s="502"/>
      <c r="Y1262" s="507"/>
      <c r="Z1262" s="533"/>
      <c r="AA1262" s="533"/>
      <c r="AB1262" s="434"/>
      <c r="AC1262" s="533"/>
      <c r="AD1262" s="449"/>
      <c r="AE1262" s="449"/>
      <c r="AF1262" s="449"/>
      <c r="AG1262" s="449"/>
      <c r="AH1262" s="449"/>
    </row>
    <row r="1263" spans="1:34" x14ac:dyDescent="0.25">
      <c r="A1263" s="237"/>
      <c r="B1263" s="237"/>
      <c r="C1263" s="237"/>
      <c r="D1263" s="237"/>
      <c r="E1263" s="237"/>
      <c r="F1263" s="237"/>
      <c r="G1263" s="237"/>
      <c r="H1263" s="237"/>
      <c r="I1263" s="237"/>
      <c r="J1263" s="237"/>
      <c r="K1263" s="237"/>
      <c r="L1263" s="237"/>
      <c r="M1263" s="237"/>
      <c r="N1263" s="237"/>
      <c r="O1263" s="237"/>
      <c r="P1263" s="237"/>
      <c r="R1263" s="237"/>
      <c r="S1263" s="237"/>
      <c r="W1263" s="237"/>
      <c r="X1263" s="502"/>
      <c r="Y1263" s="507"/>
      <c r="Z1263" s="533"/>
      <c r="AA1263" s="533"/>
      <c r="AB1263" s="434"/>
      <c r="AC1263" s="533"/>
      <c r="AD1263" s="449"/>
      <c r="AE1263" s="449"/>
      <c r="AF1263" s="449"/>
      <c r="AG1263" s="449"/>
      <c r="AH1263" s="449"/>
    </row>
    <row r="1264" spans="1:34" x14ac:dyDescent="0.25">
      <c r="A1264" s="237"/>
      <c r="B1264" s="237"/>
      <c r="C1264" s="237"/>
      <c r="D1264" s="237"/>
      <c r="E1264" s="237"/>
      <c r="F1264" s="237"/>
      <c r="G1264" s="237"/>
      <c r="H1264" s="237"/>
      <c r="I1264" s="237"/>
      <c r="J1264" s="237"/>
      <c r="K1264" s="237"/>
      <c r="L1264" s="237"/>
      <c r="M1264" s="237"/>
      <c r="N1264" s="237"/>
      <c r="O1264" s="237"/>
      <c r="P1264" s="237"/>
      <c r="R1264" s="237"/>
      <c r="S1264" s="237"/>
      <c r="W1264" s="237"/>
      <c r="X1264" s="502"/>
      <c r="Y1264" s="507"/>
      <c r="Z1264" s="533"/>
      <c r="AA1264" s="533"/>
      <c r="AB1264" s="434"/>
      <c r="AC1264" s="533"/>
      <c r="AD1264" s="449"/>
      <c r="AE1264" s="449"/>
      <c r="AF1264" s="449"/>
      <c r="AG1264" s="449"/>
      <c r="AH1264" s="449"/>
    </row>
    <row r="1265" spans="1:34" x14ac:dyDescent="0.25">
      <c r="A1265" s="237"/>
      <c r="B1265" s="237"/>
      <c r="C1265" s="237"/>
      <c r="D1265" s="237"/>
      <c r="E1265" s="237"/>
      <c r="F1265" s="237"/>
      <c r="G1265" s="237"/>
      <c r="H1265" s="237"/>
      <c r="I1265" s="237"/>
      <c r="J1265" s="237"/>
      <c r="K1265" s="237"/>
      <c r="L1265" s="237"/>
      <c r="M1265" s="237"/>
      <c r="N1265" s="237"/>
      <c r="O1265" s="237"/>
      <c r="P1265" s="237"/>
      <c r="R1265" s="237"/>
      <c r="S1265" s="237"/>
      <c r="W1265" s="237"/>
      <c r="X1265" s="502"/>
      <c r="Y1265" s="507"/>
      <c r="Z1265" s="533"/>
      <c r="AA1265" s="533"/>
      <c r="AB1265" s="434"/>
      <c r="AC1265" s="533"/>
      <c r="AD1265" s="449"/>
      <c r="AE1265" s="449"/>
      <c r="AF1265" s="449"/>
      <c r="AG1265" s="449"/>
      <c r="AH1265" s="449"/>
    </row>
    <row r="1266" spans="1:34" x14ac:dyDescent="0.25">
      <c r="A1266" s="237"/>
      <c r="B1266" s="237"/>
      <c r="C1266" s="237"/>
      <c r="D1266" s="237"/>
      <c r="E1266" s="237"/>
      <c r="F1266" s="237"/>
      <c r="G1266" s="237"/>
      <c r="H1266" s="237"/>
      <c r="I1266" s="237"/>
      <c r="J1266" s="237"/>
      <c r="K1266" s="237"/>
      <c r="L1266" s="237"/>
      <c r="M1266" s="237"/>
      <c r="N1266" s="237"/>
      <c r="O1266" s="237"/>
      <c r="P1266" s="237"/>
      <c r="R1266" s="237"/>
      <c r="S1266" s="237"/>
      <c r="W1266" s="237"/>
      <c r="X1266" s="502"/>
      <c r="Y1266" s="507"/>
      <c r="Z1266" s="533"/>
      <c r="AA1266" s="533"/>
      <c r="AB1266" s="434"/>
      <c r="AC1266" s="533"/>
      <c r="AD1266" s="449"/>
      <c r="AE1266" s="449"/>
      <c r="AF1266" s="449"/>
      <c r="AG1266" s="449"/>
      <c r="AH1266" s="449"/>
    </row>
    <row r="1267" spans="1:34" x14ac:dyDescent="0.25">
      <c r="A1267" s="237"/>
      <c r="B1267" s="237"/>
      <c r="C1267" s="237"/>
      <c r="D1267" s="237"/>
      <c r="E1267" s="237"/>
      <c r="F1267" s="237"/>
      <c r="G1267" s="237"/>
      <c r="H1267" s="237"/>
      <c r="I1267" s="237"/>
      <c r="J1267" s="237"/>
      <c r="K1267" s="237"/>
      <c r="L1267" s="237"/>
      <c r="M1267" s="237"/>
      <c r="N1267" s="237"/>
      <c r="O1267" s="237"/>
      <c r="P1267" s="237"/>
      <c r="R1267" s="237"/>
      <c r="S1267" s="237"/>
      <c r="W1267" s="237"/>
      <c r="X1267" s="502"/>
      <c r="Y1267" s="507"/>
      <c r="Z1267" s="533"/>
      <c r="AA1267" s="533"/>
      <c r="AB1267" s="434"/>
      <c r="AC1267" s="533"/>
      <c r="AD1267" s="449"/>
      <c r="AE1267" s="449"/>
      <c r="AF1267" s="449"/>
      <c r="AG1267" s="449"/>
      <c r="AH1267" s="449"/>
    </row>
    <row r="1268" spans="1:34" x14ac:dyDescent="0.25">
      <c r="A1268" s="237"/>
      <c r="B1268" s="237"/>
      <c r="C1268" s="237"/>
      <c r="D1268" s="237"/>
      <c r="E1268" s="237"/>
      <c r="F1268" s="237"/>
      <c r="G1268" s="237"/>
      <c r="H1268" s="237"/>
      <c r="I1268" s="237"/>
      <c r="J1268" s="237"/>
      <c r="K1268" s="237"/>
      <c r="L1268" s="237"/>
      <c r="M1268" s="237"/>
      <c r="N1268" s="237"/>
      <c r="O1268" s="237"/>
      <c r="P1268" s="237"/>
      <c r="R1268" s="237"/>
      <c r="S1268" s="237"/>
      <c r="W1268" s="237"/>
      <c r="X1268" s="502"/>
      <c r="Y1268" s="507"/>
      <c r="Z1268" s="533"/>
      <c r="AA1268" s="533"/>
      <c r="AB1268" s="434"/>
      <c r="AC1268" s="533"/>
      <c r="AD1268" s="449"/>
      <c r="AE1268" s="449"/>
      <c r="AF1268" s="449"/>
      <c r="AG1268" s="449"/>
      <c r="AH1268" s="449"/>
    </row>
    <row r="1269" spans="1:34" x14ac:dyDescent="0.25">
      <c r="A1269" s="237"/>
      <c r="B1269" s="237"/>
      <c r="C1269" s="237"/>
      <c r="D1269" s="237"/>
      <c r="E1269" s="237"/>
      <c r="F1269" s="237"/>
      <c r="G1269" s="237"/>
      <c r="H1269" s="237"/>
      <c r="I1269" s="237"/>
      <c r="J1269" s="237"/>
      <c r="K1269" s="237"/>
      <c r="L1269" s="237"/>
      <c r="M1269" s="237"/>
      <c r="N1269" s="237"/>
      <c r="O1269" s="237"/>
      <c r="P1269" s="237"/>
      <c r="R1269" s="237"/>
      <c r="S1269" s="237"/>
      <c r="W1269" s="237"/>
      <c r="X1269" s="502"/>
      <c r="Y1269" s="507"/>
      <c r="Z1269" s="533"/>
      <c r="AA1269" s="533"/>
      <c r="AB1269" s="434"/>
      <c r="AC1269" s="533"/>
      <c r="AD1269" s="449"/>
      <c r="AE1269" s="449"/>
      <c r="AF1269" s="449"/>
      <c r="AG1269" s="449"/>
      <c r="AH1269" s="449"/>
    </row>
    <row r="1270" spans="1:34" x14ac:dyDescent="0.25">
      <c r="A1270" s="237"/>
      <c r="B1270" s="237"/>
      <c r="C1270" s="237"/>
      <c r="D1270" s="237"/>
      <c r="E1270" s="237"/>
      <c r="F1270" s="237"/>
      <c r="G1270" s="237"/>
      <c r="H1270" s="237"/>
      <c r="I1270" s="237"/>
      <c r="J1270" s="237"/>
      <c r="K1270" s="237"/>
      <c r="L1270" s="237"/>
      <c r="M1270" s="237"/>
      <c r="N1270" s="237"/>
      <c r="O1270" s="237"/>
      <c r="P1270" s="237"/>
      <c r="R1270" s="237"/>
      <c r="S1270" s="237"/>
      <c r="W1270" s="237"/>
      <c r="X1270" s="502"/>
      <c r="Y1270" s="507"/>
      <c r="Z1270" s="533"/>
      <c r="AA1270" s="533"/>
      <c r="AB1270" s="434"/>
      <c r="AC1270" s="533"/>
      <c r="AD1270" s="449"/>
      <c r="AE1270" s="449"/>
      <c r="AF1270" s="449"/>
      <c r="AG1270" s="449"/>
      <c r="AH1270" s="449"/>
    </row>
    <row r="1271" spans="1:34" x14ac:dyDescent="0.25">
      <c r="A1271" s="237"/>
      <c r="B1271" s="237"/>
      <c r="C1271" s="237"/>
      <c r="D1271" s="237"/>
      <c r="E1271" s="237"/>
      <c r="F1271" s="237"/>
      <c r="G1271" s="237"/>
      <c r="H1271" s="237"/>
      <c r="I1271" s="237"/>
      <c r="J1271" s="237"/>
      <c r="K1271" s="237"/>
      <c r="L1271" s="237"/>
      <c r="M1271" s="237"/>
      <c r="N1271" s="237"/>
      <c r="O1271" s="237"/>
      <c r="P1271" s="237"/>
      <c r="R1271" s="237"/>
      <c r="S1271" s="237"/>
      <c r="W1271" s="237"/>
      <c r="X1271" s="502"/>
      <c r="Y1271" s="507"/>
      <c r="Z1271" s="533"/>
      <c r="AA1271" s="533"/>
      <c r="AB1271" s="434"/>
      <c r="AC1271" s="533"/>
      <c r="AD1271" s="449"/>
      <c r="AE1271" s="449"/>
      <c r="AF1271" s="449"/>
      <c r="AG1271" s="449"/>
      <c r="AH1271" s="449"/>
    </row>
    <row r="1272" spans="1:34" x14ac:dyDescent="0.25">
      <c r="A1272" s="237"/>
      <c r="B1272" s="237"/>
      <c r="C1272" s="237"/>
      <c r="D1272" s="237"/>
      <c r="E1272" s="237"/>
      <c r="F1272" s="237"/>
      <c r="G1272" s="237"/>
      <c r="H1272" s="237"/>
      <c r="I1272" s="237"/>
      <c r="J1272" s="237"/>
      <c r="K1272" s="237"/>
      <c r="L1272" s="237"/>
      <c r="M1272" s="237"/>
      <c r="N1272" s="237"/>
      <c r="O1272" s="237"/>
      <c r="P1272" s="237"/>
      <c r="R1272" s="237"/>
      <c r="S1272" s="237"/>
      <c r="W1272" s="237"/>
      <c r="X1272" s="502"/>
      <c r="Y1272" s="507"/>
      <c r="Z1272" s="533"/>
      <c r="AA1272" s="533"/>
      <c r="AB1272" s="434"/>
      <c r="AC1272" s="533"/>
      <c r="AD1272" s="449"/>
      <c r="AE1272" s="449"/>
      <c r="AF1272" s="449"/>
      <c r="AG1272" s="449"/>
      <c r="AH1272" s="449"/>
    </row>
    <row r="1273" spans="1:34" x14ac:dyDescent="0.25">
      <c r="A1273" s="237"/>
      <c r="B1273" s="237"/>
      <c r="C1273" s="237"/>
      <c r="D1273" s="237"/>
      <c r="E1273" s="237"/>
      <c r="F1273" s="237"/>
      <c r="G1273" s="237"/>
      <c r="H1273" s="237"/>
      <c r="I1273" s="237"/>
      <c r="J1273" s="237"/>
      <c r="K1273" s="237"/>
      <c r="L1273" s="237"/>
      <c r="M1273" s="237"/>
      <c r="N1273" s="237"/>
      <c r="O1273" s="237"/>
      <c r="P1273" s="237"/>
      <c r="R1273" s="237"/>
      <c r="S1273" s="237"/>
      <c r="W1273" s="237"/>
      <c r="X1273" s="502"/>
      <c r="Y1273" s="507"/>
      <c r="Z1273" s="533"/>
      <c r="AA1273" s="533"/>
      <c r="AB1273" s="434"/>
      <c r="AC1273" s="533"/>
      <c r="AD1273" s="449"/>
      <c r="AE1273" s="449"/>
      <c r="AF1273" s="449"/>
      <c r="AG1273" s="449"/>
      <c r="AH1273" s="449"/>
    </row>
    <row r="1274" spans="1:34" x14ac:dyDescent="0.25">
      <c r="A1274" s="237"/>
      <c r="B1274" s="237"/>
      <c r="C1274" s="237"/>
      <c r="D1274" s="237"/>
      <c r="E1274" s="237"/>
      <c r="F1274" s="237"/>
      <c r="G1274" s="237"/>
      <c r="H1274" s="237"/>
      <c r="I1274" s="237"/>
      <c r="J1274" s="237"/>
      <c r="K1274" s="237"/>
      <c r="L1274" s="237"/>
      <c r="M1274" s="237"/>
      <c r="N1274" s="237"/>
      <c r="O1274" s="237"/>
      <c r="P1274" s="237"/>
      <c r="R1274" s="237"/>
      <c r="S1274" s="237"/>
      <c r="W1274" s="237"/>
      <c r="X1274" s="502"/>
      <c r="Y1274" s="507"/>
      <c r="Z1274" s="533"/>
      <c r="AA1274" s="533"/>
      <c r="AB1274" s="434"/>
      <c r="AC1274" s="533"/>
      <c r="AD1274" s="449"/>
      <c r="AE1274" s="449"/>
      <c r="AF1274" s="449"/>
      <c r="AG1274" s="449"/>
      <c r="AH1274" s="449"/>
    </row>
    <row r="1275" spans="1:34" x14ac:dyDescent="0.25">
      <c r="A1275" s="237"/>
      <c r="B1275" s="237"/>
      <c r="C1275" s="237"/>
      <c r="D1275" s="237"/>
      <c r="E1275" s="237"/>
      <c r="F1275" s="237"/>
      <c r="G1275" s="237"/>
      <c r="H1275" s="237"/>
      <c r="I1275" s="237"/>
      <c r="J1275" s="237"/>
      <c r="K1275" s="237"/>
      <c r="L1275" s="237"/>
      <c r="M1275" s="237"/>
      <c r="N1275" s="237"/>
      <c r="O1275" s="237"/>
      <c r="P1275" s="237"/>
      <c r="R1275" s="237"/>
      <c r="S1275" s="237"/>
      <c r="W1275" s="237"/>
      <c r="X1275" s="502"/>
      <c r="Y1275" s="507"/>
      <c r="Z1275" s="533"/>
      <c r="AA1275" s="533"/>
      <c r="AB1275" s="434"/>
      <c r="AC1275" s="533"/>
      <c r="AD1275" s="449"/>
      <c r="AE1275" s="449"/>
      <c r="AF1275" s="449"/>
      <c r="AG1275" s="449"/>
      <c r="AH1275" s="449"/>
    </row>
    <row r="1276" spans="1:34" x14ac:dyDescent="0.25">
      <c r="A1276" s="237"/>
      <c r="B1276" s="237"/>
      <c r="C1276" s="237"/>
      <c r="D1276" s="237"/>
      <c r="E1276" s="237"/>
      <c r="F1276" s="237"/>
      <c r="G1276" s="237"/>
      <c r="H1276" s="237"/>
      <c r="I1276" s="237"/>
      <c r="J1276" s="237"/>
      <c r="K1276" s="237"/>
      <c r="L1276" s="237"/>
      <c r="M1276" s="237"/>
      <c r="N1276" s="237"/>
      <c r="O1276" s="237"/>
      <c r="P1276" s="237"/>
      <c r="R1276" s="237"/>
      <c r="S1276" s="237"/>
      <c r="W1276" s="237"/>
      <c r="X1276" s="502"/>
      <c r="Y1276" s="507"/>
      <c r="Z1276" s="533"/>
      <c r="AA1276" s="533"/>
      <c r="AB1276" s="434"/>
      <c r="AC1276" s="533"/>
      <c r="AD1276" s="449"/>
      <c r="AE1276" s="449"/>
      <c r="AF1276" s="449"/>
      <c r="AG1276" s="449"/>
      <c r="AH1276" s="449"/>
    </row>
    <row r="1277" spans="1:34" x14ac:dyDescent="0.25">
      <c r="A1277" s="237"/>
      <c r="B1277" s="237"/>
      <c r="C1277" s="237"/>
      <c r="D1277" s="237"/>
      <c r="E1277" s="237"/>
      <c r="F1277" s="237"/>
      <c r="G1277" s="237"/>
      <c r="H1277" s="237"/>
      <c r="I1277" s="237"/>
      <c r="J1277" s="237"/>
      <c r="K1277" s="237"/>
      <c r="L1277" s="237"/>
      <c r="M1277" s="237"/>
      <c r="N1277" s="237"/>
      <c r="O1277" s="237"/>
      <c r="P1277" s="237"/>
      <c r="R1277" s="237"/>
      <c r="S1277" s="237"/>
      <c r="W1277" s="237"/>
      <c r="X1277" s="502"/>
      <c r="Y1277" s="507"/>
      <c r="Z1277" s="533"/>
      <c r="AA1277" s="533"/>
      <c r="AB1277" s="434"/>
      <c r="AC1277" s="533"/>
      <c r="AD1277" s="449"/>
      <c r="AE1277" s="449"/>
      <c r="AF1277" s="449"/>
      <c r="AG1277" s="449"/>
      <c r="AH1277" s="449"/>
    </row>
    <row r="1278" spans="1:34" x14ac:dyDescent="0.25">
      <c r="A1278" s="237"/>
      <c r="B1278" s="237"/>
      <c r="C1278" s="237"/>
      <c r="D1278" s="237"/>
      <c r="E1278" s="237"/>
      <c r="F1278" s="237"/>
      <c r="G1278" s="237"/>
      <c r="H1278" s="237"/>
      <c r="I1278" s="237"/>
      <c r="J1278" s="237"/>
      <c r="K1278" s="237"/>
      <c r="L1278" s="237"/>
      <c r="M1278" s="237"/>
      <c r="N1278" s="237"/>
      <c r="O1278" s="237"/>
      <c r="P1278" s="237"/>
      <c r="R1278" s="237"/>
      <c r="S1278" s="237"/>
      <c r="W1278" s="237"/>
      <c r="X1278" s="502"/>
      <c r="Y1278" s="507"/>
      <c r="Z1278" s="533"/>
      <c r="AA1278" s="533"/>
      <c r="AB1278" s="434"/>
      <c r="AC1278" s="533"/>
      <c r="AD1278" s="449"/>
      <c r="AE1278" s="449"/>
      <c r="AF1278" s="449"/>
      <c r="AG1278" s="449"/>
      <c r="AH1278" s="449"/>
    </row>
    <row r="1279" spans="1:34" x14ac:dyDescent="0.25">
      <c r="A1279" s="237"/>
      <c r="B1279" s="237"/>
      <c r="C1279" s="237"/>
      <c r="D1279" s="237"/>
      <c r="E1279" s="237"/>
      <c r="F1279" s="237"/>
      <c r="G1279" s="237"/>
      <c r="H1279" s="237"/>
      <c r="I1279" s="237"/>
      <c r="J1279" s="237"/>
      <c r="K1279" s="237"/>
      <c r="L1279" s="237"/>
      <c r="M1279" s="237"/>
      <c r="N1279" s="237"/>
      <c r="O1279" s="237"/>
      <c r="P1279" s="237"/>
      <c r="R1279" s="237"/>
      <c r="S1279" s="237"/>
      <c r="W1279" s="237"/>
      <c r="X1279" s="502"/>
      <c r="Y1279" s="507"/>
      <c r="Z1279" s="533"/>
      <c r="AA1279" s="533"/>
      <c r="AB1279" s="434"/>
      <c r="AC1279" s="533"/>
      <c r="AD1279" s="449"/>
      <c r="AE1279" s="449"/>
      <c r="AF1279" s="449"/>
      <c r="AG1279" s="449"/>
      <c r="AH1279" s="449"/>
    </row>
    <row r="1280" spans="1:34" x14ac:dyDescent="0.25">
      <c r="A1280" s="237"/>
      <c r="B1280" s="237"/>
      <c r="C1280" s="237"/>
      <c r="D1280" s="237"/>
      <c r="E1280" s="237"/>
      <c r="F1280" s="237"/>
      <c r="G1280" s="237"/>
      <c r="H1280" s="237"/>
      <c r="I1280" s="237"/>
      <c r="J1280" s="237"/>
      <c r="K1280" s="237"/>
      <c r="L1280" s="237"/>
      <c r="M1280" s="237"/>
      <c r="N1280" s="237"/>
      <c r="O1280" s="237"/>
      <c r="P1280" s="237"/>
      <c r="R1280" s="237"/>
      <c r="S1280" s="237"/>
      <c r="W1280" s="237"/>
      <c r="X1280" s="502"/>
      <c r="Y1280" s="507"/>
      <c r="Z1280" s="533"/>
      <c r="AA1280" s="533"/>
      <c r="AB1280" s="434"/>
      <c r="AC1280" s="533"/>
      <c r="AD1280" s="449"/>
      <c r="AE1280" s="449"/>
      <c r="AF1280" s="449"/>
      <c r="AG1280" s="449"/>
      <c r="AH1280" s="449"/>
    </row>
    <row r="1281" spans="1:34" x14ac:dyDescent="0.25">
      <c r="A1281" s="237"/>
      <c r="B1281" s="237"/>
      <c r="C1281" s="237"/>
      <c r="D1281" s="237"/>
      <c r="E1281" s="237"/>
      <c r="F1281" s="237"/>
      <c r="G1281" s="237"/>
      <c r="H1281" s="237"/>
      <c r="I1281" s="237"/>
      <c r="J1281" s="237"/>
      <c r="K1281" s="237"/>
      <c r="L1281" s="237"/>
      <c r="M1281" s="237"/>
      <c r="N1281" s="237"/>
      <c r="O1281" s="237"/>
      <c r="P1281" s="237"/>
      <c r="R1281" s="237"/>
      <c r="S1281" s="237"/>
      <c r="W1281" s="237"/>
      <c r="X1281" s="502"/>
      <c r="Y1281" s="507"/>
      <c r="Z1281" s="533"/>
      <c r="AA1281" s="533"/>
      <c r="AB1281" s="434"/>
      <c r="AC1281" s="533"/>
      <c r="AD1281" s="449"/>
      <c r="AE1281" s="449"/>
      <c r="AF1281" s="449"/>
      <c r="AG1281" s="449"/>
      <c r="AH1281" s="449"/>
    </row>
    <row r="1282" spans="1:34" x14ac:dyDescent="0.25">
      <c r="A1282" s="237"/>
      <c r="B1282" s="237"/>
      <c r="C1282" s="237"/>
      <c r="D1282" s="237"/>
      <c r="E1282" s="237"/>
      <c r="F1282" s="237"/>
      <c r="G1282" s="237"/>
      <c r="H1282" s="237"/>
      <c r="I1282" s="237"/>
      <c r="J1282" s="237"/>
      <c r="K1282" s="237"/>
      <c r="L1282" s="237"/>
      <c r="M1282" s="237"/>
      <c r="N1282" s="237"/>
      <c r="O1282" s="237"/>
      <c r="P1282" s="237"/>
      <c r="R1282" s="237"/>
      <c r="S1282" s="237"/>
      <c r="W1282" s="237"/>
      <c r="X1282" s="502"/>
      <c r="Y1282" s="507"/>
      <c r="Z1282" s="533"/>
      <c r="AA1282" s="533"/>
      <c r="AB1282" s="434"/>
      <c r="AC1282" s="533"/>
      <c r="AD1282" s="449"/>
      <c r="AE1282" s="449"/>
      <c r="AF1282" s="449"/>
      <c r="AG1282" s="449"/>
      <c r="AH1282" s="449"/>
    </row>
    <row r="1283" spans="1:34" x14ac:dyDescent="0.25">
      <c r="A1283" s="237"/>
      <c r="B1283" s="237"/>
      <c r="C1283" s="237"/>
      <c r="D1283" s="237"/>
      <c r="E1283" s="237"/>
      <c r="F1283" s="237"/>
      <c r="G1283" s="237"/>
      <c r="H1283" s="237"/>
      <c r="I1283" s="237"/>
      <c r="J1283" s="237"/>
      <c r="K1283" s="237"/>
      <c r="L1283" s="237"/>
      <c r="M1283" s="237"/>
      <c r="N1283" s="237"/>
      <c r="O1283" s="237"/>
      <c r="P1283" s="237"/>
      <c r="R1283" s="237"/>
      <c r="S1283" s="237"/>
      <c r="W1283" s="237"/>
      <c r="X1283" s="502"/>
      <c r="Y1283" s="507"/>
      <c r="Z1283" s="533"/>
      <c r="AA1283" s="533"/>
      <c r="AB1283" s="434"/>
      <c r="AC1283" s="533"/>
      <c r="AD1283" s="449"/>
      <c r="AE1283" s="449"/>
      <c r="AF1283" s="449"/>
      <c r="AG1283" s="449"/>
      <c r="AH1283" s="449"/>
    </row>
    <row r="1284" spans="1:34" x14ac:dyDescent="0.25">
      <c r="A1284" s="237"/>
      <c r="B1284" s="237"/>
      <c r="C1284" s="237"/>
      <c r="D1284" s="237"/>
      <c r="E1284" s="237"/>
      <c r="F1284" s="237"/>
      <c r="G1284" s="237"/>
      <c r="H1284" s="237"/>
      <c r="I1284" s="237"/>
      <c r="J1284" s="237"/>
      <c r="K1284" s="237"/>
      <c r="L1284" s="237"/>
      <c r="M1284" s="237"/>
      <c r="N1284" s="237"/>
      <c r="O1284" s="237"/>
      <c r="P1284" s="237"/>
      <c r="R1284" s="237"/>
      <c r="S1284" s="237"/>
      <c r="W1284" s="237"/>
      <c r="X1284" s="502"/>
      <c r="Y1284" s="507"/>
      <c r="Z1284" s="533"/>
      <c r="AA1284" s="533"/>
      <c r="AB1284" s="434"/>
      <c r="AC1284" s="533"/>
      <c r="AD1284" s="449"/>
      <c r="AE1284" s="449"/>
      <c r="AF1284" s="449"/>
      <c r="AG1284" s="449"/>
      <c r="AH1284" s="449"/>
    </row>
    <row r="1285" spans="1:34" x14ac:dyDescent="0.25">
      <c r="A1285" s="237"/>
      <c r="B1285" s="237"/>
      <c r="C1285" s="237"/>
      <c r="D1285" s="237"/>
      <c r="E1285" s="237"/>
      <c r="F1285" s="237"/>
      <c r="G1285" s="237"/>
      <c r="H1285" s="237"/>
      <c r="I1285" s="237"/>
      <c r="J1285" s="237"/>
      <c r="K1285" s="237"/>
      <c r="L1285" s="237"/>
      <c r="M1285" s="237"/>
      <c r="N1285" s="237"/>
      <c r="O1285" s="237"/>
      <c r="P1285" s="237"/>
      <c r="R1285" s="237"/>
      <c r="S1285" s="237"/>
      <c r="W1285" s="237"/>
      <c r="X1285" s="502"/>
      <c r="Y1285" s="507"/>
      <c r="Z1285" s="533"/>
      <c r="AA1285" s="533"/>
      <c r="AB1285" s="434"/>
      <c r="AC1285" s="533"/>
      <c r="AD1285" s="449"/>
      <c r="AE1285" s="449"/>
      <c r="AF1285" s="449"/>
      <c r="AG1285" s="449"/>
      <c r="AH1285" s="449"/>
    </row>
    <row r="1286" spans="1:34" x14ac:dyDescent="0.25">
      <c r="A1286" s="237"/>
      <c r="B1286" s="237"/>
      <c r="C1286" s="237"/>
      <c r="D1286" s="237"/>
      <c r="E1286" s="237"/>
      <c r="F1286" s="237"/>
      <c r="G1286" s="237"/>
      <c r="H1286" s="237"/>
      <c r="I1286" s="237"/>
      <c r="J1286" s="237"/>
      <c r="K1286" s="237"/>
      <c r="L1286" s="237"/>
      <c r="M1286" s="237"/>
      <c r="N1286" s="237"/>
      <c r="O1286" s="237"/>
      <c r="P1286" s="237"/>
      <c r="R1286" s="237"/>
      <c r="S1286" s="237"/>
      <c r="W1286" s="237"/>
      <c r="X1286" s="502"/>
      <c r="Y1286" s="507"/>
      <c r="Z1286" s="533"/>
      <c r="AA1286" s="533"/>
      <c r="AB1286" s="434"/>
      <c r="AC1286" s="533"/>
      <c r="AD1286" s="449"/>
      <c r="AE1286" s="449"/>
      <c r="AF1286" s="449"/>
      <c r="AG1286" s="449"/>
      <c r="AH1286" s="449"/>
    </row>
    <row r="1287" spans="1:34" x14ac:dyDescent="0.25">
      <c r="A1287" s="237"/>
      <c r="B1287" s="237"/>
      <c r="C1287" s="237"/>
      <c r="D1287" s="237"/>
      <c r="E1287" s="237"/>
      <c r="F1287" s="237"/>
      <c r="G1287" s="237"/>
      <c r="H1287" s="237"/>
      <c r="I1287" s="237"/>
      <c r="J1287" s="237"/>
      <c r="K1287" s="237"/>
      <c r="L1287" s="237"/>
      <c r="M1287" s="237"/>
      <c r="N1287" s="237"/>
      <c r="O1287" s="237"/>
      <c r="P1287" s="237"/>
      <c r="R1287" s="237"/>
      <c r="S1287" s="237"/>
      <c r="W1287" s="237"/>
      <c r="X1287" s="502"/>
      <c r="Y1287" s="507"/>
      <c r="Z1287" s="533"/>
      <c r="AA1287" s="533"/>
      <c r="AB1287" s="434"/>
      <c r="AC1287" s="533"/>
      <c r="AD1287" s="449"/>
      <c r="AE1287" s="449"/>
      <c r="AF1287" s="449"/>
      <c r="AG1287" s="449"/>
      <c r="AH1287" s="449"/>
    </row>
    <row r="1288" spans="1:34" x14ac:dyDescent="0.25">
      <c r="A1288" s="237"/>
      <c r="B1288" s="237"/>
      <c r="C1288" s="237"/>
      <c r="D1288" s="237"/>
      <c r="E1288" s="237"/>
      <c r="F1288" s="237"/>
      <c r="G1288" s="237"/>
      <c r="H1288" s="237"/>
      <c r="I1288" s="237"/>
      <c r="J1288" s="237"/>
      <c r="K1288" s="237"/>
      <c r="L1288" s="237"/>
      <c r="M1288" s="237"/>
      <c r="N1288" s="237"/>
      <c r="O1288" s="237"/>
      <c r="P1288" s="237"/>
      <c r="R1288" s="237"/>
      <c r="S1288" s="237"/>
      <c r="W1288" s="237"/>
      <c r="X1288" s="502"/>
      <c r="Y1288" s="507"/>
      <c r="Z1288" s="533"/>
      <c r="AA1288" s="533"/>
      <c r="AB1288" s="434"/>
      <c r="AC1288" s="533"/>
      <c r="AD1288" s="449"/>
      <c r="AE1288" s="449"/>
      <c r="AF1288" s="449"/>
      <c r="AG1288" s="449"/>
      <c r="AH1288" s="449"/>
    </row>
    <row r="1289" spans="1:34" x14ac:dyDescent="0.25">
      <c r="A1289" s="237"/>
      <c r="B1289" s="237"/>
      <c r="C1289" s="237"/>
      <c r="D1289" s="237"/>
      <c r="E1289" s="237"/>
      <c r="F1289" s="237"/>
      <c r="G1289" s="237"/>
      <c r="H1289" s="237"/>
      <c r="I1289" s="237"/>
      <c r="J1289" s="237"/>
      <c r="K1289" s="237"/>
      <c r="L1289" s="237"/>
      <c r="M1289" s="237"/>
      <c r="N1289" s="237"/>
      <c r="O1289" s="237"/>
      <c r="P1289" s="237"/>
      <c r="R1289" s="237"/>
      <c r="S1289" s="237"/>
      <c r="W1289" s="237"/>
      <c r="X1289" s="502"/>
      <c r="Y1289" s="507"/>
      <c r="Z1289" s="533"/>
      <c r="AA1289" s="533"/>
      <c r="AB1289" s="434"/>
      <c r="AC1289" s="533"/>
      <c r="AD1289" s="449"/>
      <c r="AE1289" s="449"/>
      <c r="AF1289" s="449"/>
      <c r="AG1289" s="449"/>
      <c r="AH1289" s="449"/>
    </row>
    <row r="1290" spans="1:34" x14ac:dyDescent="0.25">
      <c r="A1290" s="237"/>
      <c r="B1290" s="237"/>
      <c r="C1290" s="237"/>
      <c r="D1290" s="237"/>
      <c r="E1290" s="237"/>
      <c r="F1290" s="237"/>
      <c r="G1290" s="237"/>
      <c r="H1290" s="237"/>
      <c r="I1290" s="237"/>
      <c r="J1290" s="237"/>
      <c r="K1290" s="237"/>
      <c r="L1290" s="237"/>
      <c r="M1290" s="237"/>
      <c r="N1290" s="237"/>
      <c r="O1290" s="237"/>
      <c r="P1290" s="237"/>
      <c r="R1290" s="237"/>
      <c r="S1290" s="237"/>
      <c r="W1290" s="237"/>
      <c r="X1290" s="502"/>
      <c r="Y1290" s="507"/>
      <c r="Z1290" s="533"/>
      <c r="AA1290" s="533"/>
      <c r="AB1290" s="434"/>
      <c r="AC1290" s="533"/>
      <c r="AD1290" s="449"/>
      <c r="AE1290" s="449"/>
      <c r="AF1290" s="449"/>
      <c r="AG1290" s="449"/>
      <c r="AH1290" s="449"/>
    </row>
    <row r="1291" spans="1:34" x14ac:dyDescent="0.25">
      <c r="A1291" s="237"/>
      <c r="B1291" s="237"/>
      <c r="C1291" s="237"/>
      <c r="D1291" s="237"/>
      <c r="E1291" s="237"/>
      <c r="F1291" s="237"/>
      <c r="G1291" s="237"/>
      <c r="H1291" s="237"/>
      <c r="I1291" s="237"/>
      <c r="J1291" s="237"/>
      <c r="K1291" s="237"/>
      <c r="L1291" s="237"/>
      <c r="M1291" s="237"/>
      <c r="N1291" s="237"/>
      <c r="O1291" s="237"/>
      <c r="P1291" s="237"/>
      <c r="R1291" s="237"/>
      <c r="S1291" s="237"/>
      <c r="W1291" s="237"/>
      <c r="X1291" s="502"/>
      <c r="Y1291" s="507"/>
      <c r="Z1291" s="533"/>
      <c r="AA1291" s="533"/>
      <c r="AB1291" s="434"/>
      <c r="AC1291" s="533"/>
      <c r="AD1291" s="449"/>
      <c r="AE1291" s="449"/>
      <c r="AF1291" s="449"/>
      <c r="AG1291" s="449"/>
      <c r="AH1291" s="449"/>
    </row>
    <row r="1292" spans="1:34" x14ac:dyDescent="0.25">
      <c r="A1292" s="237"/>
      <c r="B1292" s="237"/>
      <c r="C1292" s="237"/>
      <c r="D1292" s="237"/>
      <c r="E1292" s="237"/>
      <c r="F1292" s="237"/>
      <c r="G1292" s="237"/>
      <c r="H1292" s="237"/>
      <c r="I1292" s="237"/>
      <c r="J1292" s="237"/>
      <c r="K1292" s="237"/>
      <c r="L1292" s="237"/>
      <c r="M1292" s="237"/>
      <c r="N1292" s="237"/>
      <c r="O1292" s="237"/>
      <c r="P1292" s="237"/>
      <c r="R1292" s="237"/>
      <c r="S1292" s="237"/>
      <c r="W1292" s="237"/>
      <c r="X1292" s="502"/>
      <c r="Y1292" s="507"/>
      <c r="Z1292" s="533"/>
      <c r="AA1292" s="533"/>
      <c r="AB1292" s="434"/>
      <c r="AC1292" s="533"/>
      <c r="AD1292" s="449"/>
      <c r="AE1292" s="449"/>
      <c r="AF1292" s="449"/>
      <c r="AG1292" s="449"/>
      <c r="AH1292" s="449"/>
    </row>
    <row r="1293" spans="1:34" x14ac:dyDescent="0.25">
      <c r="A1293" s="237"/>
      <c r="B1293" s="237"/>
      <c r="C1293" s="237"/>
      <c r="D1293" s="237"/>
      <c r="E1293" s="237"/>
      <c r="F1293" s="237"/>
      <c r="G1293" s="237"/>
      <c r="H1293" s="237"/>
      <c r="I1293" s="237"/>
      <c r="J1293" s="237"/>
      <c r="K1293" s="237"/>
      <c r="L1293" s="237"/>
      <c r="M1293" s="237"/>
      <c r="N1293" s="237"/>
      <c r="O1293" s="237"/>
      <c r="P1293" s="237"/>
      <c r="R1293" s="237"/>
      <c r="S1293" s="237"/>
      <c r="W1293" s="237"/>
      <c r="X1293" s="502"/>
      <c r="Y1293" s="507"/>
      <c r="Z1293" s="533"/>
      <c r="AA1293" s="533"/>
      <c r="AB1293" s="434"/>
      <c r="AC1293" s="533"/>
      <c r="AD1293" s="449"/>
      <c r="AE1293" s="449"/>
      <c r="AF1293" s="449"/>
      <c r="AG1293" s="449"/>
      <c r="AH1293" s="449"/>
    </row>
    <row r="1294" spans="1:34" x14ac:dyDescent="0.25">
      <c r="A1294" s="237"/>
      <c r="B1294" s="237"/>
      <c r="C1294" s="237"/>
      <c r="D1294" s="237"/>
      <c r="E1294" s="237"/>
      <c r="F1294" s="237"/>
      <c r="G1294" s="237"/>
      <c r="H1294" s="237"/>
      <c r="I1294" s="237"/>
      <c r="J1294" s="237"/>
      <c r="K1294" s="237"/>
      <c r="L1294" s="237"/>
      <c r="M1294" s="237"/>
      <c r="N1294" s="237"/>
      <c r="O1294" s="237"/>
      <c r="P1294" s="237"/>
      <c r="R1294" s="237"/>
      <c r="S1294" s="237"/>
      <c r="W1294" s="237"/>
      <c r="X1294" s="502"/>
      <c r="Y1294" s="507"/>
      <c r="Z1294" s="533"/>
      <c r="AA1294" s="533"/>
      <c r="AB1294" s="434"/>
      <c r="AC1294" s="533"/>
      <c r="AD1294" s="449"/>
      <c r="AE1294" s="449"/>
      <c r="AF1294" s="449"/>
      <c r="AG1294" s="449"/>
      <c r="AH1294" s="449"/>
    </row>
    <row r="1295" spans="1:34" x14ac:dyDescent="0.25">
      <c r="A1295" s="237"/>
      <c r="B1295" s="237"/>
      <c r="C1295" s="237"/>
      <c r="D1295" s="237"/>
      <c r="E1295" s="237"/>
      <c r="F1295" s="237"/>
      <c r="G1295" s="237"/>
      <c r="H1295" s="237"/>
      <c r="I1295" s="237"/>
      <c r="J1295" s="237"/>
      <c r="K1295" s="237"/>
      <c r="L1295" s="237"/>
      <c r="M1295" s="237"/>
      <c r="N1295" s="237"/>
      <c r="O1295" s="237"/>
      <c r="P1295" s="237"/>
      <c r="R1295" s="237"/>
      <c r="S1295" s="237"/>
      <c r="W1295" s="237"/>
      <c r="X1295" s="502"/>
      <c r="Y1295" s="507"/>
      <c r="Z1295" s="533"/>
      <c r="AA1295" s="533"/>
      <c r="AB1295" s="434"/>
      <c r="AC1295" s="533"/>
      <c r="AD1295" s="449"/>
      <c r="AE1295" s="449"/>
      <c r="AF1295" s="449"/>
      <c r="AG1295" s="449"/>
      <c r="AH1295" s="449"/>
    </row>
    <row r="1296" spans="1:34" x14ac:dyDescent="0.25">
      <c r="A1296" s="237"/>
      <c r="B1296" s="237"/>
      <c r="C1296" s="237"/>
      <c r="D1296" s="237"/>
      <c r="E1296" s="237"/>
      <c r="F1296" s="237"/>
      <c r="G1296" s="237"/>
      <c r="H1296" s="237"/>
      <c r="I1296" s="237"/>
      <c r="J1296" s="237"/>
      <c r="K1296" s="237"/>
      <c r="L1296" s="237"/>
      <c r="M1296" s="237"/>
      <c r="N1296" s="237"/>
      <c r="O1296" s="237"/>
      <c r="P1296" s="237"/>
      <c r="R1296" s="237"/>
      <c r="S1296" s="237"/>
      <c r="W1296" s="237"/>
      <c r="X1296" s="502"/>
      <c r="Y1296" s="507"/>
      <c r="Z1296" s="533"/>
      <c r="AA1296" s="533"/>
      <c r="AB1296" s="434"/>
      <c r="AC1296" s="533"/>
      <c r="AD1296" s="449"/>
      <c r="AE1296" s="449"/>
      <c r="AF1296" s="449"/>
      <c r="AG1296" s="449"/>
      <c r="AH1296" s="449"/>
    </row>
    <row r="1297" spans="1:34" x14ac:dyDescent="0.25">
      <c r="A1297" s="237"/>
      <c r="B1297" s="237"/>
      <c r="C1297" s="237"/>
      <c r="D1297" s="237"/>
      <c r="E1297" s="237"/>
      <c r="F1297" s="237"/>
      <c r="G1297" s="237"/>
      <c r="H1297" s="237"/>
      <c r="I1297" s="237"/>
      <c r="J1297" s="237"/>
      <c r="K1297" s="237"/>
      <c r="L1297" s="237"/>
      <c r="M1297" s="237"/>
      <c r="N1297" s="237"/>
      <c r="O1297" s="237"/>
      <c r="P1297" s="237"/>
      <c r="R1297" s="237"/>
      <c r="S1297" s="237"/>
      <c r="W1297" s="237"/>
      <c r="X1297" s="502"/>
      <c r="Y1297" s="507"/>
      <c r="Z1297" s="533"/>
      <c r="AA1297" s="533"/>
      <c r="AB1297" s="434"/>
      <c r="AC1297" s="533"/>
      <c r="AD1297" s="449"/>
      <c r="AE1297" s="449"/>
      <c r="AF1297" s="449"/>
      <c r="AG1297" s="449"/>
      <c r="AH1297" s="449"/>
    </row>
    <row r="1298" spans="1:34" x14ac:dyDescent="0.25">
      <c r="A1298" s="237"/>
      <c r="B1298" s="237"/>
      <c r="C1298" s="237"/>
      <c r="D1298" s="237"/>
      <c r="E1298" s="237"/>
      <c r="F1298" s="237"/>
      <c r="G1298" s="237"/>
      <c r="H1298" s="237"/>
      <c r="I1298" s="237"/>
      <c r="J1298" s="237"/>
      <c r="K1298" s="237"/>
      <c r="L1298" s="237"/>
      <c r="M1298" s="237"/>
      <c r="N1298" s="237"/>
      <c r="O1298" s="237"/>
      <c r="P1298" s="237"/>
      <c r="R1298" s="237"/>
      <c r="S1298" s="237"/>
      <c r="W1298" s="237"/>
      <c r="X1298" s="502"/>
      <c r="Y1298" s="507"/>
      <c r="Z1298" s="533"/>
      <c r="AA1298" s="533"/>
      <c r="AB1298" s="434"/>
      <c r="AC1298" s="533"/>
      <c r="AD1298" s="449"/>
      <c r="AE1298" s="449"/>
      <c r="AF1298" s="449"/>
      <c r="AG1298" s="449"/>
      <c r="AH1298" s="449"/>
    </row>
    <row r="1299" spans="1:34" x14ac:dyDescent="0.25">
      <c r="A1299" s="237"/>
      <c r="B1299" s="237"/>
      <c r="C1299" s="237"/>
      <c r="D1299" s="237"/>
      <c r="E1299" s="237"/>
      <c r="F1299" s="237"/>
      <c r="G1299" s="237"/>
      <c r="H1299" s="237"/>
      <c r="I1299" s="237"/>
      <c r="J1299" s="237"/>
      <c r="K1299" s="237"/>
      <c r="L1299" s="237"/>
      <c r="M1299" s="237"/>
      <c r="N1299" s="237"/>
      <c r="O1299" s="237"/>
      <c r="P1299" s="237"/>
      <c r="R1299" s="237"/>
      <c r="S1299" s="237"/>
      <c r="W1299" s="237"/>
      <c r="X1299" s="502"/>
      <c r="Y1299" s="507"/>
      <c r="Z1299" s="533"/>
      <c r="AA1299" s="533"/>
      <c r="AB1299" s="434"/>
      <c r="AC1299" s="533"/>
      <c r="AD1299" s="449"/>
      <c r="AE1299" s="449"/>
      <c r="AF1299" s="449"/>
      <c r="AG1299" s="449"/>
      <c r="AH1299" s="449"/>
    </row>
    <row r="1300" spans="1:34" x14ac:dyDescent="0.25">
      <c r="A1300" s="237"/>
      <c r="B1300" s="237"/>
      <c r="C1300" s="237"/>
      <c r="D1300" s="237"/>
      <c r="E1300" s="237"/>
      <c r="F1300" s="237"/>
      <c r="G1300" s="237"/>
      <c r="H1300" s="237"/>
      <c r="I1300" s="237"/>
      <c r="J1300" s="237"/>
      <c r="K1300" s="237"/>
      <c r="L1300" s="237"/>
      <c r="M1300" s="237"/>
      <c r="N1300" s="237"/>
      <c r="O1300" s="237"/>
      <c r="P1300" s="237"/>
      <c r="R1300" s="237"/>
      <c r="S1300" s="237"/>
      <c r="W1300" s="237"/>
      <c r="X1300" s="502"/>
      <c r="Y1300" s="507"/>
      <c r="Z1300" s="533"/>
      <c r="AA1300" s="533"/>
      <c r="AB1300" s="434"/>
      <c r="AC1300" s="533"/>
      <c r="AD1300" s="449"/>
      <c r="AE1300" s="449"/>
      <c r="AF1300" s="449"/>
      <c r="AG1300" s="449"/>
      <c r="AH1300" s="449"/>
    </row>
    <row r="1301" spans="1:34" x14ac:dyDescent="0.25">
      <c r="A1301" s="237"/>
      <c r="B1301" s="237"/>
      <c r="C1301" s="237"/>
      <c r="D1301" s="237"/>
      <c r="E1301" s="237"/>
      <c r="F1301" s="237"/>
      <c r="G1301" s="237"/>
      <c r="H1301" s="237"/>
      <c r="I1301" s="237"/>
      <c r="J1301" s="237"/>
      <c r="K1301" s="237"/>
      <c r="L1301" s="237"/>
      <c r="M1301" s="237"/>
      <c r="N1301" s="237"/>
      <c r="O1301" s="237"/>
      <c r="P1301" s="237"/>
      <c r="R1301" s="237"/>
      <c r="S1301" s="237"/>
      <c r="W1301" s="237"/>
      <c r="X1301" s="502"/>
      <c r="Y1301" s="507"/>
      <c r="Z1301" s="533"/>
      <c r="AA1301" s="533"/>
      <c r="AB1301" s="434"/>
      <c r="AC1301" s="533"/>
      <c r="AD1301" s="449"/>
      <c r="AE1301" s="449"/>
      <c r="AF1301" s="449"/>
      <c r="AG1301" s="449"/>
      <c r="AH1301" s="449"/>
    </row>
    <row r="1302" spans="1:34" x14ac:dyDescent="0.25">
      <c r="A1302" s="237"/>
      <c r="B1302" s="237"/>
      <c r="C1302" s="237"/>
      <c r="D1302" s="237"/>
      <c r="E1302" s="237"/>
      <c r="F1302" s="237"/>
      <c r="G1302" s="237"/>
      <c r="H1302" s="237"/>
      <c r="I1302" s="237"/>
      <c r="J1302" s="237"/>
      <c r="K1302" s="237"/>
      <c r="L1302" s="237"/>
      <c r="M1302" s="237"/>
      <c r="N1302" s="237"/>
      <c r="O1302" s="237"/>
      <c r="P1302" s="237"/>
      <c r="R1302" s="237"/>
      <c r="S1302" s="237"/>
      <c r="W1302" s="237"/>
      <c r="X1302" s="502"/>
      <c r="Y1302" s="507"/>
      <c r="Z1302" s="533"/>
      <c r="AA1302" s="533"/>
      <c r="AB1302" s="434"/>
      <c r="AC1302" s="533"/>
      <c r="AD1302" s="449"/>
      <c r="AE1302" s="449"/>
      <c r="AF1302" s="449"/>
      <c r="AG1302" s="449"/>
      <c r="AH1302" s="449"/>
    </row>
    <row r="1303" spans="1:34" x14ac:dyDescent="0.25">
      <c r="A1303" s="237"/>
      <c r="B1303" s="237"/>
      <c r="C1303" s="237"/>
      <c r="D1303" s="237"/>
      <c r="E1303" s="237"/>
      <c r="F1303" s="237"/>
      <c r="G1303" s="237"/>
      <c r="H1303" s="237"/>
      <c r="I1303" s="237"/>
      <c r="J1303" s="237"/>
      <c r="K1303" s="237"/>
      <c r="L1303" s="237"/>
      <c r="M1303" s="237"/>
      <c r="N1303" s="237"/>
      <c r="O1303" s="237"/>
      <c r="P1303" s="237"/>
      <c r="R1303" s="237"/>
      <c r="S1303" s="237"/>
      <c r="W1303" s="237"/>
      <c r="X1303" s="502"/>
      <c r="Y1303" s="507"/>
      <c r="Z1303" s="533"/>
      <c r="AA1303" s="533"/>
      <c r="AB1303" s="434"/>
      <c r="AC1303" s="533"/>
      <c r="AD1303" s="449"/>
      <c r="AE1303" s="449"/>
      <c r="AF1303" s="449"/>
      <c r="AG1303" s="449"/>
      <c r="AH1303" s="449"/>
    </row>
    <row r="1304" spans="1:34" x14ac:dyDescent="0.25">
      <c r="A1304" s="237"/>
      <c r="B1304" s="237"/>
      <c r="C1304" s="237"/>
      <c r="D1304" s="237"/>
      <c r="E1304" s="237"/>
      <c r="F1304" s="237"/>
      <c r="G1304" s="237"/>
      <c r="H1304" s="237"/>
      <c r="I1304" s="237"/>
      <c r="J1304" s="237"/>
      <c r="K1304" s="237"/>
      <c r="L1304" s="237"/>
      <c r="M1304" s="237"/>
      <c r="N1304" s="237"/>
      <c r="O1304" s="237"/>
      <c r="P1304" s="237"/>
      <c r="R1304" s="237"/>
      <c r="S1304" s="237"/>
      <c r="W1304" s="237"/>
      <c r="X1304" s="502"/>
      <c r="Y1304" s="507"/>
      <c r="Z1304" s="533"/>
      <c r="AA1304" s="533"/>
      <c r="AB1304" s="434"/>
      <c r="AC1304" s="533"/>
      <c r="AD1304" s="449"/>
      <c r="AE1304" s="449"/>
      <c r="AF1304" s="449"/>
      <c r="AG1304" s="449"/>
      <c r="AH1304" s="449"/>
    </row>
    <row r="1305" spans="1:34" x14ac:dyDescent="0.25">
      <c r="A1305" s="237"/>
      <c r="B1305" s="237"/>
      <c r="C1305" s="237"/>
      <c r="D1305" s="237"/>
      <c r="E1305" s="237"/>
      <c r="F1305" s="237"/>
      <c r="G1305" s="237"/>
      <c r="H1305" s="237"/>
      <c r="I1305" s="237"/>
      <c r="J1305" s="237"/>
      <c r="K1305" s="237"/>
      <c r="L1305" s="237"/>
      <c r="M1305" s="237"/>
      <c r="N1305" s="237"/>
      <c r="O1305" s="237"/>
      <c r="P1305" s="237"/>
      <c r="R1305" s="237"/>
      <c r="S1305" s="237"/>
      <c r="W1305" s="237"/>
      <c r="X1305" s="502"/>
      <c r="Y1305" s="507"/>
      <c r="Z1305" s="533"/>
      <c r="AA1305" s="533"/>
      <c r="AB1305" s="434"/>
      <c r="AC1305" s="533"/>
      <c r="AD1305" s="449"/>
      <c r="AE1305" s="449"/>
      <c r="AF1305" s="449"/>
      <c r="AG1305" s="449"/>
      <c r="AH1305" s="449"/>
    </row>
    <row r="1306" spans="1:34" x14ac:dyDescent="0.25">
      <c r="A1306" s="237"/>
      <c r="B1306" s="237"/>
      <c r="C1306" s="237"/>
      <c r="D1306" s="237"/>
      <c r="E1306" s="237"/>
      <c r="F1306" s="237"/>
      <c r="G1306" s="237"/>
      <c r="H1306" s="237"/>
      <c r="I1306" s="237"/>
      <c r="J1306" s="237"/>
      <c r="K1306" s="237"/>
      <c r="L1306" s="237"/>
      <c r="M1306" s="237"/>
      <c r="N1306" s="237"/>
      <c r="O1306" s="237"/>
      <c r="P1306" s="237"/>
      <c r="R1306" s="237"/>
      <c r="S1306" s="237"/>
      <c r="W1306" s="237"/>
      <c r="X1306" s="502"/>
      <c r="Y1306" s="507"/>
      <c r="Z1306" s="533"/>
      <c r="AA1306" s="533"/>
      <c r="AB1306" s="434"/>
      <c r="AC1306" s="533"/>
      <c r="AD1306" s="449"/>
      <c r="AE1306" s="449"/>
      <c r="AF1306" s="449"/>
      <c r="AG1306" s="449"/>
      <c r="AH1306" s="449"/>
    </row>
    <row r="1307" spans="1:34" x14ac:dyDescent="0.25">
      <c r="A1307" s="237"/>
      <c r="B1307" s="237"/>
      <c r="C1307" s="237"/>
      <c r="D1307" s="237"/>
      <c r="E1307" s="237"/>
      <c r="F1307" s="237"/>
      <c r="G1307" s="237"/>
      <c r="H1307" s="237"/>
      <c r="I1307" s="237"/>
      <c r="J1307" s="237"/>
      <c r="K1307" s="237"/>
      <c r="L1307" s="237"/>
      <c r="M1307" s="237"/>
      <c r="N1307" s="237"/>
      <c r="O1307" s="237"/>
      <c r="P1307" s="237"/>
      <c r="R1307" s="237"/>
      <c r="S1307" s="237"/>
      <c r="W1307" s="237"/>
      <c r="X1307" s="502"/>
      <c r="Y1307" s="507"/>
      <c r="Z1307" s="533"/>
      <c r="AA1307" s="533"/>
      <c r="AB1307" s="434"/>
      <c r="AC1307" s="533"/>
      <c r="AD1307" s="449"/>
      <c r="AE1307" s="449"/>
      <c r="AF1307" s="449"/>
      <c r="AG1307" s="449"/>
      <c r="AH1307" s="449"/>
    </row>
    <row r="1308" spans="1:34" x14ac:dyDescent="0.25">
      <c r="A1308" s="237"/>
      <c r="B1308" s="237"/>
      <c r="C1308" s="237"/>
      <c r="D1308" s="237"/>
      <c r="E1308" s="237"/>
      <c r="F1308" s="237"/>
      <c r="G1308" s="237"/>
      <c r="H1308" s="237"/>
      <c r="I1308" s="237"/>
      <c r="J1308" s="237"/>
      <c r="K1308" s="237"/>
      <c r="L1308" s="237"/>
      <c r="M1308" s="237"/>
      <c r="N1308" s="237"/>
      <c r="O1308" s="237"/>
      <c r="P1308" s="237"/>
      <c r="R1308" s="237"/>
      <c r="S1308" s="237"/>
      <c r="W1308" s="237"/>
      <c r="X1308" s="502"/>
      <c r="Y1308" s="507"/>
      <c r="Z1308" s="533"/>
      <c r="AA1308" s="533"/>
      <c r="AB1308" s="434"/>
      <c r="AC1308" s="533"/>
      <c r="AD1308" s="449"/>
      <c r="AE1308" s="449"/>
      <c r="AF1308" s="449"/>
      <c r="AG1308" s="449"/>
      <c r="AH1308" s="449"/>
    </row>
    <row r="1309" spans="1:34" x14ac:dyDescent="0.25">
      <c r="A1309" s="237"/>
      <c r="B1309" s="237"/>
      <c r="C1309" s="237"/>
      <c r="D1309" s="237"/>
      <c r="E1309" s="237"/>
      <c r="F1309" s="237"/>
      <c r="G1309" s="237"/>
      <c r="H1309" s="237"/>
      <c r="I1309" s="237"/>
      <c r="J1309" s="237"/>
      <c r="K1309" s="237"/>
      <c r="L1309" s="237"/>
      <c r="M1309" s="237"/>
      <c r="N1309" s="237"/>
      <c r="O1309" s="237"/>
      <c r="P1309" s="237"/>
      <c r="R1309" s="237"/>
      <c r="S1309" s="237"/>
      <c r="W1309" s="237"/>
      <c r="X1309" s="502"/>
      <c r="Y1309" s="507"/>
      <c r="Z1309" s="533"/>
      <c r="AA1309" s="533"/>
      <c r="AB1309" s="434"/>
      <c r="AC1309" s="533"/>
      <c r="AD1309" s="449"/>
      <c r="AE1309" s="449"/>
      <c r="AF1309" s="449"/>
      <c r="AG1309" s="449"/>
      <c r="AH1309" s="449"/>
    </row>
    <row r="1310" spans="1:34" x14ac:dyDescent="0.25">
      <c r="A1310" s="237"/>
      <c r="B1310" s="237"/>
      <c r="C1310" s="237"/>
      <c r="D1310" s="237"/>
      <c r="E1310" s="237"/>
      <c r="F1310" s="237"/>
      <c r="G1310" s="237"/>
      <c r="H1310" s="237"/>
      <c r="I1310" s="237"/>
      <c r="J1310" s="237"/>
      <c r="K1310" s="237"/>
      <c r="L1310" s="237"/>
      <c r="M1310" s="237"/>
      <c r="N1310" s="237"/>
      <c r="O1310" s="237"/>
      <c r="P1310" s="237"/>
      <c r="R1310" s="237"/>
      <c r="S1310" s="237"/>
      <c r="W1310" s="237"/>
      <c r="X1310" s="502"/>
      <c r="Y1310" s="507"/>
      <c r="Z1310" s="533"/>
      <c r="AA1310" s="533"/>
      <c r="AB1310" s="434"/>
      <c r="AC1310" s="533"/>
      <c r="AD1310" s="449"/>
      <c r="AE1310" s="449"/>
      <c r="AF1310" s="449"/>
      <c r="AG1310" s="449"/>
      <c r="AH1310" s="449"/>
    </row>
    <row r="1311" spans="1:34" x14ac:dyDescent="0.25">
      <c r="A1311" s="237"/>
      <c r="B1311" s="237"/>
      <c r="C1311" s="237"/>
      <c r="D1311" s="237"/>
      <c r="E1311" s="237"/>
      <c r="F1311" s="237"/>
      <c r="G1311" s="237"/>
      <c r="H1311" s="237"/>
      <c r="I1311" s="237"/>
      <c r="J1311" s="237"/>
      <c r="K1311" s="237"/>
      <c r="L1311" s="237"/>
      <c r="M1311" s="237"/>
      <c r="N1311" s="237"/>
      <c r="O1311" s="237"/>
      <c r="P1311" s="237"/>
      <c r="R1311" s="237"/>
      <c r="S1311" s="237"/>
      <c r="W1311" s="237"/>
      <c r="X1311" s="502"/>
      <c r="Y1311" s="507"/>
      <c r="Z1311" s="533"/>
      <c r="AA1311" s="533"/>
      <c r="AB1311" s="434"/>
      <c r="AC1311" s="533"/>
      <c r="AD1311" s="449"/>
      <c r="AE1311" s="449"/>
      <c r="AF1311" s="449"/>
      <c r="AG1311" s="449"/>
      <c r="AH1311" s="449"/>
    </row>
    <row r="1312" spans="1:34" x14ac:dyDescent="0.25">
      <c r="A1312" s="237"/>
      <c r="B1312" s="237"/>
      <c r="C1312" s="237"/>
      <c r="D1312" s="237"/>
      <c r="E1312" s="237"/>
      <c r="F1312" s="237"/>
      <c r="G1312" s="237"/>
      <c r="H1312" s="237"/>
      <c r="I1312" s="237"/>
      <c r="J1312" s="237"/>
      <c r="K1312" s="237"/>
      <c r="L1312" s="237"/>
      <c r="M1312" s="237"/>
      <c r="N1312" s="237"/>
      <c r="O1312" s="237"/>
      <c r="P1312" s="237"/>
      <c r="R1312" s="237"/>
      <c r="S1312" s="237"/>
      <c r="W1312" s="237"/>
      <c r="X1312" s="502"/>
      <c r="Y1312" s="507"/>
      <c r="Z1312" s="533"/>
      <c r="AA1312" s="533"/>
      <c r="AB1312" s="434"/>
      <c r="AC1312" s="533"/>
      <c r="AD1312" s="449"/>
      <c r="AE1312" s="449"/>
      <c r="AF1312" s="449"/>
      <c r="AG1312" s="449"/>
      <c r="AH1312" s="449"/>
    </row>
    <row r="1313" spans="1:34" x14ac:dyDescent="0.25">
      <c r="A1313" s="237"/>
      <c r="B1313" s="237"/>
      <c r="C1313" s="237"/>
      <c r="D1313" s="237"/>
      <c r="E1313" s="237"/>
      <c r="F1313" s="237"/>
      <c r="G1313" s="237"/>
      <c r="H1313" s="237"/>
      <c r="I1313" s="237"/>
      <c r="J1313" s="237"/>
      <c r="K1313" s="237"/>
      <c r="L1313" s="237"/>
      <c r="M1313" s="237"/>
      <c r="N1313" s="237"/>
      <c r="O1313" s="237"/>
      <c r="P1313" s="237"/>
      <c r="R1313" s="237"/>
      <c r="S1313" s="237"/>
      <c r="W1313" s="237"/>
      <c r="X1313" s="502"/>
      <c r="Y1313" s="507"/>
      <c r="Z1313" s="533"/>
      <c r="AA1313" s="533"/>
      <c r="AB1313" s="434"/>
      <c r="AC1313" s="533"/>
      <c r="AD1313" s="449"/>
      <c r="AE1313" s="449"/>
      <c r="AF1313" s="449"/>
      <c r="AG1313" s="449"/>
      <c r="AH1313" s="449"/>
    </row>
    <row r="1314" spans="1:34" x14ac:dyDescent="0.25">
      <c r="A1314" s="237"/>
      <c r="B1314" s="237"/>
      <c r="C1314" s="237"/>
      <c r="D1314" s="237"/>
      <c r="E1314" s="237"/>
      <c r="F1314" s="237"/>
      <c r="G1314" s="237"/>
      <c r="H1314" s="237"/>
      <c r="I1314" s="237"/>
      <c r="J1314" s="237"/>
      <c r="K1314" s="237"/>
      <c r="L1314" s="237"/>
      <c r="M1314" s="237"/>
      <c r="N1314" s="237"/>
      <c r="O1314" s="237"/>
      <c r="P1314" s="237"/>
      <c r="R1314" s="237"/>
      <c r="S1314" s="237"/>
      <c r="W1314" s="237"/>
      <c r="X1314" s="502"/>
      <c r="Y1314" s="507"/>
      <c r="Z1314" s="533"/>
      <c r="AA1314" s="533"/>
      <c r="AB1314" s="434"/>
      <c r="AC1314" s="533"/>
      <c r="AD1314" s="449"/>
      <c r="AE1314" s="449"/>
      <c r="AF1314" s="449"/>
      <c r="AG1314" s="449"/>
      <c r="AH1314" s="449"/>
    </row>
    <row r="1315" spans="1:34" x14ac:dyDescent="0.25">
      <c r="A1315" s="237"/>
      <c r="B1315" s="237"/>
      <c r="C1315" s="237"/>
      <c r="D1315" s="237"/>
      <c r="E1315" s="237"/>
      <c r="F1315" s="237"/>
      <c r="G1315" s="237"/>
      <c r="H1315" s="237"/>
      <c r="I1315" s="237"/>
      <c r="J1315" s="237"/>
      <c r="K1315" s="237"/>
      <c r="L1315" s="237"/>
      <c r="M1315" s="237"/>
      <c r="N1315" s="237"/>
      <c r="O1315" s="237"/>
      <c r="P1315" s="237"/>
      <c r="R1315" s="237"/>
      <c r="S1315" s="237"/>
      <c r="W1315" s="237"/>
      <c r="X1315" s="502"/>
      <c r="Y1315" s="507"/>
      <c r="Z1315" s="533"/>
      <c r="AA1315" s="533"/>
      <c r="AB1315" s="434"/>
      <c r="AC1315" s="533"/>
      <c r="AD1315" s="449"/>
      <c r="AE1315" s="449"/>
      <c r="AF1315" s="449"/>
      <c r="AG1315" s="449"/>
      <c r="AH1315" s="449"/>
    </row>
    <row r="1316" spans="1:34" x14ac:dyDescent="0.25">
      <c r="A1316" s="237"/>
      <c r="B1316" s="237"/>
      <c r="C1316" s="237"/>
      <c r="D1316" s="237"/>
      <c r="E1316" s="237"/>
      <c r="F1316" s="237"/>
      <c r="G1316" s="237"/>
      <c r="H1316" s="237"/>
      <c r="I1316" s="237"/>
      <c r="J1316" s="237"/>
      <c r="K1316" s="237"/>
      <c r="L1316" s="237"/>
      <c r="M1316" s="237"/>
      <c r="N1316" s="237"/>
      <c r="O1316" s="237"/>
      <c r="P1316" s="237"/>
      <c r="R1316" s="237"/>
      <c r="S1316" s="237"/>
      <c r="W1316" s="237"/>
      <c r="X1316" s="502"/>
      <c r="Y1316" s="507"/>
      <c r="Z1316" s="533"/>
      <c r="AA1316" s="533"/>
      <c r="AB1316" s="434"/>
      <c r="AC1316" s="533"/>
      <c r="AD1316" s="449"/>
      <c r="AE1316" s="449"/>
      <c r="AF1316" s="449"/>
      <c r="AG1316" s="449"/>
      <c r="AH1316" s="449"/>
    </row>
    <row r="1317" spans="1:34" x14ac:dyDescent="0.25">
      <c r="A1317" s="237"/>
      <c r="B1317" s="237"/>
      <c r="C1317" s="237"/>
      <c r="D1317" s="237"/>
      <c r="E1317" s="237"/>
      <c r="F1317" s="237"/>
      <c r="G1317" s="237"/>
      <c r="H1317" s="237"/>
      <c r="I1317" s="237"/>
      <c r="J1317" s="237"/>
      <c r="K1317" s="237"/>
      <c r="L1317" s="237"/>
      <c r="M1317" s="237"/>
      <c r="N1317" s="237"/>
      <c r="O1317" s="237"/>
      <c r="P1317" s="237"/>
      <c r="R1317" s="237"/>
      <c r="S1317" s="237"/>
      <c r="W1317" s="237"/>
      <c r="X1317" s="502"/>
      <c r="Y1317" s="507"/>
      <c r="Z1317" s="533"/>
      <c r="AA1317" s="533"/>
      <c r="AB1317" s="434"/>
      <c r="AC1317" s="533"/>
      <c r="AD1317" s="449"/>
      <c r="AE1317" s="449"/>
      <c r="AF1317" s="449"/>
      <c r="AG1317" s="449"/>
      <c r="AH1317" s="449"/>
    </row>
    <row r="1318" spans="1:34" x14ac:dyDescent="0.25">
      <c r="A1318" s="237"/>
      <c r="B1318" s="237"/>
      <c r="C1318" s="237"/>
      <c r="D1318" s="237"/>
      <c r="E1318" s="237"/>
      <c r="F1318" s="237"/>
      <c r="G1318" s="237"/>
      <c r="H1318" s="237"/>
      <c r="I1318" s="237"/>
      <c r="J1318" s="237"/>
      <c r="K1318" s="237"/>
      <c r="L1318" s="237"/>
      <c r="M1318" s="237"/>
      <c r="N1318" s="237"/>
      <c r="O1318" s="237"/>
      <c r="P1318" s="237"/>
      <c r="R1318" s="237"/>
      <c r="S1318" s="237"/>
      <c r="W1318" s="237"/>
      <c r="X1318" s="502"/>
      <c r="Y1318" s="507"/>
      <c r="Z1318" s="533"/>
      <c r="AA1318" s="533"/>
      <c r="AB1318" s="434"/>
      <c r="AC1318" s="533"/>
      <c r="AD1318" s="449"/>
      <c r="AE1318" s="449"/>
      <c r="AF1318" s="449"/>
      <c r="AG1318" s="449"/>
      <c r="AH1318" s="449"/>
    </row>
    <row r="1319" spans="1:34" x14ac:dyDescent="0.25">
      <c r="A1319" s="237"/>
      <c r="B1319" s="237"/>
      <c r="C1319" s="237"/>
      <c r="D1319" s="237"/>
      <c r="E1319" s="237"/>
      <c r="F1319" s="237"/>
      <c r="G1319" s="237"/>
      <c r="H1319" s="237"/>
      <c r="I1319" s="237"/>
      <c r="J1319" s="237"/>
      <c r="K1319" s="237"/>
      <c r="L1319" s="237"/>
      <c r="M1319" s="237"/>
      <c r="N1319" s="237"/>
      <c r="O1319" s="237"/>
      <c r="P1319" s="237"/>
      <c r="R1319" s="237"/>
      <c r="S1319" s="237"/>
      <c r="W1319" s="237"/>
      <c r="X1319" s="502"/>
      <c r="Y1319" s="507"/>
      <c r="Z1319" s="533"/>
      <c r="AA1319" s="533"/>
      <c r="AB1319" s="434"/>
      <c r="AC1319" s="533"/>
      <c r="AD1319" s="449"/>
      <c r="AE1319" s="449"/>
      <c r="AF1319" s="449"/>
      <c r="AG1319" s="449"/>
      <c r="AH1319" s="449"/>
    </row>
    <row r="1320" spans="1:34" x14ac:dyDescent="0.25">
      <c r="A1320" s="237"/>
      <c r="B1320" s="237"/>
      <c r="C1320" s="237"/>
      <c r="D1320" s="237"/>
      <c r="E1320" s="237"/>
      <c r="F1320" s="237"/>
      <c r="G1320" s="237"/>
      <c r="H1320" s="237"/>
      <c r="I1320" s="237"/>
      <c r="J1320" s="237"/>
      <c r="K1320" s="237"/>
      <c r="L1320" s="237"/>
      <c r="M1320" s="237"/>
      <c r="N1320" s="237"/>
      <c r="O1320" s="237"/>
      <c r="P1320" s="237"/>
      <c r="R1320" s="237"/>
      <c r="S1320" s="237"/>
      <c r="W1320" s="237"/>
      <c r="X1320" s="502"/>
      <c r="Y1320" s="507"/>
      <c r="Z1320" s="533"/>
      <c r="AA1320" s="533"/>
      <c r="AB1320" s="434"/>
      <c r="AC1320" s="533"/>
      <c r="AD1320" s="449"/>
      <c r="AE1320" s="449"/>
      <c r="AF1320" s="449"/>
      <c r="AG1320" s="449"/>
      <c r="AH1320" s="449"/>
    </row>
    <row r="1321" spans="1:34" x14ac:dyDescent="0.25">
      <c r="A1321" s="237"/>
      <c r="B1321" s="237"/>
      <c r="C1321" s="237"/>
      <c r="D1321" s="237"/>
      <c r="E1321" s="237"/>
      <c r="F1321" s="237"/>
      <c r="G1321" s="237"/>
      <c r="H1321" s="237"/>
      <c r="I1321" s="237"/>
      <c r="J1321" s="237"/>
      <c r="K1321" s="237"/>
      <c r="L1321" s="237"/>
      <c r="M1321" s="237"/>
      <c r="N1321" s="237"/>
      <c r="O1321" s="237"/>
      <c r="P1321" s="237"/>
      <c r="R1321" s="237"/>
      <c r="S1321" s="237"/>
      <c r="W1321" s="237"/>
      <c r="X1321" s="502"/>
      <c r="Y1321" s="507"/>
      <c r="Z1321" s="533"/>
      <c r="AA1321" s="533"/>
      <c r="AB1321" s="434"/>
      <c r="AC1321" s="533"/>
      <c r="AD1321" s="449"/>
      <c r="AE1321" s="449"/>
      <c r="AF1321" s="449"/>
      <c r="AG1321" s="449"/>
      <c r="AH1321" s="449"/>
    </row>
    <row r="1322" spans="1:34" x14ac:dyDescent="0.25">
      <c r="A1322" s="237"/>
      <c r="B1322" s="237"/>
      <c r="C1322" s="237"/>
      <c r="D1322" s="237"/>
      <c r="E1322" s="237"/>
      <c r="F1322" s="237"/>
      <c r="G1322" s="237"/>
      <c r="H1322" s="237"/>
      <c r="I1322" s="237"/>
      <c r="J1322" s="237"/>
      <c r="K1322" s="237"/>
      <c r="L1322" s="237"/>
      <c r="M1322" s="237"/>
      <c r="N1322" s="237"/>
      <c r="O1322" s="237"/>
      <c r="P1322" s="237"/>
      <c r="R1322" s="237"/>
      <c r="S1322" s="237"/>
      <c r="W1322" s="237"/>
      <c r="X1322" s="502"/>
      <c r="Y1322" s="507"/>
      <c r="Z1322" s="533"/>
      <c r="AA1322" s="533"/>
      <c r="AB1322" s="434"/>
      <c r="AC1322" s="533"/>
      <c r="AD1322" s="449"/>
      <c r="AE1322" s="449"/>
      <c r="AF1322" s="449"/>
      <c r="AG1322" s="449"/>
      <c r="AH1322" s="449"/>
    </row>
    <row r="1323" spans="1:34" x14ac:dyDescent="0.25">
      <c r="A1323" s="237"/>
      <c r="B1323" s="237"/>
      <c r="C1323" s="237"/>
      <c r="D1323" s="237"/>
      <c r="E1323" s="237"/>
      <c r="F1323" s="237"/>
      <c r="G1323" s="237"/>
      <c r="H1323" s="237"/>
      <c r="I1323" s="237"/>
      <c r="J1323" s="237"/>
      <c r="K1323" s="237"/>
      <c r="L1323" s="237"/>
      <c r="M1323" s="237"/>
      <c r="N1323" s="237"/>
      <c r="O1323" s="237"/>
      <c r="P1323" s="237"/>
      <c r="R1323" s="237"/>
      <c r="S1323" s="237"/>
      <c r="W1323" s="237"/>
      <c r="X1323" s="502"/>
      <c r="Y1323" s="507"/>
      <c r="Z1323" s="533"/>
      <c r="AA1323" s="533"/>
      <c r="AB1323" s="434"/>
      <c r="AC1323" s="533"/>
      <c r="AD1323" s="449"/>
      <c r="AE1323" s="449"/>
      <c r="AF1323" s="449"/>
      <c r="AG1323" s="449"/>
      <c r="AH1323" s="449"/>
    </row>
    <row r="1324" spans="1:34" x14ac:dyDescent="0.25">
      <c r="A1324" s="237"/>
      <c r="B1324" s="237"/>
      <c r="C1324" s="237"/>
      <c r="D1324" s="237"/>
      <c r="E1324" s="237"/>
      <c r="F1324" s="237"/>
      <c r="G1324" s="237"/>
      <c r="H1324" s="237"/>
      <c r="I1324" s="237"/>
      <c r="J1324" s="237"/>
      <c r="K1324" s="237"/>
      <c r="L1324" s="237"/>
      <c r="M1324" s="237"/>
      <c r="N1324" s="237"/>
      <c r="O1324" s="237"/>
      <c r="P1324" s="237"/>
      <c r="R1324" s="237"/>
      <c r="S1324" s="237"/>
      <c r="W1324" s="237"/>
      <c r="X1324" s="502"/>
      <c r="Y1324" s="507"/>
      <c r="Z1324" s="533"/>
      <c r="AA1324" s="533"/>
      <c r="AB1324" s="434"/>
      <c r="AC1324" s="533"/>
      <c r="AD1324" s="449"/>
      <c r="AE1324" s="449"/>
      <c r="AF1324" s="449"/>
      <c r="AG1324" s="449"/>
      <c r="AH1324" s="449"/>
    </row>
    <row r="1325" spans="1:34" x14ac:dyDescent="0.25">
      <c r="A1325" s="237"/>
      <c r="B1325" s="237"/>
      <c r="C1325" s="237"/>
      <c r="D1325" s="237"/>
      <c r="E1325" s="237"/>
      <c r="F1325" s="237"/>
      <c r="G1325" s="237"/>
      <c r="H1325" s="237"/>
      <c r="I1325" s="237"/>
      <c r="J1325" s="237"/>
      <c r="K1325" s="237"/>
      <c r="L1325" s="237"/>
      <c r="M1325" s="237"/>
      <c r="N1325" s="237"/>
      <c r="O1325" s="237"/>
      <c r="P1325" s="237"/>
      <c r="R1325" s="237"/>
      <c r="S1325" s="237"/>
      <c r="W1325" s="237"/>
      <c r="X1325" s="502"/>
      <c r="Y1325" s="507"/>
      <c r="Z1325" s="533"/>
      <c r="AA1325" s="533"/>
      <c r="AB1325" s="434"/>
      <c r="AC1325" s="533"/>
      <c r="AD1325" s="449"/>
      <c r="AE1325" s="449"/>
      <c r="AF1325" s="449"/>
      <c r="AG1325" s="449"/>
      <c r="AH1325" s="449"/>
    </row>
    <row r="1326" spans="1:34" x14ac:dyDescent="0.25">
      <c r="A1326" s="237"/>
      <c r="B1326" s="237"/>
      <c r="C1326" s="237"/>
      <c r="D1326" s="237"/>
      <c r="E1326" s="237"/>
      <c r="F1326" s="237"/>
      <c r="G1326" s="237"/>
      <c r="H1326" s="237"/>
      <c r="I1326" s="237"/>
      <c r="J1326" s="237"/>
      <c r="K1326" s="237"/>
      <c r="L1326" s="237"/>
      <c r="M1326" s="237"/>
      <c r="N1326" s="237"/>
      <c r="O1326" s="237"/>
      <c r="P1326" s="237"/>
      <c r="R1326" s="237"/>
      <c r="S1326" s="237"/>
      <c r="W1326" s="237"/>
      <c r="X1326" s="502"/>
      <c r="Y1326" s="507"/>
      <c r="Z1326" s="533"/>
      <c r="AA1326" s="533"/>
      <c r="AB1326" s="434"/>
      <c r="AC1326" s="533"/>
      <c r="AD1326" s="449"/>
      <c r="AE1326" s="449"/>
      <c r="AF1326" s="449"/>
      <c r="AG1326" s="449"/>
      <c r="AH1326" s="449"/>
    </row>
    <row r="1327" spans="1:34" x14ac:dyDescent="0.25">
      <c r="A1327" s="237"/>
      <c r="B1327" s="237"/>
      <c r="C1327" s="237"/>
      <c r="D1327" s="237"/>
      <c r="E1327" s="237"/>
      <c r="F1327" s="237"/>
      <c r="G1327" s="237"/>
      <c r="H1327" s="237"/>
      <c r="I1327" s="237"/>
      <c r="J1327" s="237"/>
      <c r="K1327" s="237"/>
      <c r="L1327" s="237"/>
      <c r="M1327" s="237"/>
      <c r="N1327" s="237"/>
      <c r="O1327" s="237"/>
      <c r="P1327" s="237"/>
      <c r="R1327" s="237"/>
      <c r="S1327" s="237"/>
      <c r="W1327" s="237"/>
      <c r="X1327" s="502"/>
      <c r="Y1327" s="507"/>
      <c r="Z1327" s="533"/>
      <c r="AA1327" s="533"/>
      <c r="AB1327" s="434"/>
      <c r="AC1327" s="533"/>
      <c r="AD1327" s="449"/>
      <c r="AE1327" s="449"/>
      <c r="AF1327" s="449"/>
      <c r="AG1327" s="449"/>
      <c r="AH1327" s="449"/>
    </row>
    <row r="1328" spans="1:34" x14ac:dyDescent="0.25">
      <c r="A1328" s="237"/>
      <c r="B1328" s="237"/>
      <c r="C1328" s="237"/>
      <c r="D1328" s="237"/>
      <c r="E1328" s="237"/>
      <c r="F1328" s="237"/>
      <c r="G1328" s="237"/>
      <c r="H1328" s="237"/>
      <c r="I1328" s="237"/>
      <c r="J1328" s="237"/>
      <c r="K1328" s="237"/>
      <c r="L1328" s="237"/>
      <c r="M1328" s="237"/>
      <c r="N1328" s="237"/>
      <c r="O1328" s="237"/>
      <c r="P1328" s="237"/>
      <c r="R1328" s="237"/>
      <c r="S1328" s="237"/>
      <c r="W1328" s="237"/>
      <c r="X1328" s="502"/>
      <c r="Y1328" s="507"/>
      <c r="Z1328" s="533"/>
      <c r="AA1328" s="533"/>
      <c r="AB1328" s="434"/>
      <c r="AC1328" s="533"/>
      <c r="AD1328" s="449"/>
      <c r="AE1328" s="449"/>
      <c r="AF1328" s="449"/>
      <c r="AG1328" s="449"/>
      <c r="AH1328" s="449"/>
    </row>
    <row r="1329" spans="1:34" x14ac:dyDescent="0.25">
      <c r="A1329" s="237"/>
      <c r="B1329" s="237"/>
      <c r="C1329" s="237"/>
      <c r="D1329" s="237"/>
      <c r="E1329" s="237"/>
      <c r="F1329" s="237"/>
      <c r="G1329" s="237"/>
      <c r="H1329" s="237"/>
      <c r="I1329" s="237"/>
      <c r="J1329" s="237"/>
      <c r="K1329" s="237"/>
      <c r="L1329" s="237"/>
      <c r="M1329" s="237"/>
      <c r="N1329" s="237"/>
      <c r="O1329" s="237"/>
      <c r="P1329" s="237"/>
      <c r="R1329" s="237"/>
      <c r="S1329" s="237"/>
      <c r="W1329" s="237"/>
      <c r="X1329" s="502"/>
      <c r="Y1329" s="507"/>
      <c r="Z1329" s="533"/>
      <c r="AA1329" s="533"/>
      <c r="AB1329" s="434"/>
      <c r="AC1329" s="533"/>
      <c r="AD1329" s="449"/>
      <c r="AE1329" s="449"/>
      <c r="AF1329" s="449"/>
      <c r="AG1329" s="449"/>
      <c r="AH1329" s="449"/>
    </row>
    <row r="1330" spans="1:34" x14ac:dyDescent="0.25">
      <c r="A1330" s="237"/>
      <c r="B1330" s="237"/>
      <c r="C1330" s="237"/>
      <c r="D1330" s="237"/>
      <c r="E1330" s="237"/>
      <c r="F1330" s="237"/>
      <c r="G1330" s="237"/>
      <c r="H1330" s="237"/>
      <c r="I1330" s="237"/>
      <c r="J1330" s="237"/>
      <c r="K1330" s="237"/>
      <c r="L1330" s="237"/>
      <c r="M1330" s="237"/>
      <c r="N1330" s="237"/>
      <c r="O1330" s="237"/>
      <c r="P1330" s="237"/>
      <c r="R1330" s="237"/>
      <c r="S1330" s="237"/>
      <c r="W1330" s="237"/>
      <c r="X1330" s="502"/>
      <c r="Y1330" s="507"/>
      <c r="Z1330" s="533"/>
      <c r="AA1330" s="533"/>
      <c r="AB1330" s="434"/>
      <c r="AC1330" s="533"/>
      <c r="AD1330" s="449"/>
      <c r="AE1330" s="449"/>
      <c r="AF1330" s="449"/>
      <c r="AG1330" s="449"/>
      <c r="AH1330" s="449"/>
    </row>
    <row r="1331" spans="1:34" x14ac:dyDescent="0.25">
      <c r="A1331" s="237"/>
      <c r="B1331" s="237"/>
      <c r="C1331" s="237"/>
      <c r="D1331" s="237"/>
      <c r="E1331" s="237"/>
      <c r="F1331" s="237"/>
      <c r="G1331" s="237"/>
      <c r="H1331" s="237"/>
      <c r="I1331" s="237"/>
      <c r="J1331" s="237"/>
      <c r="K1331" s="237"/>
      <c r="L1331" s="237"/>
      <c r="M1331" s="237"/>
      <c r="N1331" s="237"/>
      <c r="O1331" s="237"/>
      <c r="P1331" s="237"/>
      <c r="R1331" s="237"/>
      <c r="S1331" s="237"/>
      <c r="W1331" s="237"/>
      <c r="X1331" s="502"/>
      <c r="Y1331" s="507"/>
      <c r="Z1331" s="533"/>
      <c r="AA1331" s="533"/>
      <c r="AB1331" s="434"/>
      <c r="AC1331" s="533"/>
      <c r="AD1331" s="449"/>
      <c r="AE1331" s="449"/>
      <c r="AF1331" s="449"/>
      <c r="AG1331" s="449"/>
      <c r="AH1331" s="449"/>
    </row>
    <row r="1332" spans="1:34" x14ac:dyDescent="0.25">
      <c r="A1332" s="237"/>
      <c r="B1332" s="237"/>
      <c r="C1332" s="237"/>
      <c r="D1332" s="237"/>
      <c r="E1332" s="237"/>
      <c r="F1332" s="237"/>
      <c r="G1332" s="237"/>
      <c r="H1332" s="237"/>
      <c r="I1332" s="237"/>
      <c r="J1332" s="237"/>
      <c r="K1332" s="237"/>
      <c r="L1332" s="237"/>
      <c r="M1332" s="237"/>
      <c r="N1332" s="237"/>
      <c r="O1332" s="237"/>
      <c r="P1332" s="237"/>
      <c r="R1332" s="237"/>
      <c r="S1332" s="237"/>
      <c r="W1332" s="237"/>
      <c r="X1332" s="502"/>
      <c r="Y1332" s="507"/>
      <c r="Z1332" s="533"/>
      <c r="AA1332" s="533"/>
      <c r="AB1332" s="434"/>
      <c r="AC1332" s="533"/>
      <c r="AD1332" s="449"/>
      <c r="AE1332" s="449"/>
      <c r="AF1332" s="449"/>
      <c r="AG1332" s="449"/>
      <c r="AH1332" s="449"/>
    </row>
    <row r="1333" spans="1:34" x14ac:dyDescent="0.25">
      <c r="A1333" s="237"/>
      <c r="B1333" s="237"/>
      <c r="C1333" s="237"/>
      <c r="D1333" s="237"/>
      <c r="E1333" s="237"/>
      <c r="F1333" s="237"/>
      <c r="G1333" s="237"/>
      <c r="H1333" s="237"/>
      <c r="I1333" s="237"/>
      <c r="J1333" s="237"/>
      <c r="K1333" s="237"/>
      <c r="L1333" s="237"/>
      <c r="M1333" s="237"/>
      <c r="N1333" s="237"/>
      <c r="O1333" s="237"/>
      <c r="P1333" s="237"/>
      <c r="R1333" s="237"/>
      <c r="S1333" s="237"/>
      <c r="W1333" s="237"/>
      <c r="X1333" s="502"/>
      <c r="Y1333" s="507"/>
      <c r="Z1333" s="533"/>
      <c r="AA1333" s="533"/>
      <c r="AB1333" s="434"/>
      <c r="AC1333" s="533"/>
      <c r="AD1333" s="449"/>
      <c r="AE1333" s="449"/>
      <c r="AF1333" s="449"/>
      <c r="AG1333" s="449"/>
      <c r="AH1333" s="449"/>
    </row>
    <row r="1334" spans="1:34" x14ac:dyDescent="0.25">
      <c r="A1334" s="237"/>
      <c r="B1334" s="237"/>
      <c r="C1334" s="237"/>
      <c r="D1334" s="237"/>
      <c r="E1334" s="237"/>
      <c r="F1334" s="237"/>
      <c r="G1334" s="237"/>
      <c r="H1334" s="237"/>
      <c r="I1334" s="237"/>
      <c r="J1334" s="237"/>
      <c r="K1334" s="237"/>
      <c r="L1334" s="237"/>
      <c r="M1334" s="237"/>
      <c r="N1334" s="237"/>
      <c r="O1334" s="237"/>
      <c r="P1334" s="237"/>
      <c r="R1334" s="237"/>
      <c r="S1334" s="237"/>
      <c r="W1334" s="237"/>
      <c r="X1334" s="502"/>
      <c r="Y1334" s="507"/>
      <c r="Z1334" s="533"/>
      <c r="AA1334" s="533"/>
      <c r="AB1334" s="434"/>
      <c r="AC1334" s="533"/>
      <c r="AD1334" s="449"/>
      <c r="AE1334" s="449"/>
      <c r="AF1334" s="449"/>
      <c r="AG1334" s="449"/>
      <c r="AH1334" s="449"/>
    </row>
    <row r="1335" spans="1:34" x14ac:dyDescent="0.25">
      <c r="A1335" s="237"/>
      <c r="B1335" s="237"/>
      <c r="C1335" s="237"/>
      <c r="D1335" s="237"/>
      <c r="E1335" s="237"/>
      <c r="F1335" s="237"/>
      <c r="G1335" s="237"/>
      <c r="H1335" s="237"/>
      <c r="I1335" s="237"/>
      <c r="J1335" s="237"/>
      <c r="K1335" s="237"/>
      <c r="L1335" s="237"/>
      <c r="M1335" s="237"/>
      <c r="N1335" s="237"/>
      <c r="O1335" s="237"/>
      <c r="P1335" s="237"/>
      <c r="R1335" s="237"/>
      <c r="S1335" s="237"/>
      <c r="W1335" s="237"/>
      <c r="X1335" s="502"/>
      <c r="Y1335" s="507"/>
      <c r="Z1335" s="533"/>
      <c r="AA1335" s="533"/>
      <c r="AB1335" s="434"/>
      <c r="AC1335" s="533"/>
      <c r="AD1335" s="449"/>
      <c r="AE1335" s="449"/>
      <c r="AF1335" s="449"/>
      <c r="AG1335" s="449"/>
      <c r="AH1335" s="449"/>
    </row>
    <row r="1336" spans="1:34" x14ac:dyDescent="0.25">
      <c r="A1336" s="237"/>
      <c r="B1336" s="237"/>
      <c r="C1336" s="237"/>
      <c r="D1336" s="237"/>
      <c r="E1336" s="237"/>
      <c r="F1336" s="237"/>
      <c r="G1336" s="237"/>
      <c r="H1336" s="237"/>
      <c r="I1336" s="237"/>
      <c r="J1336" s="237"/>
      <c r="K1336" s="237"/>
      <c r="L1336" s="237"/>
      <c r="M1336" s="237"/>
      <c r="N1336" s="237"/>
      <c r="O1336" s="237"/>
      <c r="P1336" s="237"/>
      <c r="R1336" s="237"/>
      <c r="S1336" s="237"/>
      <c r="W1336" s="237"/>
      <c r="X1336" s="502"/>
      <c r="Y1336" s="507"/>
      <c r="Z1336" s="533"/>
      <c r="AA1336" s="533"/>
      <c r="AB1336" s="434"/>
      <c r="AC1336" s="533"/>
      <c r="AD1336" s="449"/>
      <c r="AE1336" s="449"/>
      <c r="AF1336" s="449"/>
      <c r="AG1336" s="449"/>
      <c r="AH1336" s="449"/>
    </row>
    <row r="1337" spans="1:34" x14ac:dyDescent="0.25">
      <c r="A1337" s="237"/>
      <c r="B1337" s="237"/>
      <c r="C1337" s="237"/>
      <c r="D1337" s="237"/>
      <c r="E1337" s="237"/>
      <c r="F1337" s="237"/>
      <c r="G1337" s="237"/>
      <c r="H1337" s="237"/>
      <c r="I1337" s="237"/>
      <c r="J1337" s="237"/>
      <c r="K1337" s="237"/>
      <c r="L1337" s="237"/>
      <c r="M1337" s="237"/>
      <c r="N1337" s="237"/>
      <c r="O1337" s="237"/>
      <c r="P1337" s="237"/>
      <c r="R1337" s="237"/>
      <c r="S1337" s="237"/>
      <c r="W1337" s="237"/>
      <c r="X1337" s="502"/>
      <c r="Y1337" s="507"/>
      <c r="Z1337" s="533"/>
      <c r="AA1337" s="533"/>
      <c r="AB1337" s="434"/>
      <c r="AC1337" s="533"/>
      <c r="AD1337" s="449"/>
      <c r="AE1337" s="449"/>
      <c r="AF1337" s="449"/>
      <c r="AG1337" s="449"/>
      <c r="AH1337" s="449"/>
    </row>
    <row r="1338" spans="1:34" x14ac:dyDescent="0.25">
      <c r="A1338" s="237"/>
      <c r="B1338" s="237"/>
      <c r="C1338" s="237"/>
      <c r="D1338" s="237"/>
      <c r="E1338" s="237"/>
      <c r="F1338" s="237"/>
      <c r="G1338" s="237"/>
      <c r="H1338" s="237"/>
      <c r="I1338" s="237"/>
      <c r="J1338" s="237"/>
      <c r="K1338" s="237"/>
      <c r="L1338" s="237"/>
      <c r="M1338" s="237"/>
      <c r="N1338" s="237"/>
      <c r="O1338" s="237"/>
      <c r="P1338" s="237"/>
      <c r="R1338" s="237"/>
      <c r="S1338" s="237"/>
      <c r="W1338" s="237"/>
      <c r="X1338" s="502"/>
      <c r="Y1338" s="507"/>
      <c r="Z1338" s="533"/>
      <c r="AA1338" s="533"/>
      <c r="AB1338" s="434"/>
      <c r="AC1338" s="533"/>
      <c r="AD1338" s="449"/>
      <c r="AE1338" s="449"/>
      <c r="AF1338" s="449"/>
      <c r="AG1338" s="449"/>
      <c r="AH1338" s="449"/>
    </row>
    <row r="1339" spans="1:34" x14ac:dyDescent="0.25">
      <c r="A1339" s="237"/>
      <c r="B1339" s="237"/>
      <c r="C1339" s="237"/>
      <c r="D1339" s="237"/>
      <c r="E1339" s="237"/>
      <c r="F1339" s="237"/>
      <c r="G1339" s="237"/>
      <c r="H1339" s="237"/>
      <c r="I1339" s="237"/>
      <c r="J1339" s="237"/>
      <c r="K1339" s="237"/>
      <c r="L1339" s="237"/>
      <c r="M1339" s="237"/>
      <c r="N1339" s="237"/>
      <c r="O1339" s="237"/>
      <c r="P1339" s="237"/>
      <c r="R1339" s="237"/>
      <c r="S1339" s="237"/>
      <c r="W1339" s="237"/>
      <c r="X1339" s="502"/>
      <c r="Y1339" s="507"/>
      <c r="Z1339" s="533"/>
      <c r="AA1339" s="533"/>
      <c r="AB1339" s="434"/>
      <c r="AC1339" s="533"/>
      <c r="AD1339" s="449"/>
      <c r="AE1339" s="449"/>
      <c r="AF1339" s="449"/>
      <c r="AG1339" s="449"/>
      <c r="AH1339" s="449"/>
    </row>
    <row r="1340" spans="1:34" x14ac:dyDescent="0.25">
      <c r="A1340" s="237"/>
      <c r="B1340" s="237"/>
      <c r="C1340" s="237"/>
      <c r="D1340" s="237"/>
      <c r="E1340" s="237"/>
      <c r="F1340" s="237"/>
      <c r="G1340" s="237"/>
      <c r="H1340" s="237"/>
      <c r="I1340" s="237"/>
      <c r="J1340" s="237"/>
      <c r="K1340" s="237"/>
      <c r="L1340" s="237"/>
      <c r="M1340" s="237"/>
      <c r="N1340" s="237"/>
      <c r="O1340" s="237"/>
      <c r="P1340" s="237"/>
      <c r="R1340" s="237"/>
      <c r="S1340" s="237"/>
      <c r="W1340" s="237"/>
      <c r="X1340" s="502"/>
      <c r="Y1340" s="507"/>
      <c r="Z1340" s="533"/>
      <c r="AA1340" s="533"/>
      <c r="AB1340" s="434"/>
      <c r="AC1340" s="533"/>
      <c r="AD1340" s="449"/>
      <c r="AE1340" s="449"/>
      <c r="AF1340" s="449"/>
      <c r="AG1340" s="449"/>
      <c r="AH1340" s="449"/>
    </row>
    <row r="1341" spans="1:34" x14ac:dyDescent="0.25">
      <c r="A1341" s="237"/>
      <c r="B1341" s="237"/>
      <c r="C1341" s="237"/>
      <c r="D1341" s="237"/>
      <c r="E1341" s="237"/>
      <c r="F1341" s="237"/>
      <c r="G1341" s="237"/>
      <c r="H1341" s="237"/>
      <c r="I1341" s="237"/>
      <c r="J1341" s="237"/>
      <c r="K1341" s="237"/>
      <c r="L1341" s="237"/>
      <c r="M1341" s="237"/>
      <c r="N1341" s="237"/>
      <c r="O1341" s="237"/>
      <c r="P1341" s="237"/>
      <c r="R1341" s="237"/>
      <c r="S1341" s="237"/>
      <c r="W1341" s="237"/>
      <c r="X1341" s="502"/>
      <c r="Y1341" s="507"/>
      <c r="Z1341" s="533"/>
      <c r="AA1341" s="533"/>
      <c r="AB1341" s="434"/>
      <c r="AC1341" s="533"/>
      <c r="AD1341" s="449"/>
      <c r="AE1341" s="449"/>
      <c r="AF1341" s="449"/>
      <c r="AG1341" s="449"/>
      <c r="AH1341" s="449"/>
    </row>
    <row r="1342" spans="1:34" x14ac:dyDescent="0.25">
      <c r="A1342" s="237"/>
      <c r="B1342" s="237"/>
      <c r="C1342" s="237"/>
      <c r="D1342" s="237"/>
      <c r="E1342" s="237"/>
      <c r="F1342" s="237"/>
      <c r="G1342" s="237"/>
      <c r="H1342" s="237"/>
      <c r="I1342" s="237"/>
      <c r="J1342" s="237"/>
      <c r="K1342" s="237"/>
      <c r="L1342" s="237"/>
      <c r="M1342" s="237"/>
      <c r="N1342" s="237"/>
      <c r="O1342" s="237"/>
      <c r="P1342" s="237"/>
      <c r="R1342" s="237"/>
      <c r="S1342" s="237"/>
      <c r="W1342" s="237"/>
      <c r="X1342" s="502"/>
      <c r="Y1342" s="507"/>
      <c r="Z1342" s="533"/>
      <c r="AA1342" s="533"/>
      <c r="AB1342" s="434"/>
      <c r="AC1342" s="533"/>
      <c r="AD1342" s="449"/>
      <c r="AE1342" s="449"/>
      <c r="AF1342" s="449"/>
      <c r="AG1342" s="449"/>
      <c r="AH1342" s="449"/>
    </row>
    <row r="1343" spans="1:34" x14ac:dyDescent="0.25">
      <c r="A1343" s="237"/>
      <c r="B1343" s="237"/>
      <c r="C1343" s="237"/>
      <c r="D1343" s="237"/>
      <c r="E1343" s="237"/>
      <c r="F1343" s="237"/>
      <c r="G1343" s="237"/>
      <c r="H1343" s="237"/>
      <c r="I1343" s="237"/>
      <c r="J1343" s="237"/>
      <c r="K1343" s="237"/>
      <c r="L1343" s="237"/>
      <c r="M1343" s="237"/>
      <c r="N1343" s="237"/>
      <c r="O1343" s="237"/>
      <c r="P1343" s="237"/>
      <c r="R1343" s="237"/>
      <c r="S1343" s="237"/>
      <c r="W1343" s="237"/>
      <c r="X1343" s="502"/>
      <c r="Y1343" s="507"/>
      <c r="Z1343" s="533"/>
      <c r="AA1343" s="533"/>
      <c r="AB1343" s="434"/>
      <c r="AC1343" s="533"/>
      <c r="AD1343" s="449"/>
      <c r="AE1343" s="449"/>
      <c r="AF1343" s="449"/>
      <c r="AG1343" s="449"/>
      <c r="AH1343" s="449"/>
    </row>
    <row r="1344" spans="1:34" x14ac:dyDescent="0.25">
      <c r="A1344" s="237"/>
      <c r="B1344" s="237"/>
      <c r="C1344" s="237"/>
      <c r="D1344" s="237"/>
      <c r="E1344" s="237"/>
      <c r="F1344" s="237"/>
      <c r="G1344" s="237"/>
      <c r="H1344" s="237"/>
      <c r="I1344" s="237"/>
      <c r="J1344" s="237"/>
      <c r="K1344" s="237"/>
      <c r="L1344" s="237"/>
      <c r="M1344" s="237"/>
      <c r="N1344" s="237"/>
      <c r="O1344" s="237"/>
      <c r="P1344" s="237"/>
      <c r="R1344" s="237"/>
      <c r="S1344" s="237"/>
      <c r="W1344" s="237"/>
      <c r="X1344" s="502"/>
      <c r="Y1344" s="507"/>
      <c r="Z1344" s="533"/>
      <c r="AA1344" s="533"/>
      <c r="AB1344" s="434"/>
      <c r="AC1344" s="533"/>
      <c r="AD1344" s="449"/>
      <c r="AE1344" s="449"/>
      <c r="AF1344" s="449"/>
      <c r="AG1344" s="449"/>
      <c r="AH1344" s="449"/>
    </row>
    <row r="1345" spans="1:34" x14ac:dyDescent="0.25">
      <c r="A1345" s="237"/>
      <c r="B1345" s="237"/>
      <c r="C1345" s="237"/>
      <c r="D1345" s="237"/>
      <c r="E1345" s="237"/>
      <c r="F1345" s="237"/>
      <c r="G1345" s="237"/>
      <c r="H1345" s="237"/>
      <c r="I1345" s="237"/>
      <c r="J1345" s="237"/>
      <c r="K1345" s="237"/>
      <c r="L1345" s="237"/>
      <c r="M1345" s="237"/>
      <c r="N1345" s="237"/>
      <c r="O1345" s="237"/>
      <c r="P1345" s="237"/>
      <c r="R1345" s="237"/>
      <c r="S1345" s="237"/>
      <c r="W1345" s="237"/>
      <c r="X1345" s="502"/>
      <c r="Y1345" s="507"/>
      <c r="Z1345" s="533"/>
      <c r="AA1345" s="533"/>
      <c r="AB1345" s="434"/>
      <c r="AC1345" s="533"/>
      <c r="AD1345" s="449"/>
      <c r="AE1345" s="449"/>
      <c r="AF1345" s="449"/>
      <c r="AG1345" s="449"/>
      <c r="AH1345" s="449"/>
    </row>
    <row r="1346" spans="1:34" x14ac:dyDescent="0.25">
      <c r="A1346" s="237"/>
      <c r="B1346" s="237"/>
      <c r="C1346" s="237"/>
      <c r="D1346" s="237"/>
      <c r="E1346" s="237"/>
      <c r="F1346" s="237"/>
      <c r="G1346" s="237"/>
      <c r="H1346" s="237"/>
      <c r="I1346" s="237"/>
      <c r="J1346" s="237"/>
      <c r="K1346" s="237"/>
      <c r="L1346" s="237"/>
      <c r="M1346" s="237"/>
      <c r="N1346" s="237"/>
      <c r="O1346" s="237"/>
      <c r="P1346" s="237"/>
      <c r="R1346" s="237"/>
      <c r="S1346" s="237"/>
      <c r="W1346" s="237"/>
      <c r="X1346" s="502"/>
      <c r="Y1346" s="507"/>
      <c r="Z1346" s="533"/>
      <c r="AA1346" s="533"/>
      <c r="AB1346" s="434"/>
      <c r="AC1346" s="533"/>
      <c r="AD1346" s="449"/>
      <c r="AE1346" s="449"/>
      <c r="AF1346" s="449"/>
      <c r="AG1346" s="449"/>
      <c r="AH1346" s="449"/>
    </row>
    <row r="1347" spans="1:34" x14ac:dyDescent="0.25">
      <c r="A1347" s="237"/>
      <c r="B1347" s="237"/>
      <c r="C1347" s="237"/>
      <c r="D1347" s="237"/>
      <c r="E1347" s="237"/>
      <c r="F1347" s="237"/>
      <c r="G1347" s="237"/>
      <c r="H1347" s="237"/>
      <c r="I1347" s="237"/>
      <c r="J1347" s="237"/>
      <c r="K1347" s="237"/>
      <c r="L1347" s="237"/>
      <c r="M1347" s="237"/>
      <c r="N1347" s="237"/>
      <c r="O1347" s="237"/>
      <c r="P1347" s="237"/>
      <c r="R1347" s="237"/>
      <c r="S1347" s="237"/>
      <c r="W1347" s="237"/>
      <c r="X1347" s="502"/>
      <c r="Y1347" s="507"/>
      <c r="Z1347" s="533"/>
      <c r="AA1347" s="533"/>
      <c r="AB1347" s="434"/>
      <c r="AC1347" s="533"/>
      <c r="AD1347" s="449"/>
      <c r="AE1347" s="449"/>
      <c r="AF1347" s="449"/>
      <c r="AG1347" s="449"/>
      <c r="AH1347" s="449"/>
    </row>
    <row r="1348" spans="1:34" x14ac:dyDescent="0.25">
      <c r="A1348" s="237"/>
      <c r="B1348" s="237"/>
      <c r="C1348" s="237"/>
      <c r="D1348" s="237"/>
      <c r="E1348" s="237"/>
      <c r="F1348" s="237"/>
      <c r="G1348" s="237"/>
      <c r="H1348" s="237"/>
      <c r="I1348" s="237"/>
      <c r="J1348" s="237"/>
      <c r="K1348" s="237"/>
      <c r="L1348" s="237"/>
      <c r="M1348" s="237"/>
      <c r="N1348" s="237"/>
      <c r="O1348" s="237"/>
      <c r="P1348" s="237"/>
      <c r="R1348" s="237"/>
      <c r="S1348" s="237"/>
      <c r="W1348" s="237"/>
      <c r="X1348" s="502"/>
      <c r="Y1348" s="507"/>
      <c r="Z1348" s="533"/>
      <c r="AA1348" s="533"/>
      <c r="AB1348" s="434"/>
      <c r="AC1348" s="533"/>
      <c r="AD1348" s="449"/>
      <c r="AE1348" s="449"/>
      <c r="AF1348" s="449"/>
      <c r="AG1348" s="449"/>
      <c r="AH1348" s="449"/>
    </row>
    <row r="1349" spans="1:34" x14ac:dyDescent="0.25">
      <c r="A1349" s="237"/>
      <c r="B1349" s="237"/>
      <c r="C1349" s="237"/>
      <c r="D1349" s="237"/>
      <c r="E1349" s="237"/>
      <c r="F1349" s="237"/>
      <c r="G1349" s="237"/>
      <c r="H1349" s="237"/>
      <c r="I1349" s="237"/>
      <c r="J1349" s="237"/>
      <c r="K1349" s="237"/>
      <c r="L1349" s="237"/>
      <c r="M1349" s="237"/>
      <c r="N1349" s="237"/>
      <c r="O1349" s="237"/>
      <c r="P1349" s="237"/>
      <c r="R1349" s="237"/>
      <c r="S1349" s="237"/>
      <c r="W1349" s="237"/>
      <c r="X1349" s="502"/>
      <c r="Y1349" s="507"/>
      <c r="Z1349" s="533"/>
      <c r="AA1349" s="533"/>
      <c r="AB1349" s="434"/>
      <c r="AC1349" s="533"/>
      <c r="AD1349" s="449"/>
      <c r="AE1349" s="449"/>
      <c r="AF1349" s="449"/>
      <c r="AG1349" s="449"/>
      <c r="AH1349" s="449"/>
    </row>
    <row r="1350" spans="1:34" x14ac:dyDescent="0.25">
      <c r="A1350" s="237"/>
      <c r="B1350" s="237"/>
      <c r="C1350" s="237"/>
      <c r="D1350" s="237"/>
      <c r="E1350" s="237"/>
      <c r="F1350" s="237"/>
      <c r="G1350" s="237"/>
      <c r="H1350" s="237"/>
      <c r="I1350" s="237"/>
      <c r="J1350" s="237"/>
      <c r="K1350" s="237"/>
      <c r="L1350" s="237"/>
      <c r="M1350" s="237"/>
      <c r="N1350" s="237"/>
      <c r="O1350" s="237"/>
      <c r="P1350" s="237"/>
      <c r="R1350" s="237"/>
      <c r="S1350" s="237"/>
      <c r="W1350" s="237"/>
      <c r="X1350" s="502"/>
      <c r="Y1350" s="507"/>
      <c r="Z1350" s="533"/>
      <c r="AA1350" s="533"/>
      <c r="AB1350" s="434"/>
      <c r="AC1350" s="533"/>
      <c r="AD1350" s="449"/>
      <c r="AE1350" s="449"/>
      <c r="AF1350" s="449"/>
      <c r="AG1350" s="449"/>
      <c r="AH1350" s="449"/>
    </row>
    <row r="1351" spans="1:34" x14ac:dyDescent="0.25">
      <c r="A1351" s="237"/>
      <c r="B1351" s="237"/>
      <c r="C1351" s="237"/>
      <c r="D1351" s="237"/>
      <c r="E1351" s="237"/>
      <c r="F1351" s="237"/>
      <c r="G1351" s="237"/>
      <c r="H1351" s="237"/>
      <c r="I1351" s="237"/>
      <c r="J1351" s="237"/>
      <c r="K1351" s="237"/>
      <c r="L1351" s="237"/>
      <c r="M1351" s="237"/>
      <c r="N1351" s="237"/>
      <c r="O1351" s="237"/>
      <c r="P1351" s="237"/>
      <c r="R1351" s="237"/>
      <c r="S1351" s="237"/>
      <c r="W1351" s="237"/>
      <c r="X1351" s="502"/>
      <c r="Y1351" s="507"/>
      <c r="Z1351" s="533"/>
      <c r="AA1351" s="533"/>
      <c r="AB1351" s="434"/>
      <c r="AC1351" s="533"/>
      <c r="AD1351" s="449"/>
      <c r="AE1351" s="449"/>
      <c r="AF1351" s="449"/>
      <c r="AG1351" s="449"/>
      <c r="AH1351" s="449"/>
    </row>
    <row r="1352" spans="1:34" x14ac:dyDescent="0.25">
      <c r="A1352" s="237"/>
      <c r="B1352" s="237"/>
      <c r="C1352" s="237"/>
      <c r="D1352" s="237"/>
      <c r="E1352" s="237"/>
      <c r="F1352" s="237"/>
      <c r="G1352" s="237"/>
      <c r="H1352" s="237"/>
      <c r="I1352" s="237"/>
      <c r="J1352" s="237"/>
      <c r="K1352" s="237"/>
      <c r="L1352" s="237"/>
      <c r="M1352" s="237"/>
      <c r="N1352" s="237"/>
      <c r="O1352" s="237"/>
      <c r="P1352" s="237"/>
      <c r="R1352" s="237"/>
      <c r="S1352" s="237"/>
      <c r="W1352" s="237"/>
      <c r="X1352" s="502"/>
      <c r="Y1352" s="507"/>
      <c r="Z1352" s="533"/>
      <c r="AA1352" s="533"/>
      <c r="AB1352" s="434"/>
      <c r="AC1352" s="533"/>
      <c r="AD1352" s="449"/>
      <c r="AE1352" s="449"/>
      <c r="AF1352" s="449"/>
      <c r="AG1352" s="449"/>
      <c r="AH1352" s="449"/>
    </row>
    <row r="1353" spans="1:34" x14ac:dyDescent="0.25">
      <c r="A1353" s="237"/>
      <c r="B1353" s="237"/>
      <c r="C1353" s="237"/>
      <c r="D1353" s="237"/>
      <c r="E1353" s="237"/>
      <c r="F1353" s="237"/>
      <c r="G1353" s="237"/>
      <c r="H1353" s="237"/>
      <c r="I1353" s="237"/>
      <c r="J1353" s="237"/>
      <c r="K1353" s="237"/>
      <c r="L1353" s="237"/>
      <c r="M1353" s="237"/>
      <c r="N1353" s="237"/>
      <c r="O1353" s="237"/>
      <c r="P1353" s="237"/>
      <c r="R1353" s="237"/>
      <c r="S1353" s="237"/>
      <c r="W1353" s="237"/>
      <c r="X1353" s="502"/>
      <c r="Y1353" s="507"/>
      <c r="Z1353" s="533"/>
      <c r="AA1353" s="533"/>
      <c r="AB1353" s="434"/>
      <c r="AC1353" s="533"/>
      <c r="AD1353" s="449"/>
      <c r="AE1353" s="449"/>
      <c r="AF1353" s="449"/>
      <c r="AG1353" s="449"/>
      <c r="AH1353" s="449"/>
    </row>
    <row r="1354" spans="1:34" x14ac:dyDescent="0.25">
      <c r="A1354" s="237"/>
      <c r="B1354" s="237"/>
      <c r="C1354" s="237"/>
      <c r="D1354" s="237"/>
      <c r="E1354" s="237"/>
      <c r="F1354" s="237"/>
      <c r="G1354" s="237"/>
      <c r="H1354" s="237"/>
      <c r="I1354" s="237"/>
      <c r="J1354" s="237"/>
      <c r="K1354" s="237"/>
      <c r="L1354" s="237"/>
      <c r="M1354" s="237"/>
      <c r="N1354" s="237"/>
      <c r="O1354" s="237"/>
      <c r="P1354" s="237"/>
      <c r="R1354" s="237"/>
      <c r="S1354" s="237"/>
      <c r="W1354" s="237"/>
      <c r="X1354" s="502"/>
      <c r="Y1354" s="507"/>
      <c r="Z1354" s="533"/>
      <c r="AA1354" s="533"/>
      <c r="AB1354" s="434"/>
      <c r="AC1354" s="533"/>
      <c r="AD1354" s="449"/>
      <c r="AE1354" s="449"/>
      <c r="AF1354" s="449"/>
      <c r="AG1354" s="449"/>
      <c r="AH1354" s="449"/>
    </row>
    <row r="1355" spans="1:34" x14ac:dyDescent="0.25">
      <c r="A1355" s="237"/>
      <c r="B1355" s="237"/>
      <c r="C1355" s="237"/>
      <c r="D1355" s="237"/>
      <c r="E1355" s="237"/>
      <c r="F1355" s="237"/>
      <c r="G1355" s="237"/>
      <c r="H1355" s="237"/>
      <c r="I1355" s="237"/>
      <c r="J1355" s="237"/>
      <c r="K1355" s="237"/>
      <c r="L1355" s="237"/>
      <c r="M1355" s="237"/>
      <c r="N1355" s="237"/>
      <c r="O1355" s="237"/>
      <c r="P1355" s="237"/>
      <c r="R1355" s="237"/>
      <c r="S1355" s="237"/>
      <c r="W1355" s="237"/>
      <c r="X1355" s="502"/>
      <c r="Y1355" s="507"/>
      <c r="Z1355" s="533"/>
      <c r="AA1355" s="533"/>
      <c r="AB1355" s="434"/>
      <c r="AC1355" s="533"/>
      <c r="AD1355" s="449"/>
      <c r="AE1355" s="449"/>
      <c r="AF1355" s="449"/>
      <c r="AG1355" s="449"/>
      <c r="AH1355" s="449"/>
    </row>
    <row r="1356" spans="1:34" x14ac:dyDescent="0.25">
      <c r="A1356" s="237"/>
      <c r="B1356" s="237"/>
      <c r="C1356" s="237"/>
      <c r="D1356" s="237"/>
      <c r="E1356" s="237"/>
      <c r="F1356" s="237"/>
      <c r="G1356" s="237"/>
      <c r="H1356" s="237"/>
      <c r="I1356" s="237"/>
      <c r="J1356" s="237"/>
      <c r="K1356" s="237"/>
      <c r="L1356" s="237"/>
      <c r="M1356" s="237"/>
      <c r="N1356" s="237"/>
      <c r="O1356" s="237"/>
      <c r="P1356" s="237"/>
      <c r="R1356" s="237"/>
      <c r="S1356" s="237"/>
      <c r="W1356" s="237"/>
      <c r="X1356" s="502"/>
      <c r="Y1356" s="507"/>
      <c r="Z1356" s="533"/>
      <c r="AA1356" s="533"/>
      <c r="AB1356" s="434"/>
      <c r="AC1356" s="533"/>
      <c r="AD1356" s="449"/>
      <c r="AE1356" s="449"/>
      <c r="AF1356" s="449"/>
      <c r="AG1356" s="449"/>
      <c r="AH1356" s="449"/>
    </row>
    <row r="1357" spans="1:34" x14ac:dyDescent="0.25">
      <c r="A1357" s="237"/>
      <c r="B1357" s="237"/>
      <c r="C1357" s="237"/>
      <c r="D1357" s="237"/>
      <c r="E1357" s="237"/>
      <c r="F1357" s="237"/>
      <c r="G1357" s="237"/>
      <c r="H1357" s="237"/>
      <c r="I1357" s="237"/>
      <c r="J1357" s="237"/>
      <c r="K1357" s="237"/>
      <c r="L1357" s="237"/>
      <c r="M1357" s="237"/>
      <c r="N1357" s="237"/>
      <c r="O1357" s="237"/>
      <c r="P1357" s="237"/>
      <c r="R1357" s="237"/>
      <c r="S1357" s="237"/>
      <c r="W1357" s="237"/>
      <c r="X1357" s="502"/>
      <c r="Y1357" s="507"/>
      <c r="Z1357" s="533"/>
      <c r="AA1357" s="533"/>
      <c r="AB1357" s="434"/>
      <c r="AC1357" s="533"/>
      <c r="AD1357" s="449"/>
      <c r="AE1357" s="449"/>
      <c r="AF1357" s="449"/>
      <c r="AG1357" s="449"/>
      <c r="AH1357" s="449"/>
    </row>
    <row r="1358" spans="1:34" x14ac:dyDescent="0.25">
      <c r="A1358" s="237"/>
      <c r="B1358" s="237"/>
      <c r="C1358" s="237"/>
      <c r="D1358" s="237"/>
      <c r="E1358" s="237"/>
      <c r="F1358" s="237"/>
      <c r="G1358" s="237"/>
      <c r="H1358" s="237"/>
      <c r="I1358" s="237"/>
      <c r="J1358" s="237"/>
      <c r="K1358" s="237"/>
      <c r="L1358" s="237"/>
      <c r="M1358" s="237"/>
      <c r="N1358" s="237"/>
      <c r="O1358" s="237"/>
      <c r="P1358" s="237"/>
      <c r="R1358" s="237"/>
      <c r="S1358" s="237"/>
      <c r="W1358" s="237"/>
      <c r="X1358" s="502"/>
      <c r="Y1358" s="507"/>
      <c r="Z1358" s="533"/>
      <c r="AA1358" s="533"/>
      <c r="AB1358" s="434"/>
      <c r="AC1358" s="533"/>
      <c r="AD1358" s="449"/>
      <c r="AE1358" s="449"/>
      <c r="AF1358" s="449"/>
      <c r="AG1358" s="449"/>
      <c r="AH1358" s="449"/>
    </row>
    <row r="1359" spans="1:34" x14ac:dyDescent="0.25">
      <c r="A1359" s="237"/>
      <c r="B1359" s="237"/>
      <c r="C1359" s="237"/>
      <c r="D1359" s="237"/>
      <c r="E1359" s="237"/>
      <c r="F1359" s="237"/>
      <c r="G1359" s="237"/>
      <c r="H1359" s="237"/>
      <c r="I1359" s="237"/>
      <c r="J1359" s="237"/>
      <c r="K1359" s="237"/>
      <c r="L1359" s="237"/>
      <c r="M1359" s="237"/>
      <c r="N1359" s="237"/>
      <c r="O1359" s="237"/>
      <c r="P1359" s="237"/>
      <c r="R1359" s="237"/>
      <c r="S1359" s="237"/>
      <c r="W1359" s="237"/>
      <c r="X1359" s="502"/>
      <c r="Y1359" s="507"/>
      <c r="Z1359" s="533"/>
      <c r="AA1359" s="533"/>
      <c r="AB1359" s="434"/>
      <c r="AC1359" s="533"/>
      <c r="AD1359" s="449"/>
      <c r="AE1359" s="449"/>
      <c r="AF1359" s="449"/>
      <c r="AG1359" s="449"/>
      <c r="AH1359" s="449"/>
    </row>
    <row r="1360" spans="1:34" x14ac:dyDescent="0.25">
      <c r="A1360" s="237"/>
      <c r="B1360" s="237"/>
      <c r="C1360" s="237"/>
      <c r="D1360" s="237"/>
      <c r="E1360" s="237"/>
      <c r="F1360" s="237"/>
      <c r="G1360" s="237"/>
      <c r="H1360" s="237"/>
      <c r="I1360" s="237"/>
      <c r="J1360" s="237"/>
      <c r="K1360" s="237"/>
      <c r="L1360" s="237"/>
      <c r="M1360" s="237"/>
      <c r="N1360" s="237"/>
      <c r="O1360" s="237"/>
      <c r="P1360" s="237"/>
      <c r="R1360" s="237"/>
      <c r="S1360" s="237"/>
      <c r="W1360" s="237"/>
      <c r="X1360" s="502"/>
      <c r="Y1360" s="507"/>
      <c r="Z1360" s="533"/>
      <c r="AA1360" s="533"/>
      <c r="AB1360" s="434"/>
      <c r="AC1360" s="533"/>
      <c r="AD1360" s="449"/>
      <c r="AE1360" s="449"/>
      <c r="AF1360" s="449"/>
      <c r="AG1360" s="449"/>
      <c r="AH1360" s="449"/>
    </row>
    <row r="1361" spans="1:34" x14ac:dyDescent="0.25">
      <c r="A1361" s="237"/>
      <c r="B1361" s="237"/>
      <c r="C1361" s="237"/>
      <c r="D1361" s="237"/>
      <c r="E1361" s="237"/>
      <c r="F1361" s="237"/>
      <c r="G1361" s="237"/>
      <c r="H1361" s="237"/>
      <c r="I1361" s="237"/>
      <c r="J1361" s="237"/>
      <c r="K1361" s="237"/>
      <c r="L1361" s="237"/>
      <c r="M1361" s="237"/>
      <c r="N1361" s="237"/>
      <c r="O1361" s="237"/>
      <c r="P1361" s="237"/>
      <c r="R1361" s="237"/>
      <c r="S1361" s="237"/>
      <c r="W1361" s="237"/>
      <c r="X1361" s="502"/>
      <c r="Y1361" s="507"/>
      <c r="Z1361" s="533"/>
      <c r="AA1361" s="533"/>
      <c r="AB1361" s="434"/>
      <c r="AC1361" s="533"/>
      <c r="AD1361" s="449"/>
      <c r="AE1361" s="449"/>
      <c r="AF1361" s="449"/>
      <c r="AG1361" s="449"/>
      <c r="AH1361" s="449"/>
    </row>
    <row r="1362" spans="1:34" x14ac:dyDescent="0.25">
      <c r="A1362" s="237"/>
      <c r="B1362" s="237"/>
      <c r="C1362" s="237"/>
      <c r="D1362" s="237"/>
      <c r="E1362" s="237"/>
      <c r="F1362" s="237"/>
      <c r="G1362" s="237"/>
      <c r="H1362" s="237"/>
      <c r="I1362" s="237"/>
      <c r="J1362" s="237"/>
      <c r="K1362" s="237"/>
      <c r="L1362" s="237"/>
      <c r="M1362" s="237"/>
      <c r="N1362" s="237"/>
      <c r="O1362" s="237"/>
      <c r="P1362" s="237"/>
      <c r="R1362" s="237"/>
      <c r="S1362" s="237"/>
      <c r="W1362" s="237"/>
      <c r="X1362" s="502"/>
      <c r="Y1362" s="507"/>
      <c r="Z1362" s="533"/>
      <c r="AA1362" s="533"/>
      <c r="AB1362" s="434"/>
      <c r="AC1362" s="533"/>
      <c r="AD1362" s="449"/>
      <c r="AE1362" s="449"/>
      <c r="AF1362" s="449"/>
      <c r="AG1362" s="449"/>
      <c r="AH1362" s="449"/>
    </row>
    <row r="1363" spans="1:34" x14ac:dyDescent="0.25">
      <c r="A1363" s="237"/>
      <c r="B1363" s="237"/>
      <c r="C1363" s="237"/>
      <c r="D1363" s="237"/>
      <c r="E1363" s="237"/>
      <c r="F1363" s="237"/>
      <c r="G1363" s="237"/>
      <c r="H1363" s="237"/>
      <c r="I1363" s="237"/>
      <c r="J1363" s="237"/>
      <c r="K1363" s="237"/>
      <c r="L1363" s="237"/>
      <c r="M1363" s="237"/>
      <c r="N1363" s="237"/>
      <c r="O1363" s="237"/>
      <c r="P1363" s="237"/>
      <c r="R1363" s="237"/>
      <c r="S1363" s="237"/>
      <c r="W1363" s="237"/>
      <c r="X1363" s="502"/>
      <c r="Y1363" s="507"/>
      <c r="Z1363" s="533"/>
      <c r="AA1363" s="533"/>
      <c r="AB1363" s="434"/>
      <c r="AC1363" s="533"/>
      <c r="AD1363" s="449"/>
      <c r="AE1363" s="449"/>
      <c r="AF1363" s="449"/>
      <c r="AG1363" s="449"/>
      <c r="AH1363" s="449"/>
    </row>
    <row r="1364" spans="1:34" x14ac:dyDescent="0.25">
      <c r="A1364" s="237"/>
      <c r="B1364" s="237"/>
      <c r="C1364" s="237"/>
      <c r="D1364" s="237"/>
      <c r="E1364" s="237"/>
      <c r="F1364" s="237"/>
      <c r="G1364" s="237"/>
      <c r="H1364" s="237"/>
      <c r="I1364" s="237"/>
      <c r="J1364" s="237"/>
      <c r="K1364" s="237"/>
      <c r="L1364" s="237"/>
      <c r="M1364" s="237"/>
      <c r="N1364" s="237"/>
      <c r="O1364" s="237"/>
      <c r="P1364" s="237"/>
      <c r="R1364" s="237"/>
      <c r="S1364" s="237"/>
      <c r="W1364" s="237"/>
      <c r="X1364" s="502"/>
      <c r="Y1364" s="507"/>
      <c r="Z1364" s="533"/>
      <c r="AA1364" s="533"/>
      <c r="AB1364" s="434"/>
      <c r="AC1364" s="533"/>
      <c r="AD1364" s="449"/>
      <c r="AE1364" s="449"/>
      <c r="AF1364" s="449"/>
      <c r="AG1364" s="449"/>
      <c r="AH1364" s="449"/>
    </row>
    <row r="1365" spans="1:34" x14ac:dyDescent="0.25">
      <c r="A1365" s="237"/>
      <c r="B1365" s="237"/>
      <c r="C1365" s="237"/>
      <c r="D1365" s="237"/>
      <c r="E1365" s="237"/>
      <c r="F1365" s="237"/>
      <c r="G1365" s="237"/>
      <c r="H1365" s="237"/>
      <c r="I1365" s="237"/>
      <c r="J1365" s="237"/>
      <c r="K1365" s="237"/>
      <c r="L1365" s="237"/>
      <c r="M1365" s="237"/>
      <c r="N1365" s="237"/>
      <c r="O1365" s="237"/>
      <c r="P1365" s="237"/>
      <c r="R1365" s="237"/>
      <c r="S1365" s="237"/>
      <c r="W1365" s="237"/>
      <c r="X1365" s="502"/>
      <c r="Y1365" s="507"/>
      <c r="Z1365" s="533"/>
      <c r="AA1365" s="533"/>
      <c r="AB1365" s="434"/>
      <c r="AC1365" s="533"/>
      <c r="AD1365" s="449"/>
      <c r="AE1365" s="449"/>
      <c r="AF1365" s="449"/>
      <c r="AG1365" s="449"/>
      <c r="AH1365" s="449"/>
    </row>
    <row r="1366" spans="1:34" x14ac:dyDescent="0.25">
      <c r="A1366" s="237"/>
      <c r="B1366" s="237"/>
      <c r="C1366" s="237"/>
      <c r="D1366" s="237"/>
      <c r="E1366" s="237"/>
      <c r="F1366" s="237"/>
      <c r="G1366" s="237"/>
      <c r="H1366" s="237"/>
      <c r="I1366" s="237"/>
      <c r="J1366" s="237"/>
      <c r="K1366" s="237"/>
      <c r="L1366" s="237"/>
      <c r="M1366" s="237"/>
      <c r="N1366" s="237"/>
      <c r="O1366" s="237"/>
      <c r="P1366" s="237"/>
      <c r="R1366" s="237"/>
      <c r="S1366" s="237"/>
      <c r="W1366" s="237"/>
      <c r="X1366" s="502"/>
      <c r="Y1366" s="507"/>
      <c r="Z1366" s="533"/>
      <c r="AA1366" s="533"/>
      <c r="AB1366" s="434"/>
      <c r="AC1366" s="533"/>
      <c r="AD1366" s="449"/>
      <c r="AE1366" s="449"/>
      <c r="AF1366" s="449"/>
      <c r="AG1366" s="449"/>
      <c r="AH1366" s="449"/>
    </row>
    <row r="1367" spans="1:34" x14ac:dyDescent="0.25">
      <c r="A1367" s="237"/>
      <c r="B1367" s="237"/>
      <c r="C1367" s="237"/>
      <c r="D1367" s="237"/>
      <c r="E1367" s="237"/>
      <c r="F1367" s="237"/>
      <c r="G1367" s="237"/>
      <c r="H1367" s="237"/>
      <c r="I1367" s="237"/>
      <c r="J1367" s="237"/>
      <c r="K1367" s="237"/>
      <c r="L1367" s="237"/>
      <c r="M1367" s="237"/>
      <c r="N1367" s="237"/>
      <c r="O1367" s="237"/>
      <c r="P1367" s="237"/>
      <c r="R1367" s="237"/>
      <c r="S1367" s="237"/>
      <c r="W1367" s="237"/>
      <c r="X1367" s="502"/>
      <c r="Y1367" s="507"/>
      <c r="Z1367" s="533"/>
      <c r="AA1367" s="533"/>
      <c r="AB1367" s="434"/>
      <c r="AC1367" s="533"/>
      <c r="AD1367" s="449"/>
      <c r="AE1367" s="449"/>
      <c r="AF1367" s="449"/>
      <c r="AG1367" s="449"/>
      <c r="AH1367" s="449"/>
    </row>
    <row r="1368" spans="1:34" x14ac:dyDescent="0.25">
      <c r="A1368" s="237"/>
      <c r="B1368" s="237"/>
      <c r="C1368" s="237"/>
      <c r="D1368" s="237"/>
      <c r="E1368" s="237"/>
      <c r="F1368" s="237"/>
      <c r="G1368" s="237"/>
      <c r="H1368" s="237"/>
      <c r="I1368" s="237"/>
      <c r="J1368" s="237"/>
      <c r="K1368" s="237"/>
      <c r="L1368" s="237"/>
      <c r="M1368" s="237"/>
      <c r="N1368" s="237"/>
      <c r="O1368" s="237"/>
      <c r="P1368" s="237"/>
      <c r="R1368" s="237"/>
      <c r="S1368" s="237"/>
      <c r="W1368" s="237"/>
      <c r="X1368" s="502"/>
      <c r="Y1368" s="507"/>
      <c r="Z1368" s="533"/>
      <c r="AA1368" s="533"/>
      <c r="AB1368" s="434"/>
      <c r="AC1368" s="533"/>
      <c r="AD1368" s="449"/>
      <c r="AE1368" s="449"/>
      <c r="AF1368" s="449"/>
      <c r="AG1368" s="449"/>
      <c r="AH1368" s="449"/>
    </row>
    <row r="1369" spans="1:34" x14ac:dyDescent="0.25">
      <c r="A1369" s="237"/>
      <c r="B1369" s="237"/>
      <c r="C1369" s="237"/>
      <c r="D1369" s="237"/>
      <c r="E1369" s="237"/>
      <c r="F1369" s="237"/>
      <c r="G1369" s="237"/>
      <c r="H1369" s="237"/>
      <c r="I1369" s="237"/>
      <c r="J1369" s="237"/>
      <c r="K1369" s="237"/>
      <c r="L1369" s="237"/>
      <c r="M1369" s="237"/>
      <c r="N1369" s="237"/>
      <c r="O1369" s="237"/>
      <c r="P1369" s="237"/>
      <c r="R1369" s="237"/>
      <c r="S1369" s="237"/>
      <c r="W1369" s="237"/>
      <c r="X1369" s="502"/>
      <c r="Y1369" s="507"/>
      <c r="Z1369" s="533"/>
      <c r="AA1369" s="533"/>
      <c r="AB1369" s="434"/>
      <c r="AC1369" s="533"/>
      <c r="AD1369" s="449"/>
      <c r="AE1369" s="449"/>
      <c r="AF1369" s="449"/>
      <c r="AG1369" s="449"/>
      <c r="AH1369" s="449"/>
    </row>
    <row r="1370" spans="1:34" x14ac:dyDescent="0.25">
      <c r="A1370" s="237"/>
      <c r="B1370" s="237"/>
      <c r="C1370" s="237"/>
      <c r="D1370" s="237"/>
      <c r="E1370" s="237"/>
      <c r="F1370" s="237"/>
      <c r="G1370" s="237"/>
      <c r="H1370" s="237"/>
      <c r="I1370" s="237"/>
      <c r="J1370" s="237"/>
      <c r="K1370" s="237"/>
      <c r="L1370" s="237"/>
      <c r="M1370" s="237"/>
      <c r="N1370" s="237"/>
      <c r="O1370" s="237"/>
      <c r="P1370" s="237"/>
      <c r="R1370" s="237"/>
      <c r="S1370" s="237"/>
      <c r="W1370" s="237"/>
      <c r="X1370" s="502"/>
      <c r="Y1370" s="507"/>
      <c r="Z1370" s="533"/>
      <c r="AA1370" s="533"/>
      <c r="AB1370" s="434"/>
      <c r="AC1370" s="533"/>
      <c r="AD1370" s="449"/>
      <c r="AE1370" s="449"/>
      <c r="AF1370" s="449"/>
      <c r="AG1370" s="449"/>
      <c r="AH1370" s="449"/>
    </row>
    <row r="1371" spans="1:34" x14ac:dyDescent="0.25">
      <c r="A1371" s="237"/>
      <c r="B1371" s="237"/>
      <c r="C1371" s="237"/>
      <c r="D1371" s="237"/>
      <c r="E1371" s="237"/>
      <c r="F1371" s="237"/>
      <c r="G1371" s="237"/>
      <c r="H1371" s="237"/>
      <c r="I1371" s="237"/>
      <c r="J1371" s="237"/>
      <c r="K1371" s="237"/>
      <c r="L1371" s="237"/>
      <c r="M1371" s="237"/>
      <c r="N1371" s="237"/>
      <c r="O1371" s="237"/>
      <c r="P1371" s="237"/>
      <c r="R1371" s="237"/>
      <c r="S1371" s="237"/>
      <c r="W1371" s="237"/>
      <c r="X1371" s="502"/>
      <c r="Y1371" s="507"/>
      <c r="Z1371" s="533"/>
      <c r="AA1371" s="533"/>
      <c r="AB1371" s="434"/>
      <c r="AC1371" s="533"/>
      <c r="AD1371" s="449"/>
      <c r="AE1371" s="449"/>
      <c r="AF1371" s="449"/>
      <c r="AG1371" s="449"/>
      <c r="AH1371" s="449"/>
    </row>
    <row r="1372" spans="1:34" x14ac:dyDescent="0.25">
      <c r="A1372" s="237"/>
      <c r="B1372" s="237"/>
      <c r="C1372" s="237"/>
      <c r="D1372" s="237"/>
      <c r="E1372" s="237"/>
      <c r="F1372" s="237"/>
      <c r="G1372" s="237"/>
      <c r="H1372" s="237"/>
      <c r="I1372" s="237"/>
      <c r="J1372" s="237"/>
      <c r="K1372" s="237"/>
      <c r="L1372" s="237"/>
      <c r="M1372" s="237"/>
      <c r="N1372" s="237"/>
      <c r="O1372" s="237"/>
      <c r="P1372" s="237"/>
      <c r="R1372" s="237"/>
      <c r="S1372" s="237"/>
      <c r="W1372" s="237"/>
      <c r="X1372" s="502"/>
      <c r="Y1372" s="507"/>
      <c r="Z1372" s="533"/>
      <c r="AA1372" s="533"/>
      <c r="AB1372" s="434"/>
      <c r="AC1372" s="533"/>
      <c r="AD1372" s="449"/>
      <c r="AE1372" s="449"/>
      <c r="AF1372" s="449"/>
      <c r="AG1372" s="449"/>
      <c r="AH1372" s="449"/>
    </row>
    <row r="1373" spans="1:34" x14ac:dyDescent="0.25">
      <c r="A1373" s="237"/>
      <c r="B1373" s="237"/>
      <c r="C1373" s="237"/>
      <c r="D1373" s="237"/>
      <c r="E1373" s="237"/>
      <c r="F1373" s="237"/>
      <c r="G1373" s="237"/>
      <c r="H1373" s="237"/>
      <c r="I1373" s="237"/>
      <c r="J1373" s="237"/>
      <c r="K1373" s="237"/>
      <c r="L1373" s="237"/>
      <c r="M1373" s="237"/>
      <c r="N1373" s="237"/>
      <c r="O1373" s="237"/>
      <c r="P1373" s="237"/>
      <c r="R1373" s="237"/>
      <c r="S1373" s="237"/>
      <c r="W1373" s="237"/>
      <c r="X1373" s="502"/>
      <c r="Y1373" s="507"/>
      <c r="Z1373" s="533"/>
      <c r="AA1373" s="533"/>
      <c r="AB1373" s="434"/>
      <c r="AC1373" s="533"/>
      <c r="AD1373" s="449"/>
      <c r="AE1373" s="449"/>
      <c r="AF1373" s="449"/>
      <c r="AG1373" s="449"/>
      <c r="AH1373" s="449"/>
    </row>
    <row r="1374" spans="1:34" x14ac:dyDescent="0.25">
      <c r="A1374" s="237"/>
      <c r="B1374" s="237"/>
      <c r="C1374" s="237"/>
      <c r="D1374" s="237"/>
      <c r="E1374" s="237"/>
      <c r="F1374" s="237"/>
      <c r="G1374" s="237"/>
      <c r="H1374" s="237"/>
      <c r="I1374" s="237"/>
      <c r="J1374" s="237"/>
      <c r="K1374" s="237"/>
      <c r="L1374" s="237"/>
      <c r="M1374" s="237"/>
      <c r="N1374" s="237"/>
      <c r="O1374" s="237"/>
      <c r="P1374" s="237"/>
      <c r="R1374" s="237"/>
      <c r="S1374" s="237"/>
      <c r="W1374" s="237"/>
      <c r="X1374" s="502"/>
      <c r="Y1374" s="507"/>
      <c r="Z1374" s="533"/>
      <c r="AA1374" s="533"/>
      <c r="AB1374" s="434"/>
      <c r="AC1374" s="533"/>
      <c r="AD1374" s="449"/>
      <c r="AE1374" s="449"/>
      <c r="AF1374" s="449"/>
      <c r="AG1374" s="449"/>
      <c r="AH1374" s="449"/>
    </row>
    <row r="1375" spans="1:34" x14ac:dyDescent="0.25">
      <c r="A1375" s="237"/>
      <c r="B1375" s="237"/>
      <c r="C1375" s="237"/>
      <c r="D1375" s="237"/>
      <c r="E1375" s="237"/>
      <c r="F1375" s="237"/>
      <c r="G1375" s="237"/>
      <c r="H1375" s="237"/>
      <c r="I1375" s="237"/>
      <c r="J1375" s="237"/>
      <c r="K1375" s="237"/>
      <c r="L1375" s="237"/>
      <c r="M1375" s="237"/>
      <c r="N1375" s="237"/>
      <c r="O1375" s="237"/>
      <c r="P1375" s="237"/>
      <c r="R1375" s="237"/>
      <c r="S1375" s="237"/>
      <c r="W1375" s="237"/>
      <c r="X1375" s="502"/>
      <c r="Y1375" s="507"/>
      <c r="Z1375" s="533"/>
      <c r="AA1375" s="533"/>
      <c r="AB1375" s="434"/>
      <c r="AC1375" s="533"/>
      <c r="AD1375" s="449"/>
      <c r="AE1375" s="449"/>
      <c r="AF1375" s="449"/>
      <c r="AG1375" s="449"/>
      <c r="AH1375" s="449"/>
    </row>
    <row r="1376" spans="1:34" x14ac:dyDescent="0.25">
      <c r="A1376" s="237"/>
      <c r="B1376" s="237"/>
      <c r="C1376" s="237"/>
      <c r="D1376" s="237"/>
      <c r="E1376" s="237"/>
      <c r="F1376" s="237"/>
      <c r="G1376" s="237"/>
      <c r="H1376" s="237"/>
      <c r="I1376" s="237"/>
      <c r="J1376" s="237"/>
      <c r="K1376" s="237"/>
      <c r="L1376" s="237"/>
      <c r="M1376" s="237"/>
      <c r="N1376" s="237"/>
      <c r="O1376" s="237"/>
      <c r="P1376" s="237"/>
      <c r="R1376" s="237"/>
      <c r="S1376" s="237"/>
      <c r="W1376" s="237"/>
      <c r="X1376" s="502"/>
      <c r="Y1376" s="507"/>
      <c r="Z1376" s="533"/>
      <c r="AA1376" s="533"/>
      <c r="AB1376" s="434"/>
      <c r="AC1376" s="533"/>
      <c r="AD1376" s="449"/>
      <c r="AE1376" s="449"/>
      <c r="AF1376" s="449"/>
      <c r="AG1376" s="449"/>
      <c r="AH1376" s="449"/>
    </row>
    <row r="1377" spans="1:34" x14ac:dyDescent="0.25">
      <c r="A1377" s="237"/>
      <c r="B1377" s="237"/>
      <c r="C1377" s="237"/>
      <c r="D1377" s="237"/>
      <c r="E1377" s="237"/>
      <c r="F1377" s="237"/>
      <c r="G1377" s="237"/>
      <c r="H1377" s="237"/>
      <c r="I1377" s="237"/>
      <c r="J1377" s="237"/>
      <c r="K1377" s="237"/>
      <c r="L1377" s="237"/>
      <c r="M1377" s="237"/>
      <c r="N1377" s="237"/>
      <c r="O1377" s="237"/>
      <c r="P1377" s="237"/>
      <c r="R1377" s="237"/>
      <c r="S1377" s="237"/>
      <c r="W1377" s="237"/>
      <c r="X1377" s="502"/>
      <c r="Y1377" s="507"/>
      <c r="Z1377" s="533"/>
      <c r="AA1377" s="533"/>
      <c r="AB1377" s="434"/>
      <c r="AC1377" s="533"/>
      <c r="AD1377" s="449"/>
      <c r="AE1377" s="449"/>
      <c r="AF1377" s="449"/>
      <c r="AG1377" s="449"/>
      <c r="AH1377" s="449"/>
    </row>
    <row r="1378" spans="1:34" x14ac:dyDescent="0.25">
      <c r="A1378" s="237"/>
      <c r="B1378" s="237"/>
      <c r="C1378" s="237"/>
      <c r="D1378" s="237"/>
      <c r="E1378" s="237"/>
      <c r="F1378" s="237"/>
      <c r="G1378" s="237"/>
      <c r="H1378" s="237"/>
      <c r="I1378" s="237"/>
      <c r="J1378" s="237"/>
      <c r="K1378" s="237"/>
      <c r="L1378" s="237"/>
      <c r="M1378" s="237"/>
      <c r="N1378" s="237"/>
      <c r="O1378" s="237"/>
      <c r="P1378" s="237"/>
      <c r="R1378" s="237"/>
      <c r="S1378" s="237"/>
      <c r="W1378" s="237"/>
      <c r="X1378" s="502"/>
      <c r="Y1378" s="507"/>
      <c r="Z1378" s="533"/>
      <c r="AA1378" s="533"/>
      <c r="AB1378" s="434"/>
      <c r="AC1378" s="533"/>
      <c r="AD1378" s="449"/>
      <c r="AE1378" s="449"/>
      <c r="AF1378" s="449"/>
      <c r="AG1378" s="449"/>
      <c r="AH1378" s="449"/>
    </row>
    <row r="1379" spans="1:34" x14ac:dyDescent="0.25">
      <c r="A1379" s="237"/>
      <c r="B1379" s="237"/>
      <c r="C1379" s="237"/>
      <c r="D1379" s="237"/>
      <c r="E1379" s="237"/>
      <c r="F1379" s="237"/>
      <c r="G1379" s="237"/>
      <c r="H1379" s="237"/>
      <c r="I1379" s="237"/>
      <c r="J1379" s="237"/>
      <c r="K1379" s="237"/>
      <c r="L1379" s="237"/>
      <c r="M1379" s="237"/>
      <c r="N1379" s="237"/>
      <c r="O1379" s="237"/>
      <c r="P1379" s="237"/>
      <c r="R1379" s="237"/>
      <c r="S1379" s="237"/>
      <c r="W1379" s="237"/>
      <c r="X1379" s="502"/>
      <c r="Y1379" s="507"/>
      <c r="Z1379" s="533"/>
      <c r="AA1379" s="533"/>
      <c r="AB1379" s="434"/>
      <c r="AC1379" s="533"/>
      <c r="AD1379" s="449"/>
      <c r="AE1379" s="449"/>
      <c r="AF1379" s="449"/>
      <c r="AG1379" s="449"/>
      <c r="AH1379" s="449"/>
    </row>
    <row r="1380" spans="1:34" x14ac:dyDescent="0.25">
      <c r="A1380" s="237"/>
      <c r="B1380" s="237"/>
      <c r="C1380" s="237"/>
      <c r="D1380" s="237"/>
      <c r="E1380" s="237"/>
      <c r="F1380" s="237"/>
      <c r="G1380" s="237"/>
      <c r="H1380" s="237"/>
      <c r="I1380" s="237"/>
      <c r="J1380" s="237"/>
      <c r="K1380" s="237"/>
      <c r="L1380" s="237"/>
      <c r="M1380" s="237"/>
      <c r="N1380" s="237"/>
      <c r="O1380" s="237"/>
      <c r="P1380" s="237"/>
      <c r="R1380" s="237"/>
      <c r="S1380" s="237"/>
      <c r="W1380" s="237"/>
      <c r="X1380" s="502"/>
      <c r="Y1380" s="507"/>
      <c r="Z1380" s="533"/>
      <c r="AA1380" s="533"/>
      <c r="AB1380" s="434"/>
      <c r="AC1380" s="533"/>
      <c r="AD1380" s="449"/>
      <c r="AE1380" s="449"/>
      <c r="AF1380" s="449"/>
      <c r="AG1380" s="449"/>
      <c r="AH1380" s="449"/>
    </row>
    <row r="1381" spans="1:34" x14ac:dyDescent="0.25">
      <c r="A1381" s="237"/>
      <c r="B1381" s="237"/>
      <c r="C1381" s="237"/>
      <c r="D1381" s="237"/>
      <c r="E1381" s="237"/>
      <c r="F1381" s="237"/>
      <c r="G1381" s="237"/>
      <c r="H1381" s="237"/>
      <c r="I1381" s="237"/>
      <c r="J1381" s="237"/>
      <c r="K1381" s="237"/>
      <c r="L1381" s="237"/>
      <c r="M1381" s="237"/>
      <c r="N1381" s="237"/>
      <c r="O1381" s="237"/>
      <c r="P1381" s="237"/>
      <c r="R1381" s="237"/>
      <c r="S1381" s="237"/>
      <c r="W1381" s="237"/>
      <c r="X1381" s="502"/>
      <c r="Y1381" s="507"/>
      <c r="Z1381" s="533"/>
      <c r="AA1381" s="533"/>
      <c r="AB1381" s="434"/>
      <c r="AC1381" s="533"/>
      <c r="AD1381" s="449"/>
      <c r="AE1381" s="449"/>
      <c r="AF1381" s="449"/>
      <c r="AG1381" s="449"/>
      <c r="AH1381" s="449"/>
    </row>
    <row r="1382" spans="1:34" x14ac:dyDescent="0.25">
      <c r="A1382" s="237"/>
      <c r="B1382" s="237"/>
      <c r="C1382" s="237"/>
      <c r="D1382" s="237"/>
      <c r="E1382" s="237"/>
      <c r="F1382" s="237"/>
      <c r="G1382" s="237"/>
      <c r="H1382" s="237"/>
      <c r="I1382" s="237"/>
      <c r="J1382" s="237"/>
      <c r="K1382" s="237"/>
      <c r="L1382" s="237"/>
      <c r="M1382" s="237"/>
      <c r="N1382" s="237"/>
      <c r="O1382" s="237"/>
      <c r="P1382" s="237"/>
      <c r="R1382" s="237"/>
      <c r="S1382" s="237"/>
      <c r="W1382" s="237"/>
      <c r="X1382" s="502"/>
      <c r="Y1382" s="507"/>
      <c r="Z1382" s="533"/>
      <c r="AA1382" s="533"/>
      <c r="AB1382" s="434"/>
      <c r="AC1382" s="533"/>
      <c r="AD1382" s="449"/>
      <c r="AE1382" s="449"/>
      <c r="AF1382" s="449"/>
      <c r="AG1382" s="449"/>
      <c r="AH1382" s="449"/>
    </row>
    <row r="1383" spans="1:34" x14ac:dyDescent="0.25">
      <c r="A1383" s="237"/>
      <c r="B1383" s="237"/>
      <c r="C1383" s="237"/>
      <c r="D1383" s="237"/>
      <c r="E1383" s="237"/>
      <c r="F1383" s="237"/>
      <c r="G1383" s="237"/>
      <c r="H1383" s="237"/>
      <c r="I1383" s="237"/>
      <c r="J1383" s="237"/>
      <c r="K1383" s="237"/>
      <c r="L1383" s="237"/>
      <c r="M1383" s="237"/>
      <c r="N1383" s="237"/>
      <c r="O1383" s="237"/>
      <c r="P1383" s="237"/>
      <c r="R1383" s="237"/>
      <c r="S1383" s="237"/>
      <c r="W1383" s="237"/>
      <c r="X1383" s="502"/>
      <c r="Y1383" s="507"/>
      <c r="Z1383" s="533"/>
      <c r="AA1383" s="533"/>
      <c r="AB1383" s="434"/>
      <c r="AC1383" s="533"/>
      <c r="AD1383" s="449"/>
      <c r="AE1383" s="449"/>
      <c r="AF1383" s="449"/>
      <c r="AG1383" s="449"/>
      <c r="AH1383" s="449"/>
    </row>
    <row r="1384" spans="1:34" x14ac:dyDescent="0.25">
      <c r="A1384" s="237"/>
      <c r="B1384" s="237"/>
      <c r="C1384" s="237"/>
      <c r="D1384" s="237"/>
      <c r="E1384" s="237"/>
      <c r="F1384" s="237"/>
      <c r="G1384" s="237"/>
      <c r="H1384" s="237"/>
      <c r="I1384" s="237"/>
      <c r="J1384" s="237"/>
      <c r="K1384" s="237"/>
      <c r="L1384" s="237"/>
      <c r="M1384" s="237"/>
      <c r="N1384" s="237"/>
      <c r="O1384" s="237"/>
      <c r="P1384" s="237"/>
      <c r="R1384" s="237"/>
      <c r="S1384" s="237"/>
      <c r="W1384" s="237"/>
      <c r="X1384" s="502"/>
      <c r="Y1384" s="507"/>
      <c r="Z1384" s="533"/>
      <c r="AA1384" s="533"/>
      <c r="AB1384" s="434"/>
      <c r="AC1384" s="533"/>
      <c r="AD1384" s="449"/>
      <c r="AE1384" s="449"/>
      <c r="AF1384" s="449"/>
      <c r="AG1384" s="449"/>
      <c r="AH1384" s="449"/>
    </row>
    <row r="1385" spans="1:34" x14ac:dyDescent="0.25">
      <c r="A1385" s="237"/>
      <c r="B1385" s="237"/>
      <c r="C1385" s="237"/>
      <c r="D1385" s="237"/>
      <c r="E1385" s="237"/>
      <c r="F1385" s="237"/>
      <c r="G1385" s="237"/>
      <c r="H1385" s="237"/>
      <c r="I1385" s="237"/>
      <c r="J1385" s="237"/>
      <c r="K1385" s="237"/>
      <c r="L1385" s="237"/>
      <c r="M1385" s="237"/>
      <c r="N1385" s="237"/>
      <c r="O1385" s="237"/>
      <c r="P1385" s="237"/>
      <c r="R1385" s="237"/>
      <c r="S1385" s="237"/>
      <c r="W1385" s="237"/>
      <c r="X1385" s="502"/>
      <c r="Y1385" s="507"/>
      <c r="Z1385" s="533"/>
      <c r="AA1385" s="533"/>
      <c r="AB1385" s="434"/>
      <c r="AC1385" s="533"/>
      <c r="AD1385" s="449"/>
      <c r="AE1385" s="449"/>
      <c r="AF1385" s="449"/>
      <c r="AG1385" s="449"/>
      <c r="AH1385" s="449"/>
    </row>
    <row r="1386" spans="1:34" x14ac:dyDescent="0.25">
      <c r="A1386" s="237"/>
      <c r="B1386" s="237"/>
      <c r="C1386" s="237"/>
      <c r="D1386" s="237"/>
      <c r="E1386" s="237"/>
      <c r="F1386" s="237"/>
      <c r="G1386" s="237"/>
      <c r="H1386" s="237"/>
      <c r="I1386" s="237"/>
      <c r="J1386" s="237"/>
      <c r="K1386" s="237"/>
      <c r="L1386" s="237"/>
      <c r="M1386" s="237"/>
      <c r="N1386" s="237"/>
      <c r="O1386" s="237"/>
      <c r="P1386" s="237"/>
      <c r="R1386" s="237"/>
      <c r="S1386" s="237"/>
      <c r="W1386" s="237"/>
      <c r="X1386" s="502"/>
      <c r="Y1386" s="507"/>
      <c r="Z1386" s="533"/>
      <c r="AA1386" s="533"/>
      <c r="AB1386" s="434"/>
      <c r="AC1386" s="533"/>
      <c r="AD1386" s="449"/>
      <c r="AE1386" s="449"/>
      <c r="AF1386" s="449"/>
      <c r="AG1386" s="449"/>
      <c r="AH1386" s="449"/>
    </row>
    <row r="1387" spans="1:34" x14ac:dyDescent="0.25">
      <c r="A1387" s="237"/>
      <c r="B1387" s="237"/>
      <c r="C1387" s="237"/>
      <c r="D1387" s="237"/>
      <c r="E1387" s="237"/>
      <c r="F1387" s="237"/>
      <c r="G1387" s="237"/>
      <c r="H1387" s="237"/>
      <c r="I1387" s="237"/>
      <c r="J1387" s="237"/>
      <c r="K1387" s="237"/>
      <c r="L1387" s="237"/>
      <c r="M1387" s="237"/>
      <c r="N1387" s="237"/>
      <c r="O1387" s="237"/>
      <c r="P1387" s="237"/>
      <c r="R1387" s="237"/>
      <c r="S1387" s="237"/>
      <c r="W1387" s="237"/>
      <c r="X1387" s="502"/>
      <c r="Y1387" s="507"/>
      <c r="Z1387" s="533"/>
      <c r="AA1387" s="533"/>
      <c r="AB1387" s="434"/>
      <c r="AC1387" s="533"/>
      <c r="AD1387" s="449"/>
      <c r="AE1387" s="449"/>
      <c r="AF1387" s="449"/>
      <c r="AG1387" s="449"/>
      <c r="AH1387" s="449"/>
    </row>
    <row r="1388" spans="1:34" x14ac:dyDescent="0.25">
      <c r="A1388" s="237"/>
      <c r="B1388" s="237"/>
      <c r="C1388" s="237"/>
      <c r="D1388" s="237"/>
      <c r="E1388" s="237"/>
      <c r="F1388" s="237"/>
      <c r="G1388" s="237"/>
      <c r="H1388" s="237"/>
      <c r="I1388" s="237"/>
      <c r="J1388" s="237"/>
      <c r="K1388" s="237"/>
      <c r="L1388" s="237"/>
      <c r="M1388" s="237"/>
      <c r="N1388" s="237"/>
      <c r="O1388" s="237"/>
      <c r="P1388" s="237"/>
      <c r="R1388" s="237"/>
      <c r="S1388" s="237"/>
      <c r="W1388" s="237"/>
      <c r="X1388" s="502"/>
      <c r="Y1388" s="507"/>
      <c r="Z1388" s="533"/>
      <c r="AA1388" s="533"/>
      <c r="AB1388" s="434"/>
      <c r="AC1388" s="533"/>
      <c r="AD1388" s="449"/>
      <c r="AE1388" s="449"/>
      <c r="AF1388" s="449"/>
      <c r="AG1388" s="449"/>
      <c r="AH1388" s="449"/>
    </row>
    <row r="1389" spans="1:34" x14ac:dyDescent="0.25">
      <c r="A1389" s="237"/>
      <c r="B1389" s="237"/>
      <c r="C1389" s="237"/>
      <c r="D1389" s="237"/>
      <c r="E1389" s="237"/>
      <c r="F1389" s="237"/>
      <c r="G1389" s="237"/>
      <c r="H1389" s="237"/>
      <c r="I1389" s="237"/>
      <c r="J1389" s="237"/>
      <c r="K1389" s="237"/>
      <c r="L1389" s="237"/>
      <c r="M1389" s="237"/>
      <c r="N1389" s="237"/>
      <c r="O1389" s="237"/>
      <c r="P1389" s="237"/>
      <c r="R1389" s="237"/>
      <c r="S1389" s="237"/>
      <c r="W1389" s="237"/>
      <c r="X1389" s="502"/>
      <c r="Y1389" s="507"/>
      <c r="Z1389" s="533"/>
      <c r="AA1389" s="533"/>
      <c r="AB1389" s="434"/>
      <c r="AC1389" s="533"/>
      <c r="AD1389" s="449"/>
      <c r="AE1389" s="449"/>
      <c r="AF1389" s="449"/>
      <c r="AG1389" s="449"/>
      <c r="AH1389" s="449"/>
    </row>
    <row r="1390" spans="1:34" x14ac:dyDescent="0.25">
      <c r="X1390" s="502"/>
      <c r="Y1390" s="507"/>
      <c r="Z1390" s="533"/>
      <c r="AA1390" s="533"/>
      <c r="AB1390" s="434"/>
      <c r="AC1390" s="533"/>
      <c r="AD1390" s="449"/>
      <c r="AE1390" s="449"/>
      <c r="AF1390" s="449"/>
      <c r="AG1390" s="449"/>
      <c r="AH1390" s="449"/>
    </row>
    <row r="1391" spans="1:34" x14ac:dyDescent="0.25">
      <c r="X1391" s="502"/>
      <c r="Y1391" s="507"/>
      <c r="Z1391" s="533"/>
      <c r="AA1391" s="533"/>
      <c r="AB1391" s="434"/>
      <c r="AC1391" s="533"/>
      <c r="AD1391" s="449"/>
      <c r="AE1391" s="449"/>
      <c r="AF1391" s="449"/>
      <c r="AG1391" s="449"/>
      <c r="AH1391" s="449"/>
    </row>
    <row r="1392" spans="1:34" x14ac:dyDescent="0.25">
      <c r="X1392" s="502"/>
      <c r="Y1392" s="507"/>
      <c r="Z1392" s="533"/>
      <c r="AA1392" s="533"/>
      <c r="AB1392" s="434"/>
      <c r="AC1392" s="533"/>
      <c r="AD1392" s="449"/>
      <c r="AE1392" s="449"/>
      <c r="AF1392" s="449"/>
      <c r="AG1392" s="449"/>
      <c r="AH1392" s="449"/>
    </row>
    <row r="1393" spans="1:34" x14ac:dyDescent="0.25">
      <c r="A1393" s="237"/>
      <c r="B1393" s="237"/>
      <c r="C1393" s="237"/>
      <c r="D1393" s="237"/>
      <c r="E1393" s="237"/>
      <c r="F1393" s="237"/>
      <c r="G1393" s="237"/>
      <c r="H1393" s="237"/>
      <c r="I1393" s="237"/>
      <c r="J1393" s="237"/>
      <c r="K1393" s="237"/>
      <c r="L1393" s="237"/>
      <c r="M1393" s="237"/>
      <c r="N1393" s="237"/>
      <c r="O1393" s="237"/>
      <c r="P1393" s="237"/>
      <c r="R1393" s="237"/>
      <c r="S1393" s="237"/>
      <c r="W1393" s="237"/>
      <c r="X1393" s="502"/>
      <c r="Y1393" s="507"/>
      <c r="Z1393" s="533"/>
      <c r="AA1393" s="533"/>
      <c r="AB1393" s="434"/>
      <c r="AC1393" s="533"/>
      <c r="AD1393" s="449"/>
      <c r="AE1393" s="449"/>
      <c r="AF1393" s="449"/>
      <c r="AG1393" s="449"/>
      <c r="AH1393" s="449"/>
    </row>
  </sheetData>
  <mergeCells count="19">
    <mergeCell ref="AB1:AD1"/>
    <mergeCell ref="G15:O15"/>
    <mergeCell ref="A13:T13"/>
    <mergeCell ref="A14:T14"/>
    <mergeCell ref="X14:AC14"/>
    <mergeCell ref="AB9:AF9"/>
    <mergeCell ref="AE2:AF2"/>
    <mergeCell ref="AD3:AF3"/>
    <mergeCell ref="AB4:AF4"/>
    <mergeCell ref="AB7:AD7"/>
    <mergeCell ref="AD8:AF8"/>
    <mergeCell ref="AJ13:AL13"/>
    <mergeCell ref="AJ14:AL14"/>
    <mergeCell ref="AJ15:AL15"/>
    <mergeCell ref="X13:AF13"/>
    <mergeCell ref="AI755:AJ755"/>
    <mergeCell ref="AI738:AJ738"/>
    <mergeCell ref="AI207:AJ207"/>
    <mergeCell ref="AJ16:AL16"/>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Mozhaeva</cp:lastModifiedBy>
  <cp:lastPrinted>2021-11-26T14:50:34Z</cp:lastPrinted>
  <dcterms:created xsi:type="dcterms:W3CDTF">2001-09-21T11:20:50Z</dcterms:created>
  <dcterms:modified xsi:type="dcterms:W3CDTF">2021-11-26T14:50:42Z</dcterms:modified>
</cp:coreProperties>
</file>